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omments16.xml" ContentType="application/vnd.openxmlformats-officedocument.spreadsheetml.comments+xml"/>
  <Override PartName="/xl/drawings/drawing7.xml" ContentType="application/vnd.openxmlformats-officedocument.drawing+xml"/>
  <Override PartName="/xl/charts/chart6.xml" ContentType="application/vnd.openxmlformats-officedocument.drawingml.chart+xml"/>
  <Override PartName="/xl/comments17.xml" ContentType="application/vnd.openxmlformats-officedocument.spreadsheetml.comments+xml"/>
  <Override PartName="/xl/comments18.xml" ContentType="application/vnd.openxmlformats-officedocument.spreadsheetml.comments+xml"/>
  <Override PartName="/xl/drawings/drawing8.xml" ContentType="application/vnd.openxmlformats-officedocument.drawing+xml"/>
  <Override PartName="/xl/charts/chart7.xml" ContentType="application/vnd.openxmlformats-officedocument.drawingml.chart+xml"/>
  <Override PartName="/xl/comments19.xml" ContentType="application/vnd.openxmlformats-officedocument.spreadsheetml.comments+xml"/>
  <Override PartName="/xl/drawings/drawing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10.xml" ContentType="application/vnd.openxmlformats-officedocument.drawing+xml"/>
  <Override PartName="/xl/charts/chart8.xml" ContentType="application/vnd.openxmlformats-officedocument.drawingml.chart+xml"/>
  <Override PartName="/xl/comments31.xml" ContentType="application/vnd.openxmlformats-officedocument.spreadsheetml.comments+xml"/>
  <Override PartName="/xl/comments32.xml" ContentType="application/vnd.openxmlformats-officedocument.spreadsheetml.comments+xml"/>
  <Override PartName="/xl/drawings/drawing11.xml" ContentType="application/vnd.openxmlformats-officedocument.drawing+xml"/>
  <Override PartName="/xl/comments33.xml" ContentType="application/vnd.openxmlformats-officedocument.spreadsheetml.comments+xml"/>
  <Override PartName="/xl/charts/chart9.xml" ContentType="application/vnd.openxmlformats-officedocument.drawingml.chart+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updateLinks="never" codeName="ThisWorkbook"/>
  <mc:AlternateContent xmlns:mc="http://schemas.openxmlformats.org/markup-compatibility/2006">
    <mc:Choice Requires="x15">
      <x15ac:absPath xmlns:x15ac="http://schemas.microsoft.com/office/spreadsheetml/2010/11/ac" url="C:\Users\PC\Dropbox\PEF Plan Financiero\"/>
    </mc:Choice>
  </mc:AlternateContent>
  <xr:revisionPtr revIDLastSave="0" documentId="13_ncr:1_{B7DDC85B-D9B9-4E1F-ADA8-95955D706384}" xr6:coauthVersionLast="47" xr6:coauthVersionMax="47" xr10:uidLastSave="{00000000-0000-0000-0000-000000000000}"/>
  <bookViews>
    <workbookView xWindow="-120" yWindow="-120" windowWidth="29040" windowHeight="15840" tabRatio="690" activeTab="2" xr2:uid="{00000000-000D-0000-FFFF-FFFF00000000}"/>
  </bookViews>
  <sheets>
    <sheet name="Índex" sheetId="14662" r:id="rId1"/>
    <sheet name="Terms &amp; Conditions" sheetId="14658" r:id="rId2"/>
    <sheet name="Base Data" sheetId="4129" r:id="rId3"/>
    <sheet name="Parameters" sheetId="14665" r:id="rId4"/>
    <sheet name="Prev. Initial Balance" sheetId="14705" state="hidden" r:id="rId5"/>
    <sheet name="NCA Initial Invest." sheetId="14685" r:id="rId6"/>
    <sheet name="NCA Additional Invest." sheetId="14689" state="hidden" r:id="rId7"/>
    <sheet name="Initial Expenses" sheetId="14693" r:id="rId8"/>
    <sheet name="Current Asset Invest." sheetId="14622" r:id="rId9"/>
    <sheet name="Funding" sheetId="14690" r:id="rId10"/>
    <sheet name="Initial Funding" sheetId="11" state="hidden" r:id="rId11"/>
    <sheet name="Loans" sheetId="14692" state="hidden" r:id="rId12"/>
    <sheet name="Leasing" sheetId="14694" state="hidden" r:id="rId13"/>
    <sheet name="Renting" sheetId="14695" state="hidden" r:id="rId14"/>
    <sheet name="Detailed Staff" sheetId="14687" state="hidden" r:id="rId15"/>
    <sheet name="Staff" sheetId="14686" r:id="rId16"/>
    <sheet name="Marketing Expenses" sheetId="14707" r:id="rId17"/>
    <sheet name="Fixed Expenses Data" sheetId="14655" r:id="rId18"/>
    <sheet name="Prices - DC" sheetId="14652" r:id="rId19"/>
    <sheet name="Cashing &amp; Payment Policies" sheetId="14647" state="hidden" r:id="rId20"/>
    <sheet name="Sales Forecasts" sheetId="14653" r:id="rId21"/>
    <sheet name="Initial Balance Sheet 00" sheetId="14626" state="hidden" r:id="rId22"/>
    <sheet name="Sales Forecast 0" sheetId="7" state="hidden" r:id="rId23"/>
    <sheet name="Sales Forecast 1" sheetId="14630" state="hidden" r:id="rId24"/>
    <sheet name="Sales Forecast 2" sheetId="14637" state="hidden" r:id="rId25"/>
    <sheet name="Sales Forecast 3" sheetId="14668" state="hidden" r:id="rId26"/>
    <sheet name="Sales Forecast 4" sheetId="14669" state="hidden" r:id="rId27"/>
    <sheet name="Production" sheetId="14699" state="hidden" r:id="rId28"/>
    <sheet name="DC Distr 0" sheetId="14703" state="hidden" r:id="rId29"/>
    <sheet name="DC Distr 1" sheetId="14698" state="hidden" r:id="rId30"/>
    <sheet name="DC Distr 2" sheetId="14700" state="hidden" r:id="rId31"/>
    <sheet name="DC Distr 3" sheetId="14701" state="hidden" r:id="rId32"/>
    <sheet name="DC Distr 4" sheetId="14702" state="hidden" r:id="rId33"/>
    <sheet name="DC Distr 5" sheetId="14704" state="hidden" r:id="rId34"/>
    <sheet name="5 years Sales Summary" sheetId="14683" r:id="rId35"/>
    <sheet name="Income St 0" sheetId="8" state="hidden" r:id="rId36"/>
    <sheet name="Income St 1" sheetId="14631" state="hidden" r:id="rId37"/>
    <sheet name="Income St 2" sheetId="14640" state="hidden" r:id="rId38"/>
    <sheet name="Income St 3" sheetId="14670" state="hidden" r:id="rId39"/>
    <sheet name="Income St 4" sheetId="14671" state="hidden" r:id="rId40"/>
    <sheet name="Balance Sheet Statements (EU)" sheetId="14667" state="hidden" r:id="rId41"/>
    <sheet name="Balance Sheet Statements" sheetId="14706" r:id="rId42"/>
    <sheet name="Yearly Income St" sheetId="14617" r:id="rId43"/>
    <sheet name="Corporate Income Tax" sheetId="14659" r:id="rId44"/>
    <sheet name="RETA 2023" sheetId="14709" state="hidden" r:id="rId45"/>
    <sheet name="Personal Income Tax" sheetId="14657" r:id="rId46"/>
    <sheet name="Collections &amp; Payments 0" sheetId="14623" state="hidden" r:id="rId47"/>
    <sheet name="Collections &amp; Payments 1" sheetId="14632" state="hidden" r:id="rId48"/>
    <sheet name="Collections &amp; Payments 2" sheetId="14638" state="hidden" r:id="rId49"/>
    <sheet name="Collections &amp; Payments 3" sheetId="14678" state="hidden" r:id="rId50"/>
    <sheet name="Collections &amp; Payments 4" sheetId="14679" state="hidden" r:id="rId51"/>
    <sheet name="Personal Income Tax Calc." sheetId="14681" state="hidden" r:id="rId52"/>
    <sheet name="Fixed Expenses 0" sheetId="14624" state="hidden" r:id="rId53"/>
    <sheet name="Fixed Expenses 1" sheetId="14629" state="hidden" r:id="rId54"/>
    <sheet name="Fixed Expenses 2" sheetId="14636" state="hidden" r:id="rId55"/>
    <sheet name="Fixed Expenses 3" sheetId="14672" state="hidden" r:id="rId56"/>
    <sheet name="Fixed Expenses 4" sheetId="14673" state="hidden" r:id="rId57"/>
    <sheet name="VAT 0" sheetId="14628" state="hidden" r:id="rId58"/>
    <sheet name="VAT 1" sheetId="14634" state="hidden" r:id="rId59"/>
    <sheet name="VAT 2" sheetId="14639" state="hidden" r:id="rId60"/>
    <sheet name="VAT 3" sheetId="14674" state="hidden" r:id="rId61"/>
    <sheet name="VAT 4" sheetId="14675" state="hidden" r:id="rId62"/>
    <sheet name="Fixed Expenses Summary" sheetId="14682" r:id="rId63"/>
    <sheet name="Amortizations" sheetId="14661" r:id="rId64"/>
    <sheet name="Financial Expenses" sheetId="14648" r:id="rId65"/>
    <sheet name="Cash Flow 0" sheetId="14625" state="hidden" r:id="rId66"/>
    <sheet name="Cash Flow 1" sheetId="14633" state="hidden" r:id="rId67"/>
    <sheet name="Cash Flow 2" sheetId="14641" state="hidden" r:id="rId68"/>
    <sheet name="Cash Flow 3" sheetId="14676" state="hidden" r:id="rId69"/>
    <sheet name="Cash Flow 4" sheetId="14677" state="hidden" r:id="rId70"/>
    <sheet name="Unusual payments &amp; Collections" sheetId="14645" state="hidden" r:id="rId71"/>
    <sheet name="Cash Flow Summary" sheetId="14684" r:id="rId72"/>
    <sheet name="Break Even Point" sheetId="14643" r:id="rId73"/>
    <sheet name="Basic Ratios" sheetId="4128" r:id="rId74"/>
    <sheet name="Viabilidad" sheetId="14710" r:id="rId75"/>
    <sheet name="Company Valuation" sheetId="14696" r:id="rId76"/>
    <sheet name="Executive Summary" sheetId="14649" r:id="rId77"/>
    <sheet name="Investors Briefing" sheetId="14708" r:id="rId78"/>
  </sheets>
  <externalReferences>
    <externalReference r:id="rId79"/>
    <externalReference r:id="rId80"/>
  </externalReferences>
  <definedNames>
    <definedName name="___INDEX_SHEET___ASAP_Utilities" localSheetId="14">[0]!_R1C1</definedName>
    <definedName name="aa">'Base Data'!$O$19</definedName>
    <definedName name="anni">Parameters!$B$77:$F$77</definedName>
    <definedName name="annivert">Parameters!$B$77:$B$81</definedName>
    <definedName name="_xlnm.Print_Area" localSheetId="34">'5 years Sales Summary'!$A$1:$J$88</definedName>
    <definedName name="_xlnm.Print_Area" localSheetId="63">Amortizations!$A$1:$L$41</definedName>
    <definedName name="_xlnm.Print_Area" localSheetId="41">'Balance Sheet Statements'!$1:$1048576</definedName>
    <definedName name="_xlnm.Print_Area" localSheetId="40">'Balance Sheet Statements (EU)'!$1:$1048576</definedName>
    <definedName name="_xlnm.Print_Area" localSheetId="2">'Base Data'!$A$1:$I$40</definedName>
    <definedName name="_xlnm.Print_Area" localSheetId="73">'Basic Ratios'!$A$1:$G$45</definedName>
    <definedName name="_xlnm.Print_Area" localSheetId="72">'Break Even Point'!$B$1:$K$33</definedName>
    <definedName name="_xlnm.Print_Area" localSheetId="71">'Cash Flow Summary'!$A$1:$G$59</definedName>
    <definedName name="_xlnm.Print_Area" localSheetId="19">'Cashing &amp; Payment Policies'!$A$1:$J$95</definedName>
    <definedName name="_xlnm.Print_Area" localSheetId="46">'Collections &amp; Payments 0'!$A$1:$S$57</definedName>
    <definedName name="_xlnm.Print_Area" localSheetId="47">'Collections &amp; Payments 1'!$1:$1048576</definedName>
    <definedName name="_xlnm.Print_Area" localSheetId="48">'Collections &amp; Payments 2'!$1:$1048576</definedName>
    <definedName name="_xlnm.Print_Area" localSheetId="49">'Collections &amp; Payments 3'!$1:$1048576</definedName>
    <definedName name="_xlnm.Print_Area" localSheetId="50">'Collections &amp; Payments 4'!$1:$1048576</definedName>
    <definedName name="_xlnm.Print_Area" localSheetId="75">'Company Valuation'!$A$1:$H$34</definedName>
    <definedName name="_xlnm.Print_Area" localSheetId="8">'Current Asset Invest.'!$A$1:$F$48</definedName>
    <definedName name="_xlnm.Print_Area" localSheetId="14">'Detailed Staff'!$A$1:$O$99</definedName>
    <definedName name="_xlnm.Print_Area" localSheetId="76">'Executive Summary'!$A$1:$F$69</definedName>
    <definedName name="_xlnm.Print_Area" localSheetId="9">Funding!$A$1:$H$81</definedName>
    <definedName name="_xlnm.Print_Area" localSheetId="0">Índex!$A$1:$K$74</definedName>
    <definedName name="_xlnm.Print_Area" localSheetId="7">'Initial Expenses'!$A$1:$F$29</definedName>
    <definedName name="_xlnm.Print_Area" localSheetId="10">'Initial Funding'!$A$1:$E$38</definedName>
    <definedName name="_xlnm.Print_Area" localSheetId="77">'Investors Briefing'!$A$1:$F$75</definedName>
    <definedName name="_xlnm.Print_Area" localSheetId="12">Leasing!$A$1:$N$56</definedName>
    <definedName name="_xlnm.Print_Area" localSheetId="11">Loans!$A$1:$N$56</definedName>
    <definedName name="_xlnm.Print_Area" localSheetId="5">'NCA Initial Invest.'!$A$1:$J$63</definedName>
    <definedName name="_xlnm.Print_Area" localSheetId="3">Parameters!$A$1:$H$48</definedName>
    <definedName name="_xlnm.Print_Area" localSheetId="45">'Personal Income Tax'!$A$1:$O$40</definedName>
    <definedName name="_xlnm.Print_Area" localSheetId="18">'Prices - DC'!$A$1:$K$64</definedName>
    <definedName name="_xlnm.Print_Area" localSheetId="13">Renting!$A$1:$N$52</definedName>
    <definedName name="_xlnm.Print_Area" localSheetId="44">'RETA 2023'!$B$1:$K$28</definedName>
    <definedName name="_xlnm.Print_Area" localSheetId="20">'Sales Forecasts'!$A$1:$N$66</definedName>
    <definedName name="_xlnm.Print_Area" localSheetId="15">Staff!$A$1:$F$50</definedName>
    <definedName name="_xlnm.Print_Area" localSheetId="1">'Terms &amp; Conditions'!$A$1:$J$66</definedName>
    <definedName name="catlaborales">Staff!$A$19:$A$26</definedName>
    <definedName name="consolidacion">'Base Data'!$F$13</definedName>
    <definedName name="euro">Parameters!$G$13</definedName>
    <definedName name="finTemporada">Parameters!$C$14</definedName>
    <definedName name="inflacion">Parameters!$C$11</definedName>
    <definedName name="inicioTemporada">Parameters!$B$14</definedName>
    <definedName name="inv_propia">Funding!$C$14:$H$17</definedName>
    <definedName name="irpf">'Base Data'!$I$28</definedName>
    <definedName name="isoc">'Base Data'!$C$36</definedName>
    <definedName name="ITP">'Base Data'!$C$80</definedName>
    <definedName name="IVAcc">'Base Data'!$D$32</definedName>
    <definedName name="IVAdev">'Base Data'!$D$31</definedName>
    <definedName name="IVAmensual">'Base Data'!$D$30</definedName>
    <definedName name="mes0">'Base Data'!$C$21</definedName>
    <definedName name="meses">Parameters!$B$75:$M$75</definedName>
    <definedName name="Moneda">Parameters!$G$11</definedName>
    <definedName name="morisidad">Parameters!$I$6</definedName>
    <definedName name="periodicidad">Parameters!$B$92:$C$98</definedName>
    <definedName name="productos">'Prices - DC'!$A$19:$A$26</definedName>
    <definedName name="recmorosos">Parameters!$I$8</definedName>
    <definedName name="resprevio">'Initial Funding'!$D$9:$D$12</definedName>
    <definedName name="ret_irpf">'Base Data'!$J$30</definedName>
    <definedName name="tesoreriasec">Parameters!$C$9</definedName>
    <definedName name="_xlnm.Print_Titles" localSheetId="19">'Cashing &amp; Payment Policies'!$1:$2</definedName>
    <definedName name="_xlnm.Print_Titles" localSheetId="14">'Detailed Staff'!$1:$2</definedName>
    <definedName name="_xlnm.Print_Titles" localSheetId="64">'Financial Expenses'!$1:$3</definedName>
    <definedName name="_xlnm.Print_Titles" localSheetId="70">'Unusual payments &amp; Collections'!$1:$3</definedName>
    <definedName name="version">'Base Data'!$A$2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5" i="14657" l="1"/>
  <c r="G35" i="14657"/>
  <c r="E35" i="14657"/>
  <c r="D35" i="14657"/>
  <c r="M28" i="14709"/>
  <c r="M27" i="14709"/>
  <c r="M26" i="14709"/>
  <c r="M25" i="14709"/>
  <c r="M24" i="14709"/>
  <c r="M23" i="14709"/>
  <c r="M22" i="14709"/>
  <c r="M21" i="14709"/>
  <c r="M20" i="14709"/>
  <c r="M19" i="14709"/>
  <c r="M18" i="14709"/>
  <c r="M17" i="14709"/>
  <c r="M16" i="14709"/>
  <c r="M15" i="14709"/>
  <c r="M14" i="14709"/>
  <c r="J12" i="14709"/>
  <c r="H52" i="4129"/>
  <c r="B40" i="4129"/>
  <c r="C40" i="4129" s="1"/>
  <c r="D40" i="4129" s="1"/>
  <c r="E40" i="4129" s="1"/>
  <c r="F40" i="4129" s="1"/>
  <c r="C6" i="14653"/>
  <c r="D6" i="14653"/>
  <c r="E6" i="14653"/>
  <c r="F6" i="14653"/>
  <c r="G6" i="14653"/>
  <c r="H6" i="14653"/>
  <c r="I6" i="14653"/>
  <c r="J6" i="14653"/>
  <c r="K6" i="14653"/>
  <c r="L6" i="14653"/>
  <c r="M6" i="14653"/>
  <c r="C7" i="14653"/>
  <c r="D7" i="14653"/>
  <c r="E7" i="14653"/>
  <c r="F7" i="14653"/>
  <c r="G7" i="14653"/>
  <c r="H7" i="14653"/>
  <c r="I7" i="14653"/>
  <c r="J7" i="14653"/>
  <c r="K7" i="14653"/>
  <c r="L7" i="14653"/>
  <c r="M7" i="14653"/>
  <c r="C8" i="14653"/>
  <c r="D8" i="14653"/>
  <c r="E8" i="14653"/>
  <c r="F8" i="14653"/>
  <c r="G8" i="14653"/>
  <c r="H8" i="14653"/>
  <c r="I8" i="14653"/>
  <c r="J8" i="14653"/>
  <c r="K8" i="14653"/>
  <c r="L8" i="14653"/>
  <c r="M8" i="14653"/>
  <c r="C9" i="14653"/>
  <c r="D9" i="14653"/>
  <c r="E9" i="14653"/>
  <c r="F9" i="14653"/>
  <c r="G9" i="14653"/>
  <c r="H9" i="14653"/>
  <c r="I9" i="14653"/>
  <c r="J9" i="14653"/>
  <c r="K9" i="14653"/>
  <c r="L9" i="14653"/>
  <c r="M9" i="14653"/>
  <c r="C10" i="14653"/>
  <c r="D10" i="14653"/>
  <c r="E10" i="14653"/>
  <c r="F10" i="14653"/>
  <c r="G10" i="14653"/>
  <c r="H10" i="14653"/>
  <c r="I10" i="14653"/>
  <c r="J10" i="14653"/>
  <c r="K10" i="14653"/>
  <c r="L10" i="14653"/>
  <c r="M10" i="14653"/>
  <c r="C11" i="14653"/>
  <c r="D11" i="14653"/>
  <c r="E11" i="14653"/>
  <c r="F11" i="14653"/>
  <c r="G11" i="14653"/>
  <c r="H11" i="14653"/>
  <c r="I11" i="14653"/>
  <c r="J11" i="14653"/>
  <c r="K11" i="14653"/>
  <c r="L11" i="14653"/>
  <c r="M11" i="14653"/>
  <c r="C12" i="14653"/>
  <c r="D12" i="14653"/>
  <c r="E12" i="14653"/>
  <c r="F12" i="14653"/>
  <c r="G12" i="14653"/>
  <c r="H12" i="14653"/>
  <c r="I12" i="14653"/>
  <c r="J12" i="14653"/>
  <c r="K12" i="14653"/>
  <c r="L12" i="14653"/>
  <c r="M12" i="14653"/>
  <c r="C13" i="14653"/>
  <c r="D13" i="14653"/>
  <c r="E13" i="14653"/>
  <c r="F13" i="14653"/>
  <c r="G13" i="14653"/>
  <c r="H13" i="14653"/>
  <c r="I13" i="14653"/>
  <c r="J13" i="14653"/>
  <c r="K13" i="14653"/>
  <c r="L13" i="14653"/>
  <c r="M13" i="14653"/>
  <c r="Q4" i="14653"/>
  <c r="C22" i="4129"/>
  <c r="A2" i="14710"/>
  <c r="J6" i="14657"/>
  <c r="G17" i="14629"/>
  <c r="I28" i="14709" l="1"/>
  <c r="G28" i="14709"/>
  <c r="E28" i="14709"/>
  <c r="B28" i="14709"/>
  <c r="I27" i="14709"/>
  <c r="G27" i="14709"/>
  <c r="E27" i="14709"/>
  <c r="B27" i="14709"/>
  <c r="I26" i="14709"/>
  <c r="G26" i="14709"/>
  <c r="E26" i="14709"/>
  <c r="B26" i="14709"/>
  <c r="I25" i="14709"/>
  <c r="G25" i="14709"/>
  <c r="E25" i="14709"/>
  <c r="B25" i="14709"/>
  <c r="I24" i="14709"/>
  <c r="G24" i="14709"/>
  <c r="E24" i="14709"/>
  <c r="B24" i="14709"/>
  <c r="I23" i="14709"/>
  <c r="G23" i="14709"/>
  <c r="E23" i="14709"/>
  <c r="B23" i="14709"/>
  <c r="I22" i="14709"/>
  <c r="G22" i="14709"/>
  <c r="E22" i="14709"/>
  <c r="B22" i="14709"/>
  <c r="I21" i="14709"/>
  <c r="G21" i="14709"/>
  <c r="E21" i="14709"/>
  <c r="B21" i="14709"/>
  <c r="C37" i="14657" s="1"/>
  <c r="I20" i="14709"/>
  <c r="G20" i="14709"/>
  <c r="E20" i="14709"/>
  <c r="I19" i="14709"/>
  <c r="F19" i="14709"/>
  <c r="G19" i="14709" s="1"/>
  <c r="E19" i="14709"/>
  <c r="I18" i="14709"/>
  <c r="F18" i="14709"/>
  <c r="G18" i="14709" s="1"/>
  <c r="E18" i="14709"/>
  <c r="C18" i="14709"/>
  <c r="B19" i="14709" s="1"/>
  <c r="B18" i="14709"/>
  <c r="I17" i="14709"/>
  <c r="F17" i="14709"/>
  <c r="G17" i="14709" s="1"/>
  <c r="E17" i="14709"/>
  <c r="B17" i="14709"/>
  <c r="I16" i="14709"/>
  <c r="G16" i="14709"/>
  <c r="E16" i="14709"/>
  <c r="B16" i="14709"/>
  <c r="I15" i="14709"/>
  <c r="G15" i="14709"/>
  <c r="E15" i="14709"/>
  <c r="B15" i="14709"/>
  <c r="I14" i="14709"/>
  <c r="G14" i="14709"/>
  <c r="E14" i="14709"/>
  <c r="F12" i="14709"/>
  <c r="H12" i="14709" s="1"/>
  <c r="C34" i="14657"/>
  <c r="C36" i="14657" l="1"/>
  <c r="D34" i="14657"/>
  <c r="C19" i="14709"/>
  <c r="B20" i="14709" s="1"/>
  <c r="E34" i="14657" l="1"/>
  <c r="F34" i="14657" l="1"/>
  <c r="G34" i="14657" l="1"/>
  <c r="L9" i="14657"/>
  <c r="M9" i="14657"/>
  <c r="L10" i="14657"/>
  <c r="M10" i="14657"/>
  <c r="L11" i="14657"/>
  <c r="M11" i="14657"/>
  <c r="L12" i="14657"/>
  <c r="M12" i="14657"/>
  <c r="L13" i="14657"/>
  <c r="M13" i="14657"/>
  <c r="L14" i="14657"/>
  <c r="M14" i="14657"/>
  <c r="L15" i="14657"/>
  <c r="M15" i="14657"/>
  <c r="A61" i="14665" l="1"/>
  <c r="A62" i="14665" l="1"/>
  <c r="A63" i="14665" s="1"/>
  <c r="A64" i="14665" s="1"/>
  <c r="A65" i="14665" s="1"/>
  <c r="A66" i="14665" s="1"/>
  <c r="A67" i="14665" s="1"/>
  <c r="A68" i="14665" s="1"/>
  <c r="A69" i="14665" s="1"/>
  <c r="A70" i="14665" s="1"/>
  <c r="A71" i="14665" s="1"/>
  <c r="A72" i="14665" s="1"/>
  <c r="D64" i="14665" s="1"/>
  <c r="E64" i="14665" s="1"/>
  <c r="F64" i="14665" s="1"/>
  <c r="G64" i="14665" s="1"/>
  <c r="H64" i="14665" s="1"/>
  <c r="I64" i="14665" s="1"/>
  <c r="B12" i="14649"/>
  <c r="D63" i="14665"/>
  <c r="E63" i="14665" s="1"/>
  <c r="F63" i="14665" s="1"/>
  <c r="G63" i="14665" s="1"/>
  <c r="H63" i="14665" s="1"/>
  <c r="I63" i="14665" s="1"/>
  <c r="I52" i="4129"/>
  <c r="H50" i="4129"/>
  <c r="I50" i="4129" s="1"/>
  <c r="J50" i="4129" s="1"/>
  <c r="K50" i="4129" s="1"/>
  <c r="I53" i="4129" l="1"/>
  <c r="J52" i="4129"/>
  <c r="J53" i="4129" l="1"/>
  <c r="K52" i="4129"/>
  <c r="K53" i="4129" s="1"/>
  <c r="R6" i="14657" l="1"/>
  <c r="C23" i="14655" l="1"/>
  <c r="C25" i="14655"/>
  <c r="B25" i="14655"/>
  <c r="B23" i="14655"/>
  <c r="H49" i="4129" l="1"/>
  <c r="I49" i="4129" l="1"/>
  <c r="J49" i="4129" l="1"/>
  <c r="K49" i="4129" s="1"/>
  <c r="L49" i="4129" s="1"/>
  <c r="O31" i="14653"/>
  <c r="O44" i="14653"/>
  <c r="O57" i="14653"/>
  <c r="F37" i="14707" l="1"/>
  <c r="F38" i="14707" s="1"/>
  <c r="H26" i="14707" l="1"/>
  <c r="J26" i="14707" s="1"/>
  <c r="L26" i="14707" s="1"/>
  <c r="N26" i="14707" s="1"/>
  <c r="H27" i="14707"/>
  <c r="B58" i="14708"/>
  <c r="C72" i="14708"/>
  <c r="A62" i="14708"/>
  <c r="A2" i="14708"/>
  <c r="F65" i="14708"/>
  <c r="D23" i="14707"/>
  <c r="I12" i="14707"/>
  <c r="F12" i="14707"/>
  <c r="H12" i="14707"/>
  <c r="I11" i="14707"/>
  <c r="K11" i="14707" s="1"/>
  <c r="M11" i="14707" s="1"/>
  <c r="F11" i="14707"/>
  <c r="H11" i="14707" s="1"/>
  <c r="N10" i="14707"/>
  <c r="M10" i="14707"/>
  <c r="L10" i="14707"/>
  <c r="K10" i="14707"/>
  <c r="J10" i="14707"/>
  <c r="I10" i="14707"/>
  <c r="H10" i="14707"/>
  <c r="G8" i="14707"/>
  <c r="I8" i="14707" s="1"/>
  <c r="K8" i="14707" s="1"/>
  <c r="M8" i="14707" s="1"/>
  <c r="G7" i="14707"/>
  <c r="I7" i="14707" s="1"/>
  <c r="K7" i="14707" s="1"/>
  <c r="M7" i="14707" s="1"/>
  <c r="N6" i="14707"/>
  <c r="M6" i="14707"/>
  <c r="L6" i="14707"/>
  <c r="K6" i="14707"/>
  <c r="J6" i="14707"/>
  <c r="I6" i="14707"/>
  <c r="H6" i="14707"/>
  <c r="G6" i="14707"/>
  <c r="A2" i="14707"/>
  <c r="B78" i="14648"/>
  <c r="B63" i="14648"/>
  <c r="B48" i="14648"/>
  <c r="B33" i="14648"/>
  <c r="B18" i="14648"/>
  <c r="A72" i="14648" a="1"/>
  <c r="A57" i="14648" a="1"/>
  <c r="A63" i="14648" s="1"/>
  <c r="A42" i="14648" a="1"/>
  <c r="A48" i="14648" s="1"/>
  <c r="A27" i="14648" a="1"/>
  <c r="A30" i="14648" s="1"/>
  <c r="K8" i="14652"/>
  <c r="K9" i="14652" s="1"/>
  <c r="K10" i="14652" s="1"/>
  <c r="K11" i="14652" s="1"/>
  <c r="K12" i="14652" s="1"/>
  <c r="K13" i="14652" s="1"/>
  <c r="K14" i="14652" s="1"/>
  <c r="D38" i="4129"/>
  <c r="D17" i="14659" s="1"/>
  <c r="B17" i="14706"/>
  <c r="B11" i="14667"/>
  <c r="B7" i="14667"/>
  <c r="J17" i="14661"/>
  <c r="J9" i="14661"/>
  <c r="J7" i="14661"/>
  <c r="L16" i="14661"/>
  <c r="L8" i="14661"/>
  <c r="L7" i="14661"/>
  <c r="B22" i="14706"/>
  <c r="B19" i="14706"/>
  <c r="B6" i="14667"/>
  <c r="C5" i="11"/>
  <c r="H23" i="14622"/>
  <c r="I23" i="14622" s="1"/>
  <c r="G24" i="14622"/>
  <c r="G23" i="14622"/>
  <c r="G22" i="14622"/>
  <c r="I22" i="14622" s="1"/>
  <c r="G21" i="14622"/>
  <c r="G20" i="14622"/>
  <c r="G16" i="14622"/>
  <c r="I16" i="14622" s="1"/>
  <c r="G9" i="14622"/>
  <c r="I9" i="14622" s="1"/>
  <c r="H14" i="14622"/>
  <c r="I14" i="14622" s="1"/>
  <c r="H13" i="14622"/>
  <c r="H12" i="14622"/>
  <c r="H8" i="14622"/>
  <c r="A7" i="14661"/>
  <c r="A8" i="14661"/>
  <c r="B79" i="14689"/>
  <c r="B78" i="14689"/>
  <c r="B71" i="14689"/>
  <c r="B80" i="14689" s="1"/>
  <c r="A10" i="14685"/>
  <c r="A20" i="14685"/>
  <c r="A9" i="14661" s="1"/>
  <c r="A26" i="14685"/>
  <c r="A10" i="14661" s="1"/>
  <c r="A31" i="14685"/>
  <c r="A11" i="14661" s="1"/>
  <c r="A37" i="14685"/>
  <c r="A12" i="14661" s="1"/>
  <c r="A43" i="14685"/>
  <c r="A13" i="14661" s="1"/>
  <c r="A50" i="14685"/>
  <c r="A55" i="14685"/>
  <c r="A15" i="14661" s="1"/>
  <c r="A63" i="14685"/>
  <c r="C30" i="11"/>
  <c r="C14" i="11"/>
  <c r="C13" i="11"/>
  <c r="B8" i="11"/>
  <c r="C7" i="11"/>
  <c r="B30" i="11"/>
  <c r="B32" i="14706"/>
  <c r="B29" i="11"/>
  <c r="B31" i="14706" s="1"/>
  <c r="B28" i="11"/>
  <c r="B27" i="11"/>
  <c r="B40" i="14667" s="1"/>
  <c r="B25" i="11"/>
  <c r="B33" i="14625" s="1"/>
  <c r="B20" i="11"/>
  <c r="B12" i="11"/>
  <c r="B11" i="11"/>
  <c r="B10" i="11"/>
  <c r="D27" i="11"/>
  <c r="N19" i="14653"/>
  <c r="N20" i="14653"/>
  <c r="N21" i="14653"/>
  <c r="N22" i="14653"/>
  <c r="N23" i="14653"/>
  <c r="N24" i="14653"/>
  <c r="N25" i="14653"/>
  <c r="N26" i="14653"/>
  <c r="A48" i="14683"/>
  <c r="A46" i="14683"/>
  <c r="A2" i="14683"/>
  <c r="A31" i="14683"/>
  <c r="C27" i="14705"/>
  <c r="F27" i="14626"/>
  <c r="A41" i="14667"/>
  <c r="F25" i="14626" s="1"/>
  <c r="A42" i="14667"/>
  <c r="F24" i="14626"/>
  <c r="F22" i="14626"/>
  <c r="F23" i="14626"/>
  <c r="E21" i="14626"/>
  <c r="F19" i="14626"/>
  <c r="F12" i="14626"/>
  <c r="F18" i="14626"/>
  <c r="E17" i="14626"/>
  <c r="F13" i="14626"/>
  <c r="F14" i="14626"/>
  <c r="F11" i="14626"/>
  <c r="C36" i="4129"/>
  <c r="E9" i="14626"/>
  <c r="A21" i="14667"/>
  <c r="B27" i="14626"/>
  <c r="A19" i="14667"/>
  <c r="B23" i="14626"/>
  <c r="B22" i="14626"/>
  <c r="B21" i="14626"/>
  <c r="B20" i="14626"/>
  <c r="A19" i="14626"/>
  <c r="E7" i="14685"/>
  <c r="E8" i="14685"/>
  <c r="E10" i="14685" s="1"/>
  <c r="C8" i="14661" s="1"/>
  <c r="E13" i="14685"/>
  <c r="E14" i="14685"/>
  <c r="E15" i="14685"/>
  <c r="E16" i="14685"/>
  <c r="E17" i="14685"/>
  <c r="E18" i="14685"/>
  <c r="E19" i="14685"/>
  <c r="B22" i="14685" a="1"/>
  <c r="E22" i="14685"/>
  <c r="E23" i="14685"/>
  <c r="E24" i="14685"/>
  <c r="E25" i="14685"/>
  <c r="B28" i="14685" a="1"/>
  <c r="E29" i="14685"/>
  <c r="E30" i="14685"/>
  <c r="B33" i="14685" a="1"/>
  <c r="E33" i="14685" s="1"/>
  <c r="E34" i="14685"/>
  <c r="E35" i="14685"/>
  <c r="E36" i="14685"/>
  <c r="B39" i="14685" a="1"/>
  <c r="E39" i="14685"/>
  <c r="E40" i="14685"/>
  <c r="G40" i="14685" s="1" a="1"/>
  <c r="E41" i="14685"/>
  <c r="E42" i="14685"/>
  <c r="B45" i="14685" a="1"/>
  <c r="E46" i="14685"/>
  <c r="E47" i="14685"/>
  <c r="E48" i="14685"/>
  <c r="G46" i="14685" s="1" a="1"/>
  <c r="E49" i="14685"/>
  <c r="B52" i="14685" a="1"/>
  <c r="E52" i="14685" s="1"/>
  <c r="E53" i="14685"/>
  <c r="E54" i="14685"/>
  <c r="G53" i="14685" s="1" a="1"/>
  <c r="G54" i="14685" s="1"/>
  <c r="B14" i="14626"/>
  <c r="B12" i="14626"/>
  <c r="B10" i="14626"/>
  <c r="A9" i="14626"/>
  <c r="F7" i="14626"/>
  <c r="F29" i="14626"/>
  <c r="B20" i="14657"/>
  <c r="I28" i="4129"/>
  <c r="D9" i="14706" s="1"/>
  <c r="A1" i="14657"/>
  <c r="A5" i="14657"/>
  <c r="A5" i="14659"/>
  <c r="A1" i="14659"/>
  <c r="F13" i="4129"/>
  <c r="C28" i="14705"/>
  <c r="B42" i="14662"/>
  <c r="B41" i="14662"/>
  <c r="F27" i="4129"/>
  <c r="A35" i="4129"/>
  <c r="F53" i="14706"/>
  <c r="H11" i="14665"/>
  <c r="G38" i="14686" s="1"/>
  <c r="A51" i="14706"/>
  <c r="A49" i="14706"/>
  <c r="A45" i="14706" a="1"/>
  <c r="A31" i="14706"/>
  <c r="A30" i="14706"/>
  <c r="A27" i="14706"/>
  <c r="A32" i="14706"/>
  <c r="A26" i="14706"/>
  <c r="A37" i="14706"/>
  <c r="A36" i="14706"/>
  <c r="A35" i="14706"/>
  <c r="A34" i="14706"/>
  <c r="A42" i="14706"/>
  <c r="A41" i="14706"/>
  <c r="A40" i="14706"/>
  <c r="A39" i="14706"/>
  <c r="A24" i="14706"/>
  <c r="A17" i="14706"/>
  <c r="A18" i="14706"/>
  <c r="A19" i="14706"/>
  <c r="A22" i="14706"/>
  <c r="A16" i="14706"/>
  <c r="A14" i="14706"/>
  <c r="A13" i="14706"/>
  <c r="A12" i="14706"/>
  <c r="A11" i="14706"/>
  <c r="A10" i="14706"/>
  <c r="A6" i="14706"/>
  <c r="A5" i="14706"/>
  <c r="A1" i="14706"/>
  <c r="B100" i="14643"/>
  <c r="B87" i="14643"/>
  <c r="B74" i="14643"/>
  <c r="B61" i="14643"/>
  <c r="B91" i="14643" a="1"/>
  <c r="E91" i="14643" s="1"/>
  <c r="B78" i="14643" a="1"/>
  <c r="E78" i="14643"/>
  <c r="I78" i="14643"/>
  <c r="B65" i="14643" a="1"/>
  <c r="E65" i="14643" s="1"/>
  <c r="I65" i="14643"/>
  <c r="B52" i="14643" a="1"/>
  <c r="E52" i="14643" s="1"/>
  <c r="A69" i="14653"/>
  <c r="A56" i="14653"/>
  <c r="A43" i="14653"/>
  <c r="A30" i="14653"/>
  <c r="A17" i="14653"/>
  <c r="C38" i="14641" a="1"/>
  <c r="C38" i="14641" s="1"/>
  <c r="C38" i="14676" a="1"/>
  <c r="C38" i="14677" a="1"/>
  <c r="C38" i="14677" s="1"/>
  <c r="D38" i="14677"/>
  <c r="C38" i="14633" a="1"/>
  <c r="B39" i="14641" a="1"/>
  <c r="B39" i="14676" a="1"/>
  <c r="B39" i="14677" a="1"/>
  <c r="B39" i="14633" a="1"/>
  <c r="A35" i="14641"/>
  <c r="A35" i="14676"/>
  <c r="A35" i="14677"/>
  <c r="A35" i="14633"/>
  <c r="A33" i="14641"/>
  <c r="A33" i="14676"/>
  <c r="A33" i="14677"/>
  <c r="A33" i="14633"/>
  <c r="A9" i="14625"/>
  <c r="A5" i="14641" s="1" a="1"/>
  <c r="O84" i="14648"/>
  <c r="O89" i="14648"/>
  <c r="O94" i="14648"/>
  <c r="O99" i="14648"/>
  <c r="O104" i="14648"/>
  <c r="O71" i="14648"/>
  <c r="O66" i="14648"/>
  <c r="O56" i="14648"/>
  <c r="O51" i="14648"/>
  <c r="O41" i="14648"/>
  <c r="O36" i="14648"/>
  <c r="O26" i="14648"/>
  <c r="O21" i="14648"/>
  <c r="B107" i="14648"/>
  <c r="B102" i="14648"/>
  <c r="B97" i="14648"/>
  <c r="B92" i="14648"/>
  <c r="B87" i="14648"/>
  <c r="B79" i="14648"/>
  <c r="B64" i="14648"/>
  <c r="B49" i="14648"/>
  <c r="B34" i="14648"/>
  <c r="B104" i="14648"/>
  <c r="B99" i="14648"/>
  <c r="B94" i="14648"/>
  <c r="B89" i="14648"/>
  <c r="B84" i="14648"/>
  <c r="B71" i="14648"/>
  <c r="B56" i="14648"/>
  <c r="B41" i="14648"/>
  <c r="B26" i="14648"/>
  <c r="B66" i="14648"/>
  <c r="B51" i="14648"/>
  <c r="B36" i="14648"/>
  <c r="B21" i="14648"/>
  <c r="A28" i="14682"/>
  <c r="A25" i="14624"/>
  <c r="A20" i="14624"/>
  <c r="A27" i="14624"/>
  <c r="A15" i="14624"/>
  <c r="O18" i="14628"/>
  <c r="O30" i="14628"/>
  <c r="O30" i="14639"/>
  <c r="O18" i="14639"/>
  <c r="O4" i="14639"/>
  <c r="O30" i="14674"/>
  <c r="O18" i="14674"/>
  <c r="O4" i="14674"/>
  <c r="O30" i="14675"/>
  <c r="O18" i="14675"/>
  <c r="O4" i="14675"/>
  <c r="O30" i="14634"/>
  <c r="O18" i="14634"/>
  <c r="O4" i="14634"/>
  <c r="A39" i="14628"/>
  <c r="A40" i="14628"/>
  <c r="A29" i="14639"/>
  <c r="A30" i="14628"/>
  <c r="A29" i="14674"/>
  <c r="A29" i="14675"/>
  <c r="A29" i="14634"/>
  <c r="B30" i="14628"/>
  <c r="B15" i="14628"/>
  <c r="N32" i="14624"/>
  <c r="N32" i="14636"/>
  <c r="N4" i="14636"/>
  <c r="N32" i="14672"/>
  <c r="N4" i="14672"/>
  <c r="N32" i="14673"/>
  <c r="N4" i="14673"/>
  <c r="N32" i="14629"/>
  <c r="N4" i="14629"/>
  <c r="A60" i="14624"/>
  <c r="A60" i="14629" s="1"/>
  <c r="A58" i="14636"/>
  <c r="A58" i="14672"/>
  <c r="A58" i="14673"/>
  <c r="A58" i="14629"/>
  <c r="A55" i="14636"/>
  <c r="A55" i="14672"/>
  <c r="A55" i="14673"/>
  <c r="A55" i="14629"/>
  <c r="A32" i="14636"/>
  <c r="A32" i="14672"/>
  <c r="A32" i="14673"/>
  <c r="A32" i="14629"/>
  <c r="A27" i="14636"/>
  <c r="A27" i="14672"/>
  <c r="A27" i="14673"/>
  <c r="A27" i="14629"/>
  <c r="A22" i="14629" a="1"/>
  <c r="A17" i="14629" a="1"/>
  <c r="A17" i="14629" s="1"/>
  <c r="A6" i="14636"/>
  <c r="A6" i="14672"/>
  <c r="A6" i="14673"/>
  <c r="A6" i="14629"/>
  <c r="A4" i="14636"/>
  <c r="A4" i="14672"/>
  <c r="A4" i="14673"/>
  <c r="A4" i="14629"/>
  <c r="N44" i="14681"/>
  <c r="N35" i="14681"/>
  <c r="N26" i="14681"/>
  <c r="N17" i="14681"/>
  <c r="A49" i="14681"/>
  <c r="A45" i="14681" a="1"/>
  <c r="A46" i="14681" s="1"/>
  <c r="A43" i="14681"/>
  <c r="A40" i="14681"/>
  <c r="A36" i="14681" a="1"/>
  <c r="A37" i="14681" s="1"/>
  <c r="A34" i="14681"/>
  <c r="A31" i="14681"/>
  <c r="A27" i="14681" a="1"/>
  <c r="A28" i="14681" s="1"/>
  <c r="A25" i="14681"/>
  <c r="A22" i="14681"/>
  <c r="A18" i="14681" a="1"/>
  <c r="A16" i="14681"/>
  <c r="R31" i="14638"/>
  <c r="R31" i="14678"/>
  <c r="R31" i="14679"/>
  <c r="R31" i="14632"/>
  <c r="P18" i="14638"/>
  <c r="P18" i="14678"/>
  <c r="P18" i="14679"/>
  <c r="P18" i="14632"/>
  <c r="P46" i="14638"/>
  <c r="P46" i="14678"/>
  <c r="P46" i="14679"/>
  <c r="P46" i="14632"/>
  <c r="A48" i="14623" a="1"/>
  <c r="A51" i="14623" s="1"/>
  <c r="A45" i="14623"/>
  <c r="A34" i="14638"/>
  <c r="A34" i="14678"/>
  <c r="A34" i="14679"/>
  <c r="A34" i="14632"/>
  <c r="A32" i="14623"/>
  <c r="A19" i="14638" a="1"/>
  <c r="A22" i="14638" s="1"/>
  <c r="A26" i="14638"/>
  <c r="A19" i="14678" a="1"/>
  <c r="A19" i="14679" a="1"/>
  <c r="A19" i="14632" a="1"/>
  <c r="A26" i="14632" s="1"/>
  <c r="A17" i="14638"/>
  <c r="A17" i="14678"/>
  <c r="A17" i="14679"/>
  <c r="A17" i="14632"/>
  <c r="A6" i="14638"/>
  <c r="A6" i="14678"/>
  <c r="A6" i="14679"/>
  <c r="A6" i="14632"/>
  <c r="A4" i="14623"/>
  <c r="A1" i="14638"/>
  <c r="A1" i="14678"/>
  <c r="A1" i="14679"/>
  <c r="A1" i="14632"/>
  <c r="I6" i="14659"/>
  <c r="L6" i="14659"/>
  <c r="O6" i="14659"/>
  <c r="A29" i="14631"/>
  <c r="A29" i="14640"/>
  <c r="A29" i="14670"/>
  <c r="A29" i="14671"/>
  <c r="A29" i="8"/>
  <c r="A25" i="14631" a="1"/>
  <c r="A25" i="14640" a="1"/>
  <c r="A25" i="14670" a="1"/>
  <c r="A25" i="14671" a="1"/>
  <c r="A25" i="8" a="1"/>
  <c r="A22" i="14631" a="1"/>
  <c r="A22" i="14640" a="1"/>
  <c r="A23" i="14640" s="1"/>
  <c r="A22" i="14670" a="1"/>
  <c r="A22" i="14670" s="1"/>
  <c r="A23" i="14670"/>
  <c r="A22" i="14671" a="1"/>
  <c r="A22" i="8" a="1"/>
  <c r="A20" i="14631"/>
  <c r="A20" i="14640"/>
  <c r="A20" i="14670"/>
  <c r="A20" i="14671"/>
  <c r="A20" i="8"/>
  <c r="A15" i="14631" a="1"/>
  <c r="A18" i="14631" s="1"/>
  <c r="A16" i="14631"/>
  <c r="A15" i="14640" a="1"/>
  <c r="A18" i="14640" s="1"/>
  <c r="A15" i="14670" a="1"/>
  <c r="A18" i="14670" s="1"/>
  <c r="A15" i="14671" a="1"/>
  <c r="A15" i="8" a="1"/>
  <c r="A13" i="14631"/>
  <c r="A13" i="14640"/>
  <c r="A13" i="14670"/>
  <c r="A13" i="14671"/>
  <c r="A13" i="8"/>
  <c r="A9" i="14631" a="1"/>
  <c r="A9" i="14640" a="1"/>
  <c r="A9" i="14670" a="1"/>
  <c r="A9" i="14671" a="1"/>
  <c r="A9" i="8" a="1"/>
  <c r="A4" i="14631" a="1"/>
  <c r="A4" i="14640" a="1"/>
  <c r="A7" i="14640" s="1"/>
  <c r="A4" i="14670" a="1"/>
  <c r="A4" i="14670" s="1"/>
  <c r="A5" i="14670"/>
  <c r="A7" i="14670"/>
  <c r="A4" i="14671" a="1"/>
  <c r="A4" i="8" a="1"/>
  <c r="A4" i="8" s="1"/>
  <c r="A7" i="8"/>
  <c r="C19" i="14686"/>
  <c r="D19" i="14686" s="1"/>
  <c r="E19" i="14686" s="1"/>
  <c r="F19" i="14686" s="1"/>
  <c r="B9" i="14687" a="1"/>
  <c r="B9" i="14687" s="1"/>
  <c r="C18" i="14687"/>
  <c r="C13" i="14687" s="1"/>
  <c r="F108" i="14700"/>
  <c r="F108" i="14701"/>
  <c r="F108" i="14702"/>
  <c r="F108" i="14704"/>
  <c r="F108" i="14698"/>
  <c r="A89" i="14703"/>
  <c r="A89" i="14704"/>
  <c r="A70" i="14700"/>
  <c r="A57" i="14703"/>
  <c r="A70" i="14701"/>
  <c r="A70" i="14702"/>
  <c r="A70" i="14704"/>
  <c r="A70" i="14698"/>
  <c r="A44" i="14700"/>
  <c r="A44" i="14701"/>
  <c r="A44" i="14702"/>
  <c r="A44" i="14704"/>
  <c r="A44" i="14698"/>
  <c r="A7" i="14700"/>
  <c r="A7" i="14701"/>
  <c r="A7" i="14702"/>
  <c r="A7" i="14704"/>
  <c r="A7" i="14698"/>
  <c r="A19" i="14700"/>
  <c r="A19" i="14701"/>
  <c r="A19" i="14702"/>
  <c r="A19" i="14704"/>
  <c r="A19" i="14698"/>
  <c r="A45" i="14698" s="1"/>
  <c r="A31" i="14703"/>
  <c r="A18" i="14700"/>
  <c r="A18" i="14701"/>
  <c r="A18" i="14702"/>
  <c r="A18" i="14704"/>
  <c r="A18" i="14698"/>
  <c r="A6" i="14700"/>
  <c r="A6" i="14701"/>
  <c r="A6" i="14702"/>
  <c r="A6" i="14704"/>
  <c r="A6" i="14698"/>
  <c r="A104" i="14698"/>
  <c r="A85" i="14698"/>
  <c r="A104" i="14703"/>
  <c r="A85" i="14703"/>
  <c r="A91" i="14698" a="1"/>
  <c r="A91" i="14700" a="1"/>
  <c r="A91" i="14701" a="1"/>
  <c r="A98" i="14701" s="1"/>
  <c r="A94" i="14701"/>
  <c r="A102" i="14701"/>
  <c r="A91" i="14702" a="1"/>
  <c r="A100" i="14702" s="1"/>
  <c r="A91" i="14704" a="1"/>
  <c r="A98" i="14704" s="1"/>
  <c r="A91" i="14703" a="1"/>
  <c r="A40" i="14698"/>
  <c r="A40" i="14700"/>
  <c r="A40" i="14701"/>
  <c r="A40" i="14702"/>
  <c r="A40" i="14704"/>
  <c r="A40" i="14703"/>
  <c r="A45" i="14700"/>
  <c r="A45" i="14703"/>
  <c r="I18" i="14698"/>
  <c r="I18" i="14700"/>
  <c r="I181" i="14700"/>
  <c r="I18" i="14701"/>
  <c r="I235" i="14701"/>
  <c r="I217" i="14701"/>
  <c r="I199" i="14701"/>
  <c r="I181" i="14701"/>
  <c r="I18" i="14702"/>
  <c r="I18" i="14704"/>
  <c r="I145" i="14704" s="1"/>
  <c r="I217" i="14704"/>
  <c r="I181" i="14704"/>
  <c r="I18" i="14703"/>
  <c r="I163" i="14700"/>
  <c r="I163" i="14701"/>
  <c r="I145" i="14701"/>
  <c r="I127" i="14701"/>
  <c r="I109" i="14701"/>
  <c r="I109" i="14704"/>
  <c r="I44" i="14701"/>
  <c r="I44" i="14704"/>
  <c r="A58" i="14703"/>
  <c r="A58" i="14700"/>
  <c r="A58" i="14698"/>
  <c r="A54" i="14703"/>
  <c r="A67" i="14703"/>
  <c r="N19" i="14703"/>
  <c r="N31" i="14703"/>
  <c r="N31" i="14698"/>
  <c r="N19" i="14698"/>
  <c r="N31" i="14701"/>
  <c r="N19" i="14701"/>
  <c r="N31" i="14702"/>
  <c r="N19" i="14702"/>
  <c r="N31" i="14704"/>
  <c r="N19" i="14704"/>
  <c r="N31" i="14700"/>
  <c r="N19" i="14700"/>
  <c r="I70" i="14701"/>
  <c r="A67" i="14698"/>
  <c r="A54" i="14698"/>
  <c r="E3" i="14655"/>
  <c r="E20" i="14655" s="1"/>
  <c r="F3" i="14655"/>
  <c r="G3" i="14655"/>
  <c r="G9" i="14655" s="1"/>
  <c r="H3" i="14655"/>
  <c r="I3" i="14655"/>
  <c r="I15" i="14655" s="1"/>
  <c r="J3" i="14655"/>
  <c r="J18" i="14655" s="1"/>
  <c r="K3" i="14655"/>
  <c r="K21" i="14655" s="1"/>
  <c r="L3" i="14655"/>
  <c r="L13" i="14655" s="1"/>
  <c r="M3" i="14655"/>
  <c r="M9" i="14655" s="1"/>
  <c r="N3" i="14655"/>
  <c r="O3" i="14655"/>
  <c r="P3" i="14655"/>
  <c r="P9" i="14655" s="1"/>
  <c r="D48" i="14665"/>
  <c r="B39" i="14622"/>
  <c r="B40" i="14622"/>
  <c r="B41" i="14622"/>
  <c r="B6" i="14649"/>
  <c r="D62" i="14665"/>
  <c r="E14" i="14707" s="1"/>
  <c r="C18" i="4129"/>
  <c r="I62" i="14665"/>
  <c r="E62" i="14665"/>
  <c r="G14" i="14707" s="1"/>
  <c r="I14" i="14707" s="1"/>
  <c r="K14" i="14707" s="1"/>
  <c r="M14" i="14707" s="1"/>
  <c r="A84" i="14648"/>
  <c r="A89" i="14648"/>
  <c r="A6" i="14648"/>
  <c r="B19" i="14685"/>
  <c r="C20" i="14689"/>
  <c r="D20" i="14689"/>
  <c r="F9" i="14661"/>
  <c r="E20" i="14689"/>
  <c r="F20" i="14689"/>
  <c r="H9" i="14661" s="1"/>
  <c r="B23" i="14689" a="1"/>
  <c r="C26" i="14689"/>
  <c r="D26" i="14689"/>
  <c r="F10" i="14661" s="1"/>
  <c r="E26" i="14689"/>
  <c r="G10" i="14661" s="1"/>
  <c r="F26" i="14689"/>
  <c r="H10" i="14661" s="1"/>
  <c r="B34" i="14689" a="1"/>
  <c r="B35" i="14689"/>
  <c r="C37" i="14689"/>
  <c r="E12" i="14661" s="1"/>
  <c r="D37" i="14689"/>
  <c r="F12" i="14661" s="1"/>
  <c r="E37" i="14689"/>
  <c r="G12" i="14661" s="1"/>
  <c r="F37" i="14689"/>
  <c r="H12" i="14661" s="1"/>
  <c r="B40" i="14689" a="1"/>
  <c r="B41" i="14689" s="1"/>
  <c r="C43" i="14689"/>
  <c r="E13" i="14661" s="1"/>
  <c r="D43" i="14689"/>
  <c r="F13" i="14661" s="1"/>
  <c r="E43" i="14689"/>
  <c r="G13" i="14661" s="1"/>
  <c r="F43" i="14689"/>
  <c r="H13" i="14661" s="1"/>
  <c r="B46" i="14689" a="1"/>
  <c r="C50" i="14689"/>
  <c r="D50" i="14689"/>
  <c r="F14" i="14661" s="1"/>
  <c r="E50" i="14689"/>
  <c r="G14" i="14661" s="1"/>
  <c r="F50" i="14689"/>
  <c r="H14" i="14661" s="1"/>
  <c r="B53" i="14689" a="1"/>
  <c r="B53" i="14689" s="1"/>
  <c r="B54" i="14689"/>
  <c r="B55" i="14689" s="1"/>
  <c r="C55" i="14689"/>
  <c r="E15" i="14661" s="1"/>
  <c r="D55" i="14689"/>
  <c r="F15" i="14661" s="1"/>
  <c r="E55" i="14689"/>
  <c r="G15" i="14661" s="1"/>
  <c r="F55" i="14689"/>
  <c r="B62" i="14685"/>
  <c r="B58" i="14689" s="1" a="1"/>
  <c r="B60" i="14689" s="1"/>
  <c r="C63" i="14689"/>
  <c r="D63" i="14689"/>
  <c r="E63" i="14689"/>
  <c r="E17" i="14661" s="1" a="1"/>
  <c r="H17" i="14661" s="1"/>
  <c r="F63" i="14689"/>
  <c r="B19" i="14652"/>
  <c r="B23" i="14622"/>
  <c r="B53" i="14665"/>
  <c r="B24" i="14622"/>
  <c r="H7" i="14647"/>
  <c r="H24" i="14647" s="1"/>
  <c r="H39" i="14647" s="1"/>
  <c r="H8" i="14647"/>
  <c r="H9" i="14647"/>
  <c r="H10" i="14647"/>
  <c r="H11" i="14647"/>
  <c r="H28" i="14647" s="1"/>
  <c r="H12" i="14647"/>
  <c r="H13" i="14647"/>
  <c r="H30" i="14647" s="1"/>
  <c r="H45" i="14647" s="1"/>
  <c r="H14" i="14647"/>
  <c r="G7" i="14647"/>
  <c r="G24" i="14647" s="1"/>
  <c r="G39" i="14647" s="1"/>
  <c r="G8" i="14647"/>
  <c r="G9" i="14647"/>
  <c r="G26" i="14647" s="1"/>
  <c r="G10" i="14647"/>
  <c r="G11" i="14647"/>
  <c r="G28" i="14647" s="1"/>
  <c r="G12" i="14647"/>
  <c r="G13" i="14647"/>
  <c r="G30" i="14647"/>
  <c r="G45" i="14647" s="1"/>
  <c r="G14" i="14647"/>
  <c r="F7" i="14647"/>
  <c r="F24" i="14647" s="1"/>
  <c r="F8" i="14647"/>
  <c r="F9" i="14647"/>
  <c r="F26" i="14647" s="1"/>
  <c r="F10" i="14647"/>
  <c r="F11" i="14647"/>
  <c r="F28" i="14647"/>
  <c r="F43" i="14647" s="1"/>
  <c r="F12" i="14647"/>
  <c r="F29" i="14647" s="1"/>
  <c r="F44" i="14647" s="1"/>
  <c r="F13" i="14647"/>
  <c r="F14" i="14647"/>
  <c r="E7" i="14647"/>
  <c r="E8" i="14647"/>
  <c r="E25" i="14647" s="1"/>
  <c r="E40" i="14647" s="1"/>
  <c r="E9" i="14647"/>
  <c r="E26" i="14647" s="1"/>
  <c r="E10" i="14647"/>
  <c r="E11" i="14647"/>
  <c r="E28" i="14647" s="1"/>
  <c r="E43" i="14647" s="1"/>
  <c r="E12" i="14647"/>
  <c r="E13" i="14647"/>
  <c r="E30" i="14647" s="1"/>
  <c r="E14" i="14647"/>
  <c r="E31" i="14647" s="1"/>
  <c r="E46" i="14647" s="1"/>
  <c r="D7" i="14647"/>
  <c r="D8" i="14647"/>
  <c r="D25" i="14647" s="1"/>
  <c r="D40" i="14647" s="1"/>
  <c r="D9" i="14647"/>
  <c r="D10" i="14647"/>
  <c r="D11" i="14647"/>
  <c r="D12" i="14647"/>
  <c r="D29" i="14647" s="1"/>
  <c r="D44" i="14647" s="1"/>
  <c r="D13" i="14647"/>
  <c r="D14" i="14647"/>
  <c r="D31" i="14647" s="1"/>
  <c r="D46" i="14647" s="1"/>
  <c r="C7" i="14647"/>
  <c r="C8" i="14647"/>
  <c r="C9" i="14647"/>
  <c r="C10" i="14647"/>
  <c r="C27" i="14647" s="1"/>
  <c r="C42" i="14647" s="1"/>
  <c r="C11" i="14647"/>
  <c r="C12" i="14647"/>
  <c r="B12" i="14647" s="1"/>
  <c r="I12" i="14647" s="1"/>
  <c r="C13" i="14647"/>
  <c r="C14" i="14647"/>
  <c r="F54" i="14665"/>
  <c r="J54" i="14665"/>
  <c r="C54" i="14665"/>
  <c r="D54" i="14665"/>
  <c r="E54" i="14665"/>
  <c r="G54" i="14665"/>
  <c r="H54" i="14665"/>
  <c r="I54" i="14665"/>
  <c r="K54" i="14665"/>
  <c r="L54" i="14665"/>
  <c r="M54" i="14665"/>
  <c r="F55" i="14665"/>
  <c r="J55" i="14665"/>
  <c r="C55" i="14665"/>
  <c r="D55" i="14665"/>
  <c r="D56" i="14665" s="1"/>
  <c r="D57" i="14665" s="1"/>
  <c r="E55" i="14665"/>
  <c r="G55" i="14665"/>
  <c r="H55" i="14665"/>
  <c r="I55" i="14665"/>
  <c r="K55" i="14665"/>
  <c r="K56" i="14665" s="1"/>
  <c r="K57" i="14665" s="1"/>
  <c r="L55" i="14665"/>
  <c r="M55" i="14665"/>
  <c r="F56" i="14665"/>
  <c r="J56" i="14665"/>
  <c r="C56" i="14665"/>
  <c r="E56" i="14665"/>
  <c r="G56" i="14665"/>
  <c r="H56" i="14665"/>
  <c r="I56" i="14665"/>
  <c r="L56" i="14665"/>
  <c r="L57" i="14665" s="1"/>
  <c r="M56" i="14665"/>
  <c r="F57" i="14665"/>
  <c r="J57" i="14665"/>
  <c r="C57" i="14665"/>
  <c r="E57" i="14665"/>
  <c r="G57" i="14665"/>
  <c r="H57" i="14665"/>
  <c r="I57" i="14665"/>
  <c r="M57" i="14665"/>
  <c r="C19" i="14690"/>
  <c r="B14" i="11" s="1"/>
  <c r="B38" i="14665"/>
  <c r="E6" i="8" s="1"/>
  <c r="C6" i="8"/>
  <c r="M6" i="8"/>
  <c r="D38" i="14665"/>
  <c r="N10" i="14706"/>
  <c r="L10" i="14706"/>
  <c r="J10" i="14706"/>
  <c r="H10" i="14706"/>
  <c r="F10" i="14706"/>
  <c r="I8" i="14665"/>
  <c r="I6" i="14665"/>
  <c r="F18" i="14667"/>
  <c r="L18" i="14667"/>
  <c r="J18" i="14667"/>
  <c r="H18" i="14667"/>
  <c r="B9" i="14685"/>
  <c r="B7" i="14661"/>
  <c r="B22" i="14685"/>
  <c r="B26" i="14685" s="1"/>
  <c r="B39" i="14685"/>
  <c r="B43" i="14685" s="1"/>
  <c r="B52" i="14685"/>
  <c r="B55" i="14685"/>
  <c r="B57" i="14685" a="1"/>
  <c r="E62" i="14685"/>
  <c r="E58" i="14685"/>
  <c r="E59" i="14685"/>
  <c r="E60" i="14685"/>
  <c r="G58" i="14685" s="1" a="1"/>
  <c r="G60" i="14685" s="1"/>
  <c r="E61" i="14685"/>
  <c r="C77" i="4129"/>
  <c r="C79" i="4129"/>
  <c r="I57" i="14685" a="1"/>
  <c r="I57" i="14685" s="1"/>
  <c r="I63" i="14685" s="1"/>
  <c r="I52" i="14685" a="1"/>
  <c r="I45" i="14685" a="1"/>
  <c r="I39" i="14685" a="1"/>
  <c r="I39" i="14685" s="1"/>
  <c r="I43" i="14685" s="1"/>
  <c r="I33" i="14685" a="1"/>
  <c r="I28" i="14685" a="1"/>
  <c r="I28" i="14685" s="1"/>
  <c r="I31" i="14685" s="1"/>
  <c r="I22" i="14685" a="1"/>
  <c r="I22" i="14685" s="1"/>
  <c r="I26" i="14685" s="1"/>
  <c r="I20" i="14685"/>
  <c r="I10" i="14685"/>
  <c r="C14" i="14690"/>
  <c r="C80" i="4129"/>
  <c r="C22" i="14685"/>
  <c r="C39" i="14685"/>
  <c r="C52" i="14685"/>
  <c r="N64" i="14645"/>
  <c r="N74" i="14645"/>
  <c r="N84" i="14645"/>
  <c r="C17" i="14690"/>
  <c r="B13" i="11" s="1"/>
  <c r="B22" i="14622"/>
  <c r="B9" i="14622"/>
  <c r="B7" i="14622" s="1"/>
  <c r="B36" i="14622" s="1"/>
  <c r="B23" i="14693"/>
  <c r="D19" i="14705" s="1"/>
  <c r="D9" i="14705" s="1"/>
  <c r="B25" i="14693"/>
  <c r="B20" i="14693"/>
  <c r="D21" i="14706" s="1"/>
  <c r="F21" i="14706"/>
  <c r="H21" i="14706" s="1"/>
  <c r="J21" i="14706" s="1"/>
  <c r="L21" i="14706" s="1"/>
  <c r="N21" i="14706" s="1"/>
  <c r="A2" i="14706"/>
  <c r="F33" i="14665"/>
  <c r="E24" i="14665"/>
  <c r="B2" i="14662"/>
  <c r="A8" i="14662"/>
  <c r="A9" i="14662" s="1"/>
  <c r="A10" i="14662" s="1"/>
  <c r="A12" i="14662"/>
  <c r="A13" i="14662" s="1"/>
  <c r="A14" i="14662" s="1"/>
  <c r="A15" i="14662" s="1"/>
  <c r="M17" i="14662"/>
  <c r="M18" i="14662"/>
  <c r="M19" i="14662"/>
  <c r="A22" i="14662"/>
  <c r="A23" i="14662"/>
  <c r="A24" i="14662" s="1"/>
  <c r="A25" i="14662" s="1"/>
  <c r="A26" i="14662" s="1"/>
  <c r="A27" i="14662" s="1"/>
  <c r="A29" i="14662"/>
  <c r="A30" i="14662" s="1"/>
  <c r="A31" i="14662" s="1"/>
  <c r="A32" i="14662" s="1"/>
  <c r="A33" i="14662" s="1"/>
  <c r="A34" i="14662"/>
  <c r="J73" i="14662"/>
  <c r="J74" i="14662"/>
  <c r="D21" i="4129"/>
  <c r="B25" i="4129"/>
  <c r="C11" i="14690" s="1"/>
  <c r="A27" i="4129"/>
  <c r="A29" i="4129"/>
  <c r="I29" i="4129"/>
  <c r="J30" i="4129" s="1"/>
  <c r="D5" i="14681" s="1"/>
  <c r="D30" i="4129"/>
  <c r="A31" i="4129"/>
  <c r="D31" i="4129"/>
  <c r="A32" i="4129"/>
  <c r="D32" i="4129"/>
  <c r="C37" i="4129"/>
  <c r="A13" i="14659" s="1"/>
  <c r="C39" i="4129"/>
  <c r="A2" i="14665"/>
  <c r="E13" i="14665"/>
  <c r="C79" i="14649" s="1"/>
  <c r="F79" i="14649" s="1"/>
  <c r="D18" i="14665"/>
  <c r="E18" i="14665" s="1"/>
  <c r="F18" i="14665" s="1"/>
  <c r="A22" i="14665"/>
  <c r="E23" i="14665"/>
  <c r="F23" i="14665"/>
  <c r="A24" i="14665"/>
  <c r="F24" i="14665"/>
  <c r="K109" i="14702" s="1"/>
  <c r="A25" i="14665"/>
  <c r="A26" i="14665"/>
  <c r="A27" i="14665"/>
  <c r="A28" i="14665"/>
  <c r="A29" i="14665"/>
  <c r="A30" i="14665"/>
  <c r="A31" i="14665"/>
  <c r="E33" i="14665"/>
  <c r="D42" i="14665"/>
  <c r="E42" i="14665" s="1"/>
  <c r="B85" i="14665"/>
  <c r="J88" i="14665" s="1"/>
  <c r="B86" i="14665"/>
  <c r="A102" i="14665"/>
  <c r="A106" i="14665"/>
  <c r="B106" i="14665"/>
  <c r="A107" i="14665"/>
  <c r="B107" i="14665"/>
  <c r="A108" i="14665"/>
  <c r="B108" i="14665"/>
  <c r="A109" i="14665"/>
  <c r="B109" i="14665"/>
  <c r="E1" i="14705"/>
  <c r="H9" i="14705"/>
  <c r="G30" i="14705"/>
  <c r="H39" i="14705"/>
  <c r="H47" i="14705"/>
  <c r="D48" i="14705"/>
  <c r="D49" i="14705"/>
  <c r="D53" i="14705"/>
  <c r="H57" i="14705"/>
  <c r="A2" i="14685"/>
  <c r="G4" i="14685"/>
  <c r="K6" i="14685"/>
  <c r="K7" i="14685"/>
  <c r="K8" i="14685"/>
  <c r="D10" i="14685" a="1"/>
  <c r="D10" i="14685" s="1"/>
  <c r="B30" i="14661" s="1"/>
  <c r="K13" i="14685"/>
  <c r="K14" i="14685"/>
  <c r="K15" i="14685"/>
  <c r="K16" i="14685"/>
  <c r="K17" i="14685"/>
  <c r="K18" i="14685"/>
  <c r="D19" i="14685"/>
  <c r="D22" i="14685"/>
  <c r="J22" i="14685"/>
  <c r="K23" i="14685"/>
  <c r="K24" i="14685"/>
  <c r="K25" i="14685"/>
  <c r="D28" i="14685"/>
  <c r="J28" i="14685"/>
  <c r="K29" i="14685"/>
  <c r="K30" i="14685"/>
  <c r="D33" i="14685"/>
  <c r="K34" i="14685"/>
  <c r="K35" i="14685"/>
  <c r="K36" i="14685"/>
  <c r="D39" i="14685"/>
  <c r="K40" i="14685"/>
  <c r="K41" i="14685"/>
  <c r="K42" i="14685"/>
  <c r="G45" i="14685"/>
  <c r="K46" i="14685"/>
  <c r="K47" i="14685"/>
  <c r="K48" i="14685"/>
  <c r="K49" i="14685"/>
  <c r="D52" i="14685"/>
  <c r="G52" i="14685"/>
  <c r="K53" i="14685"/>
  <c r="K54" i="14685"/>
  <c r="K58" i="14685"/>
  <c r="K59" i="14685"/>
  <c r="K60" i="14685"/>
  <c r="K61" i="14685"/>
  <c r="D62" i="14685"/>
  <c r="A2" i="14689"/>
  <c r="A5" i="14689" a="1"/>
  <c r="C10" i="14689"/>
  <c r="D10" i="14689"/>
  <c r="E10" i="14689"/>
  <c r="F10" i="14689"/>
  <c r="A12" i="14689" a="1"/>
  <c r="A19" i="14689" s="1"/>
  <c r="A22" i="14689" a="1"/>
  <c r="A26" i="14689" s="1"/>
  <c r="A28" i="14689" a="1"/>
  <c r="B29" i="14689" a="1"/>
  <c r="C31" i="14689"/>
  <c r="E11" i="14661" s="1"/>
  <c r="D31" i="14689"/>
  <c r="F11" i="14661" s="1"/>
  <c r="E31" i="14689"/>
  <c r="G11" i="14661" s="1"/>
  <c r="F31" i="14689"/>
  <c r="A39" i="14689" a="1"/>
  <c r="A40" i="14689" s="1"/>
  <c r="A39" i="14689"/>
  <c r="A76" i="14689" s="1"/>
  <c r="A43" i="14689"/>
  <c r="A52" i="14689" a="1"/>
  <c r="A57" i="14689" a="1"/>
  <c r="A2" i="14693"/>
  <c r="A12" i="14693"/>
  <c r="A20" i="14693"/>
  <c r="A26" i="14693"/>
  <c r="A2" i="14622"/>
  <c r="C11" i="14622"/>
  <c r="D11" i="14622"/>
  <c r="E11" i="14622"/>
  <c r="C12" i="14622"/>
  <c r="E12" i="14622" a="1"/>
  <c r="E13" i="14622" s="1"/>
  <c r="B16" i="14622"/>
  <c r="B45" i="14622" s="1"/>
  <c r="A19" i="14622"/>
  <c r="A20" i="14622"/>
  <c r="B20" i="14622"/>
  <c r="B21" i="14622"/>
  <c r="A39" i="14622" a="1"/>
  <c r="A43" i="14622"/>
  <c r="B43" i="14622" a="1"/>
  <c r="B43" i="14622" s="1"/>
  <c r="A44" i="14622"/>
  <c r="A63" i="14622"/>
  <c r="B63" i="14622"/>
  <c r="A64" i="14622"/>
  <c r="B64" i="14622"/>
  <c r="A65" i="14622"/>
  <c r="B65" i="14622"/>
  <c r="A66" i="14622"/>
  <c r="B66" i="14622"/>
  <c r="A2" i="14690"/>
  <c r="B31" i="14690"/>
  <c r="C21" i="14690" s="1"/>
  <c r="D21" i="14690"/>
  <c r="E21" i="14690" a="1"/>
  <c r="H21" i="14690" s="1"/>
  <c r="D23" i="14690"/>
  <c r="E23" i="14690" a="1"/>
  <c r="F23" i="14690" s="1"/>
  <c r="H23" i="14690"/>
  <c r="B30" i="14690"/>
  <c r="B32" i="14690"/>
  <c r="E32" i="14690"/>
  <c r="G32" i="14690"/>
  <c r="H32" i="14690" s="1"/>
  <c r="E33" i="14690"/>
  <c r="F33" i="14690" s="1"/>
  <c r="B34" i="14690"/>
  <c r="C34" i="14690"/>
  <c r="F34" i="14690"/>
  <c r="G34" i="14690" s="1"/>
  <c r="H34" i="14690" s="1"/>
  <c r="B35" i="14690"/>
  <c r="E35" i="14690"/>
  <c r="F35" i="14690"/>
  <c r="G35" i="14690" s="1"/>
  <c r="H35" i="14690" s="1"/>
  <c r="E36" i="14690"/>
  <c r="G36" i="14690"/>
  <c r="H36" i="14690" s="1"/>
  <c r="A42" i="14690"/>
  <c r="E49" i="14690"/>
  <c r="E51" i="14690"/>
  <c r="E52" i="14690"/>
  <c r="B56" i="14690"/>
  <c r="B58" i="14690"/>
  <c r="E58" i="14690"/>
  <c r="F58" i="14690" s="1"/>
  <c r="G58" i="14690" s="1"/>
  <c r="H58" i="14690" s="1"/>
  <c r="B59" i="14690"/>
  <c r="E60" i="14690"/>
  <c r="F60" i="14690"/>
  <c r="G60" i="14690" s="1"/>
  <c r="H60" i="14690" s="1"/>
  <c r="B61" i="14690"/>
  <c r="C61" i="14690"/>
  <c r="D61" i="14690"/>
  <c r="E61" i="14690"/>
  <c r="F61" i="14690"/>
  <c r="G61" i="14690"/>
  <c r="H61" i="14690"/>
  <c r="B62" i="14690"/>
  <c r="C64" i="14690"/>
  <c r="D64" i="14690"/>
  <c r="E64" i="14690"/>
  <c r="F64" i="14690"/>
  <c r="G64" i="14690"/>
  <c r="H64" i="14690"/>
  <c r="D65" i="14690"/>
  <c r="B67" i="14690"/>
  <c r="B69" i="14690"/>
  <c r="E69" i="14690"/>
  <c r="E70" i="14690"/>
  <c r="F70" i="14690"/>
  <c r="G70" i="14690" s="1"/>
  <c r="H70" i="14690" s="1"/>
  <c r="B71" i="14690"/>
  <c r="C71" i="14690"/>
  <c r="D71" i="14690"/>
  <c r="E71" i="14690"/>
  <c r="F71" i="14690"/>
  <c r="G71" i="14690"/>
  <c r="H71" i="14690"/>
  <c r="B72" i="14690"/>
  <c r="A2" i="11"/>
  <c r="A9" i="11"/>
  <c r="A13" i="11"/>
  <c r="A14" i="11"/>
  <c r="A2" i="14692"/>
  <c r="B16" i="14692"/>
  <c r="C16" i="14692"/>
  <c r="D16" i="14692"/>
  <c r="A28" i="14692" a="1"/>
  <c r="A29" i="14692" s="1"/>
  <c r="A32" i="14692"/>
  <c r="A60" i="14692" a="1"/>
  <c r="A2" i="14694"/>
  <c r="A5" i="14694" a="1"/>
  <c r="A8" i="14694" a="1"/>
  <c r="A9" i="14694" s="1"/>
  <c r="B15" i="14694"/>
  <c r="C15" i="14694"/>
  <c r="D15" i="14694"/>
  <c r="B16" i="14694"/>
  <c r="C16" i="14694"/>
  <c r="D16" i="14694"/>
  <c r="E16" i="14694" a="1"/>
  <c r="F16" i="14694" s="1"/>
  <c r="A24" i="14694"/>
  <c r="A27" i="14694" a="1"/>
  <c r="A28" i="14694" s="1"/>
  <c r="A2" i="14695"/>
  <c r="B15" i="14695"/>
  <c r="C15" i="14695"/>
  <c r="D15" i="14695"/>
  <c r="B16" i="14695"/>
  <c r="C16" i="14695"/>
  <c r="D16" i="14695"/>
  <c r="E16" i="14695" a="1"/>
  <c r="H16" i="14695" s="1"/>
  <c r="F16" i="14695"/>
  <c r="A24" i="14695"/>
  <c r="A34" i="14695" a="1"/>
  <c r="A35" i="14695" s="1"/>
  <c r="A48" i="14695" a="1"/>
  <c r="A49" i="14695"/>
  <c r="A51" i="14695"/>
  <c r="A2" i="14687"/>
  <c r="C4" i="14687"/>
  <c r="I18" i="14687"/>
  <c r="D18" i="14687"/>
  <c r="D13" i="14687" s="1"/>
  <c r="F18" i="14687"/>
  <c r="F13" i="14687" s="1"/>
  <c r="H18" i="14687"/>
  <c r="J18" i="14687"/>
  <c r="J14" i="14687" s="1"/>
  <c r="L18" i="14687"/>
  <c r="N18" i="14687"/>
  <c r="N11" i="14687" s="1"/>
  <c r="B11" i="14687"/>
  <c r="K18" i="14687"/>
  <c r="B12" i="14687"/>
  <c r="B13" i="14687"/>
  <c r="E18" i="14687"/>
  <c r="M18" i="14687"/>
  <c r="B14" i="14687"/>
  <c r="B15" i="14687"/>
  <c r="G18" i="14687"/>
  <c r="B16" i="14687"/>
  <c r="A25" i="14687"/>
  <c r="A27" i="14687"/>
  <c r="B27" i="14687"/>
  <c r="O27" i="14687"/>
  <c r="A36" i="14687"/>
  <c r="A38" i="14687" a="1"/>
  <c r="A41" i="14687" s="1"/>
  <c r="A44" i="14687"/>
  <c r="A46" i="14687"/>
  <c r="B46" i="14687"/>
  <c r="O46" i="14687"/>
  <c r="A55" i="14687"/>
  <c r="A57" i="14687" a="1"/>
  <c r="A58" i="14687" s="1"/>
  <c r="A63" i="14687"/>
  <c r="A65" i="14687"/>
  <c r="B65" i="14687"/>
  <c r="O65" i="14687"/>
  <c r="A74" i="14687"/>
  <c r="A76" i="14687" a="1"/>
  <c r="A76" i="14687" s="1"/>
  <c r="A82" i="14687"/>
  <c r="A84" i="14687"/>
  <c r="B84" i="14687"/>
  <c r="O84" i="14687"/>
  <c r="A93" i="14687"/>
  <c r="A95" i="14687" a="1"/>
  <c r="A2" i="14686"/>
  <c r="C6" i="14686"/>
  <c r="D6" i="14686" s="1"/>
  <c r="C7" i="14686"/>
  <c r="D7" i="14686" s="1"/>
  <c r="E7" i="14686" s="1"/>
  <c r="F7" i="14686" s="1"/>
  <c r="C8" i="14686"/>
  <c r="C9" i="14686"/>
  <c r="C10" i="14686"/>
  <c r="D10" i="14686" s="1"/>
  <c r="E10" i="14686" s="1"/>
  <c r="F10" i="14686" s="1"/>
  <c r="C11" i="14686"/>
  <c r="D11" i="14686" s="1"/>
  <c r="E11" i="14686" s="1"/>
  <c r="F11" i="14686" s="1"/>
  <c r="C12" i="14686"/>
  <c r="D12" i="14686" s="1"/>
  <c r="E12" i="14686" s="1"/>
  <c r="F12" i="14686" s="1"/>
  <c r="C13" i="14686"/>
  <c r="D13" i="14686" s="1"/>
  <c r="E13" i="14686" s="1"/>
  <c r="F13" i="14686" s="1"/>
  <c r="B14" i="14686"/>
  <c r="A19" i="14686"/>
  <c r="A20" i="14686"/>
  <c r="C20" i="14686"/>
  <c r="D20" i="14686" s="1"/>
  <c r="E20" i="14686" s="1"/>
  <c r="F20" i="14686" s="1"/>
  <c r="A21" i="14686"/>
  <c r="C21" i="14686"/>
  <c r="D21" i="14686" s="1"/>
  <c r="E21" i="14686" s="1"/>
  <c r="F21" i="14686" s="1"/>
  <c r="A22" i="14686"/>
  <c r="C22" i="14686"/>
  <c r="D22" i="14686" s="1"/>
  <c r="E22" i="14686" s="1"/>
  <c r="F22" i="14686" s="1"/>
  <c r="A23" i="14686"/>
  <c r="C23" i="14686"/>
  <c r="D23" i="14686" s="1"/>
  <c r="E23" i="14686" s="1"/>
  <c r="F23" i="14686" s="1"/>
  <c r="A24" i="14686"/>
  <c r="C24" i="14686"/>
  <c r="D24" i="14686" s="1"/>
  <c r="E24" i="14686" s="1"/>
  <c r="F24" i="14686" s="1"/>
  <c r="A25" i="14686"/>
  <c r="C25" i="14686"/>
  <c r="D25" i="14686" s="1"/>
  <c r="E25" i="14686" s="1"/>
  <c r="F25" i="14686" s="1"/>
  <c r="A26" i="14686"/>
  <c r="C26" i="14686"/>
  <c r="D26" i="14686"/>
  <c r="E26" i="14686" s="1"/>
  <c r="F26" i="14686" s="1"/>
  <c r="B29" i="14686" a="1"/>
  <c r="B29" i="14686" s="1"/>
  <c r="B30" i="14686" a="1"/>
  <c r="B30" i="14686" s="1"/>
  <c r="C34" i="14686"/>
  <c r="E34" i="14686"/>
  <c r="C39" i="14686"/>
  <c r="D39" i="14686" s="1"/>
  <c r="E39" i="14686" s="1"/>
  <c r="F39" i="14686" s="1"/>
  <c r="C40" i="14686"/>
  <c r="D40" i="14686" s="1"/>
  <c r="E40" i="14686" s="1"/>
  <c r="F40" i="14686"/>
  <c r="C41" i="14686"/>
  <c r="D41" i="14686"/>
  <c r="E41" i="14686" s="1"/>
  <c r="F41" i="14686" s="1"/>
  <c r="C42" i="14686"/>
  <c r="D42" i="14686" s="1"/>
  <c r="E42" i="14686" s="1"/>
  <c r="F42" i="14686" s="1"/>
  <c r="C43" i="14686"/>
  <c r="D43" i="14686" s="1"/>
  <c r="E43" i="14686" s="1"/>
  <c r="F43" i="14686" s="1"/>
  <c r="C44" i="14686"/>
  <c r="D44" i="14686" s="1"/>
  <c r="E44" i="14686" s="1"/>
  <c r="F44" i="14686" s="1"/>
  <c r="A47" i="14686"/>
  <c r="B48" i="14686" a="1"/>
  <c r="B48" i="14686" s="1"/>
  <c r="A48" i="14686"/>
  <c r="C53" i="14686"/>
  <c r="D53" i="14686" s="1"/>
  <c r="E53" i="14686" s="1"/>
  <c r="F53" i="14686" s="1"/>
  <c r="C54" i="14686"/>
  <c r="D54" i="14686" s="1"/>
  <c r="E54" i="14686" s="1"/>
  <c r="F54" i="14686" s="1"/>
  <c r="A2" i="14655"/>
  <c r="A7" i="14655"/>
  <c r="A11" i="14655"/>
  <c r="A3" i="14652"/>
  <c r="E7" i="14652"/>
  <c r="C8" i="14652"/>
  <c r="A19" i="14652"/>
  <c r="C19" i="14652"/>
  <c r="A20" i="14652"/>
  <c r="B20" i="14652"/>
  <c r="A21" i="14652"/>
  <c r="B21" i="14652"/>
  <c r="A22" i="14652"/>
  <c r="A20" i="14700" s="1" a="1"/>
  <c r="B22" i="14652"/>
  <c r="A23" i="14652"/>
  <c r="B23" i="14652"/>
  <c r="A24" i="14652"/>
  <c r="B24" i="14652"/>
  <c r="A25" i="14652"/>
  <c r="B25" i="14652"/>
  <c r="A26" i="14652"/>
  <c r="B26" i="14652"/>
  <c r="A32" i="14652"/>
  <c r="D32" i="14652" a="1"/>
  <c r="D32" i="14652" s="1"/>
  <c r="E32" i="14652"/>
  <c r="F32" i="14652" a="1"/>
  <c r="H32" i="14652" a="1"/>
  <c r="J32" i="14652" a="1"/>
  <c r="J32" i="14652" s="1"/>
  <c r="B45" i="14652"/>
  <c r="I45" i="14652" s="1"/>
  <c r="K45" i="14652" s="1"/>
  <c r="J45" i="14652" a="1"/>
  <c r="J45" i="14652" s="1"/>
  <c r="B46" i="14652"/>
  <c r="I46" i="14652" s="1"/>
  <c r="K46" i="14652" s="1"/>
  <c r="J46" i="14652" a="1"/>
  <c r="J46" i="14652" s="1"/>
  <c r="B47" i="14652"/>
  <c r="I47" i="14652" s="1"/>
  <c r="J47" i="14652" a="1"/>
  <c r="J47" i="14652" s="1"/>
  <c r="K47" i="14652"/>
  <c r="B48" i="14652"/>
  <c r="I48" i="14652" s="1"/>
  <c r="K48" i="14652" s="1"/>
  <c r="J48" i="14652" a="1"/>
  <c r="J48" i="14652" s="1"/>
  <c r="B49" i="14652"/>
  <c r="I49" i="14652" s="1"/>
  <c r="K49" i="14652" s="1"/>
  <c r="J49" i="14652" a="1"/>
  <c r="J49" i="14652" s="1"/>
  <c r="B50" i="14652"/>
  <c r="I50" i="14652" s="1"/>
  <c r="K50" i="14652" s="1"/>
  <c r="J50" i="14652" a="1"/>
  <c r="J50" i="14652" s="1"/>
  <c r="B51" i="14652"/>
  <c r="I51" i="14652" s="1"/>
  <c r="J51" i="14652" a="1"/>
  <c r="J51" i="14652" s="1"/>
  <c r="K51" i="14652"/>
  <c r="B52" i="14652"/>
  <c r="I52" i="14652" s="1"/>
  <c r="K52" i="14652" s="1"/>
  <c r="J52" i="14652" a="1"/>
  <c r="J52" i="14652" s="1"/>
  <c r="A56" i="14652" a="1"/>
  <c r="H56" i="14652"/>
  <c r="B57" i="14652"/>
  <c r="I57" i="14652" s="1"/>
  <c r="K57" i="14652" s="1"/>
  <c r="B58" i="14652"/>
  <c r="I58" i="14652"/>
  <c r="K58" i="14652" s="1"/>
  <c r="B59" i="14652"/>
  <c r="I59" i="14652" s="1"/>
  <c r="K59" i="14652" s="1"/>
  <c r="B60" i="14652"/>
  <c r="I60" i="14652" s="1"/>
  <c r="K60" i="14652" s="1"/>
  <c r="B61" i="14652"/>
  <c r="I61" i="14652" s="1"/>
  <c r="K61" i="14652" s="1"/>
  <c r="B62" i="14652"/>
  <c r="I62" i="14652" s="1"/>
  <c r="K62" i="14652" s="1"/>
  <c r="B63" i="14652"/>
  <c r="I63" i="14652" s="1"/>
  <c r="K63" i="14652" s="1"/>
  <c r="B64" i="14652"/>
  <c r="I64" i="14652" s="1"/>
  <c r="K64" i="14652" s="1"/>
  <c r="A1" i="14647"/>
  <c r="A6" i="14647" a="1"/>
  <c r="D6" i="14647" s="1"/>
  <c r="H6" i="14647"/>
  <c r="D24" i="14647"/>
  <c r="D39" i="14647" s="1"/>
  <c r="C25" i="14647"/>
  <c r="G25" i="14647"/>
  <c r="G40" i="14647" s="1"/>
  <c r="H25" i="14647"/>
  <c r="D26" i="14647"/>
  <c r="D41" i="14647" s="1"/>
  <c r="H26" i="14647"/>
  <c r="H41" i="14647" s="1"/>
  <c r="D27" i="14647"/>
  <c r="D42" i="14647" s="1"/>
  <c r="E27" i="14647"/>
  <c r="E42" i="14647" s="1"/>
  <c r="F27" i="14647"/>
  <c r="H27" i="14647"/>
  <c r="H42" i="14647" s="1"/>
  <c r="D28" i="14647"/>
  <c r="D43" i="14647" s="1"/>
  <c r="E29" i="14647"/>
  <c r="E44" i="14647" s="1"/>
  <c r="G29" i="14647"/>
  <c r="G44" i="14647" s="1"/>
  <c r="H29" i="14647"/>
  <c r="D30" i="14647"/>
  <c r="D45" i="14647" s="1"/>
  <c r="F31" i="14647"/>
  <c r="F46" i="14647" s="1"/>
  <c r="G31" i="14647"/>
  <c r="G46" i="14647" s="1"/>
  <c r="H31" i="14647"/>
  <c r="H46" i="14647" s="1"/>
  <c r="F39" i="14647"/>
  <c r="C40" i="14647"/>
  <c r="H40" i="14647"/>
  <c r="E41" i="14647"/>
  <c r="G41" i="14647"/>
  <c r="F42" i="14647"/>
  <c r="H43" i="14647"/>
  <c r="H44" i="14647"/>
  <c r="E45" i="14647"/>
  <c r="C55" i="14647"/>
  <c r="C73" i="14647" s="1"/>
  <c r="C88" i="14647" s="1"/>
  <c r="D55" i="14647"/>
  <c r="E55" i="14647"/>
  <c r="E73" i="14647" s="1"/>
  <c r="E88" i="14647" s="1"/>
  <c r="F55" i="14647"/>
  <c r="G55" i="14647"/>
  <c r="G73" i="14647" s="1"/>
  <c r="G88" i="14647" s="1"/>
  <c r="H55" i="14647"/>
  <c r="H73" i="14647" s="1"/>
  <c r="H88" i="14647" s="1"/>
  <c r="C56" i="14647"/>
  <c r="C74" i="14647" s="1"/>
  <c r="D56" i="14647"/>
  <c r="E56" i="14647"/>
  <c r="E74" i="14647" s="1"/>
  <c r="E89" i="14647" s="1"/>
  <c r="F56" i="14647"/>
  <c r="G56" i="14647"/>
  <c r="H56" i="14647"/>
  <c r="C57" i="14647"/>
  <c r="C75" i="14647" s="1"/>
  <c r="C90" i="14647" s="1"/>
  <c r="D57" i="14647"/>
  <c r="E57" i="14647"/>
  <c r="E75" i="14647" s="1"/>
  <c r="E90" i="14647" s="1"/>
  <c r="F57" i="14647"/>
  <c r="F75" i="14647" s="1"/>
  <c r="F90" i="14647" s="1"/>
  <c r="G57" i="14647"/>
  <c r="G75" i="14647" s="1"/>
  <c r="G90" i="14647" s="1"/>
  <c r="H57" i="14647"/>
  <c r="H75" i="14647"/>
  <c r="H90" i="14647" s="1"/>
  <c r="C58" i="14647"/>
  <c r="C76" i="14647" s="1"/>
  <c r="C91" i="14647" s="1"/>
  <c r="D58" i="14647"/>
  <c r="D76" i="14647" s="1"/>
  <c r="D91" i="14647" s="1"/>
  <c r="E58" i="14647"/>
  <c r="E76" i="14647" s="1"/>
  <c r="E91" i="14647" s="1"/>
  <c r="F58" i="14647"/>
  <c r="F76" i="14647" s="1"/>
  <c r="F91" i="14647" s="1"/>
  <c r="G58" i="14647"/>
  <c r="H58" i="14647"/>
  <c r="C59" i="14647"/>
  <c r="J59" i="14647" s="1" a="1"/>
  <c r="J59" i="14647" s="1"/>
  <c r="D59" i="14647"/>
  <c r="E59" i="14647"/>
  <c r="E77" i="14647" s="1"/>
  <c r="E92" i="14647" s="1"/>
  <c r="F59" i="14647"/>
  <c r="F77" i="14647" s="1"/>
  <c r="F92" i="14647" s="1"/>
  <c r="G59" i="14647"/>
  <c r="G77" i="14647" s="1"/>
  <c r="G92" i="14647" s="1"/>
  <c r="H59" i="14647"/>
  <c r="H77" i="14647" s="1"/>
  <c r="H92" i="14647" s="1"/>
  <c r="C60" i="14647"/>
  <c r="C78" i="14647" s="1"/>
  <c r="D60" i="14647"/>
  <c r="D78" i="14647" s="1"/>
  <c r="D93" i="14647" s="1"/>
  <c r="E60" i="14647"/>
  <c r="F60" i="14647"/>
  <c r="F78" i="14647" s="1"/>
  <c r="G60" i="14647"/>
  <c r="G78" i="14647" s="1"/>
  <c r="G93" i="14647" s="1"/>
  <c r="H60" i="14647"/>
  <c r="H78" i="14647" s="1"/>
  <c r="C61" i="14647"/>
  <c r="D61" i="14647"/>
  <c r="E61" i="14647"/>
  <c r="E79" i="14647" s="1"/>
  <c r="E94" i="14647" s="1"/>
  <c r="F61" i="14647"/>
  <c r="G61" i="14647"/>
  <c r="G79" i="14647" s="1"/>
  <c r="G94" i="14647" s="1"/>
  <c r="H61" i="14647"/>
  <c r="H79" i="14647" s="1"/>
  <c r="H94" i="14647" s="1"/>
  <c r="C62" i="14647"/>
  <c r="C80" i="14647" s="1"/>
  <c r="D62" i="14647"/>
  <c r="D80" i="14647" s="1"/>
  <c r="E62" i="14647"/>
  <c r="F62" i="14647"/>
  <c r="F80" i="14647" s="1"/>
  <c r="F95" i="14647" s="1"/>
  <c r="G62" i="14647"/>
  <c r="G80" i="14647" s="1"/>
  <c r="G95" i="14647" s="1"/>
  <c r="H62" i="14647"/>
  <c r="D74" i="14647"/>
  <c r="D89" i="14647" s="1"/>
  <c r="F74" i="14647"/>
  <c r="F89" i="14647" s="1"/>
  <c r="H74" i="14647"/>
  <c r="H89" i="14647" s="1"/>
  <c r="H76" i="14647"/>
  <c r="H91" i="14647" s="1"/>
  <c r="F93" i="14647"/>
  <c r="H93" i="14647"/>
  <c r="C79" i="14647"/>
  <c r="D95" i="14647"/>
  <c r="H80" i="14647"/>
  <c r="H95" i="14647" s="1"/>
  <c r="C95" i="14647"/>
  <c r="A2" i="14653"/>
  <c r="B14" i="14653"/>
  <c r="A18" i="14653"/>
  <c r="A27" i="14653"/>
  <c r="B27" i="14653"/>
  <c r="C27" i="14653"/>
  <c r="D27" i="14653"/>
  <c r="E27" i="14653"/>
  <c r="F27" i="14653"/>
  <c r="G27" i="14653"/>
  <c r="H27" i="14653"/>
  <c r="I27" i="14653"/>
  <c r="J27" i="14653"/>
  <c r="K27" i="14653"/>
  <c r="L27" i="14653"/>
  <c r="M27" i="14653"/>
  <c r="A31" i="14653"/>
  <c r="O45" i="14653"/>
  <c r="O58" i="14653" s="1"/>
  <c r="A40" i="14653"/>
  <c r="B41" i="14653"/>
  <c r="B54" i="14653" s="1"/>
  <c r="B67" i="14653" s="1"/>
  <c r="A44" i="14653"/>
  <c r="A53" i="14653"/>
  <c r="A57" i="14653"/>
  <c r="A66" i="14653"/>
  <c r="A70" i="14653"/>
  <c r="A79" i="14653"/>
  <c r="A1" i="14626"/>
  <c r="B29" i="14626"/>
  <c r="A2" i="7"/>
  <c r="A2" i="14674" s="1"/>
  <c r="A16" i="7"/>
  <c r="A29" i="7"/>
  <c r="A2" i="14630"/>
  <c r="A16" i="14630"/>
  <c r="A29" i="14630"/>
  <c r="A2" i="14637"/>
  <c r="A16" i="14637"/>
  <c r="A29" i="14637"/>
  <c r="A2" i="14668"/>
  <c r="A16" i="14668"/>
  <c r="A29" i="14668"/>
  <c r="A2" i="14669"/>
  <c r="A16" i="14669"/>
  <c r="A29" i="14669"/>
  <c r="A2" i="14699"/>
  <c r="N8" i="14699"/>
  <c r="N9" i="14699"/>
  <c r="N10" i="14699"/>
  <c r="N11" i="14699"/>
  <c r="O11" i="14699" s="1" a="1"/>
  <c r="O11" i="14699" s="1"/>
  <c r="N12" i="14699"/>
  <c r="N13" i="14699"/>
  <c r="O13" i="14699" s="1" a="1"/>
  <c r="O13" i="14699" s="1"/>
  <c r="N14" i="14699"/>
  <c r="N15" i="14699"/>
  <c r="O15" i="14699" s="1" a="1"/>
  <c r="O15" i="14699" s="1"/>
  <c r="A2" i="14703"/>
  <c r="B41" i="14703"/>
  <c r="A90" i="14703"/>
  <c r="A106" i="14703"/>
  <c r="A2" i="14698"/>
  <c r="A68" i="14698"/>
  <c r="A90" i="14698"/>
  <c r="A106" i="14698"/>
  <c r="A2" i="14700"/>
  <c r="A68" i="14700"/>
  <c r="A90" i="14700"/>
  <c r="A106" i="14700"/>
  <c r="A2" i="14701"/>
  <c r="A68" i="14701"/>
  <c r="A90" i="14701"/>
  <c r="A106" i="14701"/>
  <c r="A2" i="14702"/>
  <c r="A68" i="14702"/>
  <c r="A90" i="14702"/>
  <c r="A106" i="14702"/>
  <c r="A2" i="14704"/>
  <c r="A68" i="14704"/>
  <c r="A90" i="14704"/>
  <c r="A106" i="14704"/>
  <c r="A18" i="14683"/>
  <c r="A33" i="14683"/>
  <c r="A2" i="8"/>
  <c r="A2" i="14631"/>
  <c r="A2" i="14640"/>
  <c r="A2" i="14670"/>
  <c r="A2" i="14671"/>
  <c r="A2" i="14667"/>
  <c r="D10" i="14667"/>
  <c r="F10" i="14667" s="1"/>
  <c r="H10" i="14667" s="1"/>
  <c r="J10" i="14667" s="1"/>
  <c r="L10" i="14667" s="1"/>
  <c r="N10" i="14667" s="1"/>
  <c r="C29" i="14705"/>
  <c r="N94" i="14645"/>
  <c r="N104" i="14645"/>
  <c r="A2" i="14617"/>
  <c r="A35" i="14659"/>
  <c r="A35" i="14617"/>
  <c r="A2" i="14659"/>
  <c r="B17" i="14659"/>
  <c r="A27" i="14659"/>
  <c r="P14" i="14657"/>
  <c r="C27" i="14657"/>
  <c r="A2" i="14623"/>
  <c r="A2" i="14632"/>
  <c r="A2" i="14638"/>
  <c r="A2" i="14678"/>
  <c r="A2" i="14679"/>
  <c r="A2" i="14624"/>
  <c r="A1" i="14629"/>
  <c r="A2" i="14629"/>
  <c r="A1" i="14636"/>
  <c r="A2" i="14636"/>
  <c r="A1" i="14672"/>
  <c r="A2" i="14672"/>
  <c r="A1" i="14673"/>
  <c r="A2" i="14673"/>
  <c r="A1" i="14628"/>
  <c r="A4" i="14628"/>
  <c r="B9" i="14628" s="1"/>
  <c r="B9" i="14639" s="1"/>
  <c r="A5" i="14628"/>
  <c r="A6" i="14628"/>
  <c r="A7" i="14628"/>
  <c r="O7" i="14628"/>
  <c r="A8" i="14628"/>
  <c r="A11" i="14628"/>
  <c r="A12" i="14628"/>
  <c r="A13" i="14628"/>
  <c r="A11" i="14634" s="1" a="1"/>
  <c r="C15" i="14628"/>
  <c r="G15" i="14628"/>
  <c r="A17" i="14628"/>
  <c r="A19" i="14628"/>
  <c r="A20" i="14628"/>
  <c r="A21" i="14628"/>
  <c r="A22" i="14628"/>
  <c r="A19" i="14675" s="1" a="1"/>
  <c r="A24" i="14628"/>
  <c r="A26" i="14628"/>
  <c r="A26" i="14639" s="1"/>
  <c r="C15" i="14634"/>
  <c r="C15" i="14639"/>
  <c r="C15" i="14674"/>
  <c r="C15" i="14675"/>
  <c r="A2" i="14682"/>
  <c r="A25" i="14682"/>
  <c r="A2" i="14661"/>
  <c r="D4" i="14661"/>
  <c r="E4" i="14661"/>
  <c r="E7" i="14661"/>
  <c r="E8" i="14661" s="1"/>
  <c r="F7" i="14661"/>
  <c r="G7" i="14661"/>
  <c r="H7" i="14661"/>
  <c r="H8" i="14661" s="1"/>
  <c r="H11" i="14661"/>
  <c r="A2" i="14648"/>
  <c r="C11" i="14648"/>
  <c r="D11" i="14648"/>
  <c r="E11" i="14648"/>
  <c r="F11" i="14648"/>
  <c r="G11" i="14648"/>
  <c r="H11" i="14648"/>
  <c r="I11" i="14648"/>
  <c r="J11" i="14648"/>
  <c r="K11" i="14648"/>
  <c r="L11" i="14648"/>
  <c r="M11" i="14648"/>
  <c r="N11" i="14648"/>
  <c r="B12" i="14648"/>
  <c r="B13" i="14648"/>
  <c r="B14" i="14648"/>
  <c r="B29" i="14648" s="1"/>
  <c r="B44" i="14648" s="1"/>
  <c r="B59" i="14648" s="1"/>
  <c r="B74" i="14648" s="1"/>
  <c r="A22" i="14648" a="1"/>
  <c r="A22" i="14648" s="1"/>
  <c r="A37" i="14648" a="1"/>
  <c r="A38" i="14648" s="1"/>
  <c r="A52" i="14648" a="1"/>
  <c r="A67" i="14648" a="1"/>
  <c r="B85" i="14648"/>
  <c r="O86" i="14648"/>
  <c r="A90" i="14648" a="1"/>
  <c r="A91" i="14648" s="1"/>
  <c r="O91" i="14648"/>
  <c r="A95" i="14648" a="1"/>
  <c r="A95" i="14648" s="1"/>
  <c r="O96" i="14648"/>
  <c r="A100" i="14648" a="1"/>
  <c r="A100" i="14648" s="1"/>
  <c r="O101" i="14648"/>
  <c r="A105" i="14648" a="1"/>
  <c r="A106" i="14648" s="1"/>
  <c r="A105" i="14648"/>
  <c r="O106" i="14648"/>
  <c r="A2" i="14625"/>
  <c r="A14" i="14625"/>
  <c r="A15" i="14625"/>
  <c r="A12" i="14684" s="1" a="1"/>
  <c r="A17" i="14625"/>
  <c r="A22" i="14625"/>
  <c r="C24" i="14625" a="1"/>
  <c r="O28" i="14625"/>
  <c r="A2" i="14633"/>
  <c r="A5" i="14633" a="1"/>
  <c r="C24" i="14633" a="1"/>
  <c r="H24" i="14633" s="1"/>
  <c r="E24" i="14633"/>
  <c r="F24" i="14633"/>
  <c r="G24" i="14633"/>
  <c r="J24" i="14633"/>
  <c r="L24" i="14633"/>
  <c r="M24" i="14633"/>
  <c r="N24" i="14633"/>
  <c r="A28" i="14633" a="1"/>
  <c r="O28" i="14633"/>
  <c r="A30" i="14633"/>
  <c r="A2" i="14641"/>
  <c r="A5" i="14641"/>
  <c r="A9" i="14641"/>
  <c r="O21" i="14641"/>
  <c r="C24" i="14641" a="1"/>
  <c r="G24" i="14641" s="1"/>
  <c r="A28" i="14641" a="1"/>
  <c r="O28" i="14641"/>
  <c r="A30" i="14641"/>
  <c r="A2" i="14676"/>
  <c r="A5" i="14676" a="1"/>
  <c r="A6" i="14676" s="1"/>
  <c r="A8" i="14676"/>
  <c r="A11" i="14676"/>
  <c r="A19" i="14676" a="1"/>
  <c r="A20" i="14676"/>
  <c r="O21" i="14676"/>
  <c r="C24" i="14676" a="1"/>
  <c r="D24" i="14676" s="1"/>
  <c r="F24" i="14676"/>
  <c r="J24" i="14676"/>
  <c r="N24" i="14676"/>
  <c r="A28" i="14676" a="1"/>
  <c r="O28" i="14676"/>
  <c r="A2" i="14677"/>
  <c r="O21" i="14677"/>
  <c r="C24" i="14677" a="1"/>
  <c r="A28" i="14677" a="1"/>
  <c r="A30" i="14677" s="1"/>
  <c r="O28" i="14677"/>
  <c r="A2" i="14645"/>
  <c r="N8" i="14645"/>
  <c r="N9" i="14645"/>
  <c r="A15" i="14645"/>
  <c r="A35" i="14645" s="1"/>
  <c r="A18" i="14645" a="1"/>
  <c r="N18" i="14645"/>
  <c r="N19" i="14645"/>
  <c r="A25" i="14645"/>
  <c r="A28" i="14645" a="1"/>
  <c r="A31" i="14645" s="1"/>
  <c r="N28" i="14645"/>
  <c r="N29" i="14645"/>
  <c r="N38" i="14645"/>
  <c r="B39" i="14645"/>
  <c r="N39" i="14645" s="1"/>
  <c r="N40" i="14645"/>
  <c r="A46" i="14645"/>
  <c r="N49" i="14645"/>
  <c r="B50" i="14645"/>
  <c r="N50" i="14645" s="1"/>
  <c r="N51" i="14645"/>
  <c r="N62" i="14645"/>
  <c r="N63" i="14645"/>
  <c r="A69" i="14645"/>
  <c r="A72" i="14645" a="1"/>
  <c r="N72" i="14645"/>
  <c r="A79" i="14645"/>
  <c r="A99" i="14645" s="1"/>
  <c r="A82" i="14645" a="1"/>
  <c r="N82" i="14645"/>
  <c r="A84" i="14645"/>
  <c r="N85" i="14645"/>
  <c r="B86" i="14645"/>
  <c r="C86" i="14645"/>
  <c r="D86" i="14645"/>
  <c r="E86" i="14645"/>
  <c r="F86" i="14645"/>
  <c r="G86" i="14645"/>
  <c r="I86" i="14645"/>
  <c r="J86" i="14645"/>
  <c r="K86" i="14645"/>
  <c r="L86" i="14645"/>
  <c r="A89" i="14645"/>
  <c r="A92" i="14645" a="1"/>
  <c r="A94" i="14645" s="1"/>
  <c r="N92" i="14645"/>
  <c r="N95" i="14645"/>
  <c r="B96" i="14645"/>
  <c r="C96" i="14645"/>
  <c r="D96" i="14645"/>
  <c r="E96" i="14645"/>
  <c r="F96" i="14645"/>
  <c r="G96" i="14645"/>
  <c r="I96" i="14645"/>
  <c r="J96" i="14645"/>
  <c r="K96" i="14645"/>
  <c r="L96" i="14645"/>
  <c r="A102" i="14645" a="1"/>
  <c r="A103" i="14645" s="1"/>
  <c r="N102" i="14645"/>
  <c r="A104" i="14645"/>
  <c r="N105" i="14645"/>
  <c r="B106" i="14645"/>
  <c r="C106" i="14645"/>
  <c r="D106" i="14645"/>
  <c r="E106" i="14645"/>
  <c r="F106" i="14645"/>
  <c r="G106" i="14645"/>
  <c r="I106" i="14645"/>
  <c r="J106" i="14645"/>
  <c r="K106" i="14645"/>
  <c r="L106" i="14645"/>
  <c r="A2" i="14684"/>
  <c r="B70" i="14684"/>
  <c r="B2" i="14643"/>
  <c r="B37" i="14643"/>
  <c r="D38" i="14643"/>
  <c r="A2" i="4128"/>
  <c r="A46" i="4128"/>
  <c r="A2" i="14696"/>
  <c r="O12" i="14696"/>
  <c r="B23" i="14696"/>
  <c r="B25" i="14696"/>
  <c r="B27" i="14696" s="1"/>
  <c r="B59" i="14708" s="1"/>
  <c r="C29" i="14696"/>
  <c r="B31" i="14696"/>
  <c r="A3" i="14649"/>
  <c r="B3" i="14649"/>
  <c r="B4" i="14649"/>
  <c r="A6" i="14649"/>
  <c r="B8" i="14649"/>
  <c r="A9" i="14649"/>
  <c r="B9" i="14649"/>
  <c r="B10" i="14649"/>
  <c r="A12" i="14649"/>
  <c r="D16" i="14649"/>
  <c r="E16" i="14649"/>
  <c r="F16" i="14649"/>
  <c r="G16" i="14649"/>
  <c r="A31" i="14649"/>
  <c r="B33" i="14649"/>
  <c r="A40" i="14649"/>
  <c r="B53" i="14649"/>
  <c r="A34" i="14617" s="1"/>
  <c r="E81" i="14649"/>
  <c r="B91" i="14649"/>
  <c r="A52" i="14695"/>
  <c r="F25" i="14665"/>
  <c r="K127" i="14698" s="1"/>
  <c r="F27" i="14665"/>
  <c r="F29" i="14665"/>
  <c r="F31" i="14665"/>
  <c r="K235" i="14702" s="1"/>
  <c r="F26" i="14665"/>
  <c r="F30" i="14665"/>
  <c r="K217" i="14700" s="1"/>
  <c r="K235" i="14698"/>
  <c r="K235" i="14704"/>
  <c r="K145" i="14703"/>
  <c r="K145" i="14700"/>
  <c r="K145" i="14702"/>
  <c r="K145" i="14698"/>
  <c r="K145" i="14704"/>
  <c r="K145" i="14701"/>
  <c r="I16" i="14687"/>
  <c r="I15" i="14687"/>
  <c r="L13" i="14687"/>
  <c r="E9" i="14661"/>
  <c r="E10" i="14661"/>
  <c r="E14" i="14661"/>
  <c r="G9" i="14661"/>
  <c r="H15" i="14661"/>
  <c r="A12" i="14634"/>
  <c r="A11" i="14639" a="1"/>
  <c r="A19" i="14634" a="1"/>
  <c r="A19" i="14674" a="1"/>
  <c r="A19" i="14639" a="1"/>
  <c r="A22" i="14639" s="1"/>
  <c r="A22" i="14689"/>
  <c r="A73" i="14689" s="1"/>
  <c r="A24" i="14689"/>
  <c r="A23" i="14689"/>
  <c r="B23" i="14689"/>
  <c r="B25" i="14689"/>
  <c r="B24" i="14689"/>
  <c r="A25" i="14689"/>
  <c r="A30" i="14689"/>
  <c r="A12" i="14689"/>
  <c r="A72" i="14689" s="1"/>
  <c r="A14" i="14689"/>
  <c r="A16" i="14689"/>
  <c r="A18" i="14689"/>
  <c r="A20" i="14689"/>
  <c r="B40" i="14689"/>
  <c r="B42" i="14689"/>
  <c r="G7" i="14622"/>
  <c r="G29" i="14685" a="1"/>
  <c r="G29" i="14685" s="1"/>
  <c r="E20" i="14685"/>
  <c r="C55" i="14685" a="1"/>
  <c r="C55" i="14685" s="1"/>
  <c r="G6" i="14685"/>
  <c r="A17" i="14661"/>
  <c r="N21" i="14633"/>
  <c r="F21" i="14633"/>
  <c r="I65" i="14645"/>
  <c r="I66" i="14645" s="1"/>
  <c r="M75" i="14645"/>
  <c r="E75" i="14645"/>
  <c r="E76" i="14645" s="1"/>
  <c r="D12" i="11"/>
  <c r="D20" i="11"/>
  <c r="D40" i="14706"/>
  <c r="J21" i="14633"/>
  <c r="M65" i="14645"/>
  <c r="M66" i="14645" s="1"/>
  <c r="I75" i="14645"/>
  <c r="I76" i="14645" s="1"/>
  <c r="F35" i="14667"/>
  <c r="H35" i="14667" s="1"/>
  <c r="J35" i="14667" s="1"/>
  <c r="L35" i="14667" s="1"/>
  <c r="G25" i="14626"/>
  <c r="L21" i="14633"/>
  <c r="H21" i="14633"/>
  <c r="D21" i="14633"/>
  <c r="K65" i="14645"/>
  <c r="K66" i="14645" s="1"/>
  <c r="K75" i="14645"/>
  <c r="K76" i="14645" s="1"/>
  <c r="G75" i="14645"/>
  <c r="G76" i="14645" s="1"/>
  <c r="C75" i="14645"/>
  <c r="C76" i="14645" s="1"/>
  <c r="D28" i="14706"/>
  <c r="G26" i="14626"/>
  <c r="D29" i="11"/>
  <c r="D42" i="14667"/>
  <c r="D39" i="14667"/>
  <c r="D41" i="14667"/>
  <c r="D28" i="11"/>
  <c r="D13" i="11"/>
  <c r="G12" i="14626" s="1"/>
  <c r="D35" i="14706"/>
  <c r="D35" i="14667"/>
  <c r="G19" i="14626"/>
  <c r="M21" i="14633"/>
  <c r="K21" i="14633"/>
  <c r="I21" i="14633"/>
  <c r="G21" i="14633"/>
  <c r="E21" i="14633"/>
  <c r="C21" i="14633"/>
  <c r="L65" i="14645"/>
  <c r="L66" i="14645" s="1"/>
  <c r="J65" i="14645"/>
  <c r="J66" i="14645" s="1"/>
  <c r="H65" i="14645"/>
  <c r="H66" i="14645" s="1"/>
  <c r="L75" i="14645"/>
  <c r="L76" i="14645" s="1"/>
  <c r="J75" i="14645"/>
  <c r="J76" i="14645" s="1"/>
  <c r="H75" i="14645"/>
  <c r="F75" i="14645"/>
  <c r="F76" i="14645" s="1"/>
  <c r="D75" i="14645"/>
  <c r="D76" i="14645" s="1"/>
  <c r="J6" i="14661"/>
  <c r="B16" i="14706"/>
  <c r="A47" i="14706"/>
  <c r="G29" i="14705"/>
  <c r="A29" i="14706"/>
  <c r="K163" i="14702"/>
  <c r="K163" i="14700"/>
  <c r="K217" i="14701"/>
  <c r="F28" i="14665"/>
  <c r="K109" i="14703"/>
  <c r="K109" i="14698"/>
  <c r="K109" i="14700"/>
  <c r="K109" i="14701"/>
  <c r="K109" i="14704"/>
  <c r="E29" i="14665"/>
  <c r="E30" i="14665"/>
  <c r="E31" i="14665"/>
  <c r="A32" i="14638"/>
  <c r="A32" i="14679"/>
  <c r="A32" i="14678"/>
  <c r="A32" i="14632"/>
  <c r="I163" i="14702"/>
  <c r="B15" i="14639"/>
  <c r="B15" i="14675"/>
  <c r="B15" i="14674"/>
  <c r="B15" i="14634"/>
  <c r="C76" i="14665"/>
  <c r="E4" i="14705"/>
  <c r="D4" i="14626"/>
  <c r="I235" i="14703"/>
  <c r="I199" i="14703"/>
  <c r="I145" i="14703"/>
  <c r="I217" i="14703"/>
  <c r="I127" i="14703"/>
  <c r="I109" i="14703"/>
  <c r="I44" i="14703"/>
  <c r="I235" i="14700"/>
  <c r="I199" i="14700"/>
  <c r="I145" i="14700"/>
  <c r="I70" i="14700"/>
  <c r="I217" i="14700"/>
  <c r="I127" i="14700"/>
  <c r="I109" i="14700"/>
  <c r="I44" i="14700"/>
  <c r="A57" i="14700"/>
  <c r="A57" i="14701"/>
  <c r="A57" i="14702"/>
  <c r="A57" i="14704"/>
  <c r="A57" i="14698"/>
  <c r="A73" i="14648"/>
  <c r="A75" i="14648"/>
  <c r="A72" i="14648"/>
  <c r="A74" i="14648"/>
  <c r="A76" i="14648"/>
  <c r="A58" i="14648"/>
  <c r="A60" i="14648"/>
  <c r="A62" i="14648"/>
  <c r="A57" i="14648"/>
  <c r="A59" i="14648"/>
  <c r="A61" i="14648"/>
  <c r="A43" i="14648"/>
  <c r="A45" i="14648"/>
  <c r="A47" i="14648"/>
  <c r="A42" i="14648"/>
  <c r="A44" i="14648"/>
  <c r="A46" i="14648"/>
  <c r="B100" i="14648"/>
  <c r="B105" i="14648"/>
  <c r="B95" i="14648"/>
  <c r="B90" i="14648"/>
  <c r="P6" i="14655"/>
  <c r="P8" i="14655"/>
  <c r="P10" i="14655"/>
  <c r="P12" i="14655"/>
  <c r="P7" i="14655"/>
  <c r="P11" i="14655"/>
  <c r="P15" i="14655"/>
  <c r="P17" i="14655"/>
  <c r="P19" i="14655"/>
  <c r="P21" i="14655"/>
  <c r="P26" i="14655"/>
  <c r="N6" i="14655"/>
  <c r="N8" i="14655"/>
  <c r="N10" i="14655"/>
  <c r="N12" i="14655"/>
  <c r="N9" i="14655"/>
  <c r="N13" i="14655"/>
  <c r="N15" i="14655"/>
  <c r="N17" i="14655"/>
  <c r="N19" i="14655"/>
  <c r="N21" i="14655"/>
  <c r="N26" i="14655"/>
  <c r="J6" i="14655"/>
  <c r="J8" i="14655"/>
  <c r="J10" i="14655"/>
  <c r="J12" i="14655"/>
  <c r="J9" i="14655"/>
  <c r="J13" i="14655"/>
  <c r="J15" i="14655"/>
  <c r="J17" i="14655"/>
  <c r="J19" i="14655"/>
  <c r="J21" i="14655"/>
  <c r="J26" i="14655"/>
  <c r="H6" i="14655"/>
  <c r="H8" i="14655"/>
  <c r="H10" i="14655"/>
  <c r="H12" i="14655"/>
  <c r="H14" i="14655"/>
  <c r="H7" i="14655"/>
  <c r="H11" i="14655"/>
  <c r="H15" i="14655"/>
  <c r="H17" i="14655"/>
  <c r="H19" i="14655"/>
  <c r="H21" i="14655"/>
  <c r="H26" i="14655"/>
  <c r="F6" i="14655"/>
  <c r="F12" i="14655"/>
  <c r="F15" i="14655"/>
  <c r="F17" i="14655"/>
  <c r="F19" i="14655"/>
  <c r="P20" i="14655"/>
  <c r="N20" i="14655"/>
  <c r="J20" i="14655"/>
  <c r="H20" i="14655"/>
  <c r="P16" i="14655"/>
  <c r="N16" i="14655"/>
  <c r="J16" i="14655"/>
  <c r="H16" i="14655"/>
  <c r="P13" i="14655"/>
  <c r="H13" i="14655"/>
  <c r="N11" i="14655"/>
  <c r="F11" i="14655"/>
  <c r="J7" i="14655"/>
  <c r="I7" i="14655"/>
  <c r="G6" i="14655"/>
  <c r="G13" i="14655"/>
  <c r="B14" i="14667"/>
  <c r="K163" i="14701"/>
  <c r="K163" i="14698"/>
  <c r="K163" i="14703"/>
  <c r="A102" i="14645"/>
  <c r="A106" i="14645"/>
  <c r="A82" i="14645"/>
  <c r="A83" i="14645"/>
  <c r="A85" i="14645"/>
  <c r="A86" i="14645"/>
  <c r="A30" i="14645"/>
  <c r="A32" i="14645"/>
  <c r="L24" i="14677"/>
  <c r="A24" i="14676"/>
  <c r="A5" i="14676"/>
  <c r="A7" i="14676"/>
  <c r="A9" i="14676"/>
  <c r="A10" i="14676"/>
  <c r="A28" i="14633"/>
  <c r="A29" i="14633"/>
  <c r="A31" i="14633"/>
  <c r="C24" i="14625"/>
  <c r="E24" i="14625"/>
  <c r="G24" i="14625"/>
  <c r="I24" i="14625"/>
  <c r="K24" i="14625"/>
  <c r="M24" i="14625"/>
  <c r="A24" i="14639"/>
  <c r="K163" i="14704"/>
  <c r="K217" i="14703"/>
  <c r="E30" i="14696"/>
  <c r="C33" i="14649"/>
  <c r="A13" i="14684"/>
  <c r="A72" i="14645"/>
  <c r="A73" i="14645"/>
  <c r="A75" i="14645"/>
  <c r="G24" i="14677"/>
  <c r="I24" i="14677"/>
  <c r="K24" i="14677"/>
  <c r="A19" i="14676"/>
  <c r="A21" i="14676"/>
  <c r="A23" i="14676"/>
  <c r="A25" i="14676"/>
  <c r="E24" i="14641"/>
  <c r="I24" i="14641"/>
  <c r="L24" i="14625"/>
  <c r="H24" i="14625"/>
  <c r="D24" i="14625"/>
  <c r="A13" i="14677" a="1"/>
  <c r="C94" i="14647"/>
  <c r="D79" i="14647"/>
  <c r="D77" i="14647"/>
  <c r="C89" i="14647"/>
  <c r="D73" i="14647"/>
  <c r="A6" i="14647"/>
  <c r="C6" i="14647"/>
  <c r="E6" i="14647"/>
  <c r="G6" i="14647"/>
  <c r="I6" i="14647"/>
  <c r="B6" i="14647"/>
  <c r="F6" i="14647"/>
  <c r="J6" i="14647"/>
  <c r="A95" i="14687"/>
  <c r="A97" i="14687"/>
  <c r="A99" i="14687"/>
  <c r="A96" i="14687"/>
  <c r="A98" i="14687"/>
  <c r="A5" i="14694"/>
  <c r="A6" i="14694"/>
  <c r="F49" i="14690"/>
  <c r="B72" i="14684" s="1"/>
  <c r="B71" i="14684"/>
  <c r="G33" i="14690"/>
  <c r="H33" i="14690" s="1"/>
  <c r="H32" i="14652"/>
  <c r="I32" i="14652"/>
  <c r="A39" i="14622"/>
  <c r="A41" i="14622"/>
  <c r="A40" i="14622"/>
  <c r="D8" i="14686"/>
  <c r="C29" i="14686" a="1"/>
  <c r="C29" i="14686" s="1"/>
  <c r="G16" i="14687"/>
  <c r="C11" i="14687"/>
  <c r="K11" i="14687"/>
  <c r="H13" i="14687"/>
  <c r="F51" i="14690"/>
  <c r="B42" i="14648" s="1"/>
  <c r="B27" i="14648"/>
  <c r="E21" i="14690"/>
  <c r="G21" i="14690"/>
  <c r="G25" i="14690" s="1"/>
  <c r="F21" i="14690"/>
  <c r="F25" i="14690" s="1"/>
  <c r="A63" i="14689"/>
  <c r="A57" i="14689"/>
  <c r="A79" i="14689" s="1"/>
  <c r="A62" i="14689"/>
  <c r="A13" i="14689"/>
  <c r="A17" i="14689"/>
  <c r="A15" i="14689"/>
  <c r="G8" i="14661"/>
  <c r="F42" i="14665"/>
  <c r="G42" i="14665"/>
  <c r="B43" i="14665" s="1" a="1"/>
  <c r="C30" i="14647"/>
  <c r="C45" i="14647" s="1"/>
  <c r="B9" i="14647"/>
  <c r="I9" i="14647" s="1"/>
  <c r="C26" i="14647"/>
  <c r="C24" i="14647"/>
  <c r="C39" i="14647" s="1"/>
  <c r="A15" i="14671"/>
  <c r="A17" i="14671"/>
  <c r="A16" i="14671"/>
  <c r="A18" i="14671"/>
  <c r="A22" i="14640"/>
  <c r="B36" i="14706"/>
  <c r="B34" i="14667"/>
  <c r="B57" i="14685"/>
  <c r="B63" i="14685" s="1"/>
  <c r="E57" i="14685"/>
  <c r="E63" i="14685" s="1"/>
  <c r="C57" i="14685"/>
  <c r="D57" i="14685"/>
  <c r="C3" i="4128"/>
  <c r="I181" i="14703"/>
  <c r="I163" i="14703"/>
  <c r="A91" i="14704"/>
  <c r="A93" i="14704"/>
  <c r="A95" i="14704"/>
  <c r="A97" i="14704"/>
  <c r="A99" i="14704"/>
  <c r="A101" i="14704"/>
  <c r="A103" i="14704"/>
  <c r="A92" i="14704"/>
  <c r="A96" i="14704"/>
  <c r="A100" i="14704"/>
  <c r="A94" i="14704"/>
  <c r="A102" i="14704"/>
  <c r="A91" i="14698"/>
  <c r="A93" i="14698"/>
  <c r="A99" i="14698"/>
  <c r="A103" i="14698"/>
  <c r="A92" i="14698"/>
  <c r="A102" i="14698"/>
  <c r="A4" i="14671"/>
  <c r="A6" i="14671"/>
  <c r="A45" i="14638"/>
  <c r="A45" i="14679"/>
  <c r="A45" i="14678"/>
  <c r="A45" i="14632"/>
  <c r="A15" i="14636"/>
  <c r="A15" i="14673"/>
  <c r="A15" i="14629"/>
  <c r="A15" i="14672"/>
  <c r="A6" i="14641"/>
  <c r="A8" i="14641"/>
  <c r="A10" i="14641"/>
  <c r="B39" i="14677"/>
  <c r="B41" i="14677"/>
  <c r="B40" i="14677"/>
  <c r="B39" i="14641"/>
  <c r="B41" i="14641"/>
  <c r="B40" i="14641"/>
  <c r="A4" i="14684" a="1"/>
  <c r="A5" i="14677" a="1"/>
  <c r="E17" i="14661"/>
  <c r="A7" i="14647" a="1"/>
  <c r="A10" i="14647" s="1"/>
  <c r="A24" i="14647" a="1"/>
  <c r="A24" i="14647" s="1"/>
  <c r="A57" i="14687"/>
  <c r="A59" i="14687"/>
  <c r="A61" i="14687"/>
  <c r="A62" i="14692"/>
  <c r="F69" i="14690"/>
  <c r="E23" i="14690"/>
  <c r="G23" i="14690"/>
  <c r="I47" i="14705"/>
  <c r="B57" i="14690"/>
  <c r="C88" i="14665"/>
  <c r="E88" i="14665"/>
  <c r="G88" i="14665"/>
  <c r="I88" i="14665"/>
  <c r="K88" i="14665"/>
  <c r="M88" i="14665"/>
  <c r="B7" i="11"/>
  <c r="I33" i="14685"/>
  <c r="I37" i="14685"/>
  <c r="J33" i="14685"/>
  <c r="I45" i="14685"/>
  <c r="I50" i="14685" s="1"/>
  <c r="J45" i="14685"/>
  <c r="I44" i="14698"/>
  <c r="I217" i="14698"/>
  <c r="I163" i="14698"/>
  <c r="A91" i="14701"/>
  <c r="A93" i="14701"/>
  <c r="A95" i="14701"/>
  <c r="A97" i="14701"/>
  <c r="A99" i="14701"/>
  <c r="A101" i="14701"/>
  <c r="A103" i="14701"/>
  <c r="A92" i="14701"/>
  <c r="A96" i="14701"/>
  <c r="A100" i="14701"/>
  <c r="A15" i="14640"/>
  <c r="A17" i="14640"/>
  <c r="A16" i="14640"/>
  <c r="A4" i="14678"/>
  <c r="A21" i="14679"/>
  <c r="A23" i="14679"/>
  <c r="A24" i="14679"/>
  <c r="A19" i="14638"/>
  <c r="A21" i="14638"/>
  <c r="A23" i="14638"/>
  <c r="A25" i="14638"/>
  <c r="A27" i="14638"/>
  <c r="A20" i="14638"/>
  <c r="A24" i="14638"/>
  <c r="D3" i="11"/>
  <c r="A12" i="11" s="1"/>
  <c r="E45" i="14685"/>
  <c r="E50" i="14685" s="1"/>
  <c r="C14" i="14661" s="1"/>
  <c r="D45" i="14685"/>
  <c r="B6" i="8"/>
  <c r="D6" i="8"/>
  <c r="F6" i="8"/>
  <c r="H6" i="8"/>
  <c r="J6" i="8"/>
  <c r="L6" i="8"/>
  <c r="E6" i="14631"/>
  <c r="I6" i="14631"/>
  <c r="K6" i="14631"/>
  <c r="B59" i="14689"/>
  <c r="B61" i="14689"/>
  <c r="B62" i="14689"/>
  <c r="B58" i="14689"/>
  <c r="A91" i="14703"/>
  <c r="A93" i="14703"/>
  <c r="A95" i="14703"/>
  <c r="A97" i="14703"/>
  <c r="A99" i="14703"/>
  <c r="A101" i="14703"/>
  <c r="A103" i="14703"/>
  <c r="A97" i="14702"/>
  <c r="A31" i="14700"/>
  <c r="A31" i="14702"/>
  <c r="A31" i="14698"/>
  <c r="A19" i="14632"/>
  <c r="A21" i="14632"/>
  <c r="A23" i="14632"/>
  <c r="A25" i="14632"/>
  <c r="A27" i="14632"/>
  <c r="A19" i="14678"/>
  <c r="A21" i="14678"/>
  <c r="A23" i="14678"/>
  <c r="B39" i="14633"/>
  <c r="B41" i="14633"/>
  <c r="B40" i="14633"/>
  <c r="B39" i="14676"/>
  <c r="B41" i="14676"/>
  <c r="B40" i="14676"/>
  <c r="D38" i="14641"/>
  <c r="B52" i="14643"/>
  <c r="D52" i="14643"/>
  <c r="F52" i="14643"/>
  <c r="H52" i="14643"/>
  <c r="C52" i="14643"/>
  <c r="G52" i="14643"/>
  <c r="B78" i="14643"/>
  <c r="D78" i="14643"/>
  <c r="F78" i="14643"/>
  <c r="H78" i="14643"/>
  <c r="C78" i="14643"/>
  <c r="G78" i="14643"/>
  <c r="B39" i="14667"/>
  <c r="D31" i="14706"/>
  <c r="B28" i="14706"/>
  <c r="A20" i="14681"/>
  <c r="A27" i="14681"/>
  <c r="A29" i="14681"/>
  <c r="A36" i="14681"/>
  <c r="A38" i="14681"/>
  <c r="A45" i="14681"/>
  <c r="A47" i="14681"/>
  <c r="A19" i="14629"/>
  <c r="A22" i="14629"/>
  <c r="A24" i="14629"/>
  <c r="B30" i="14639"/>
  <c r="B30" i="14675"/>
  <c r="A30" i="14639"/>
  <c r="A30" i="14674"/>
  <c r="A30" i="14675"/>
  <c r="A30" i="14634"/>
  <c r="B26" i="14626"/>
  <c r="A7" i="14706"/>
  <c r="D11" i="11"/>
  <c r="B37" i="14706"/>
  <c r="B35" i="14667"/>
  <c r="F35" i="14706"/>
  <c r="B10" i="14706"/>
  <c r="B18" i="14667"/>
  <c r="B19" i="14667"/>
  <c r="A27" i="14648"/>
  <c r="A29" i="14648"/>
  <c r="A31" i="14648"/>
  <c r="A33" i="14648"/>
  <c r="A28" i="14648"/>
  <c r="A32" i="14648"/>
  <c r="J11" i="14645"/>
  <c r="J12" i="14645" s="1"/>
  <c r="D16" i="14667"/>
  <c r="C22" i="14626"/>
  <c r="H11" i="14645"/>
  <c r="H12" i="14645" s="1"/>
  <c r="B30" i="14667"/>
  <c r="B12" i="14706"/>
  <c r="B30" i="14706"/>
  <c r="A77" i="14648"/>
  <c r="A78" i="14648"/>
  <c r="D8" i="14706"/>
  <c r="B20" i="14667"/>
  <c r="B43" i="14667"/>
  <c r="H35" i="14706"/>
  <c r="D7" i="11"/>
  <c r="G69" i="14690"/>
  <c r="A8" i="14677"/>
  <c r="A5" i="14677"/>
  <c r="A7" i="14677"/>
  <c r="C41" i="14647"/>
  <c r="J13" i="14647" a="1"/>
  <c r="J13" i="14647" s="1"/>
  <c r="J10" i="14647" a="1"/>
  <c r="J10" i="14647" s="1"/>
  <c r="J55" i="14647" a="1"/>
  <c r="J55" i="14647" s="1"/>
  <c r="J57" i="14647" a="1"/>
  <c r="J57" i="14647" s="1"/>
  <c r="J62" i="14647" a="1"/>
  <c r="J62" i="14647" s="1"/>
  <c r="A7" i="14647"/>
  <c r="A7" i="14684"/>
  <c r="A9" i="14684"/>
  <c r="A4" i="14684"/>
  <c r="A6" i="14684"/>
  <c r="A5" i="14684"/>
  <c r="A8" i="14684"/>
  <c r="D17" i="14649" a="1"/>
  <c r="E8" i="14686"/>
  <c r="F8" i="14686" s="1"/>
  <c r="G49" i="14690"/>
  <c r="H49" i="14690" s="1"/>
  <c r="B74" i="14684" s="1"/>
  <c r="D92" i="14647"/>
  <c r="A14" i="14677"/>
  <c r="A15" i="14677"/>
  <c r="D43" i="14665"/>
  <c r="J35" i="14706"/>
  <c r="L35" i="14706" s="1"/>
  <c r="N35" i="14706" s="1"/>
  <c r="B26" i="14693"/>
  <c r="G11" i="14687"/>
  <c r="G13" i="14687"/>
  <c r="M16" i="14687"/>
  <c r="M14" i="14687"/>
  <c r="M15" i="14687"/>
  <c r="L15" i="14687"/>
  <c r="L14" i="14687"/>
  <c r="H15" i="14687"/>
  <c r="D22" i="14707"/>
  <c r="A15" i="14649"/>
  <c r="C92" i="14665"/>
  <c r="C95" i="14665" s="1"/>
  <c r="G37" i="14686"/>
  <c r="I14" i="14643"/>
  <c r="I23" i="14643"/>
  <c r="C31" i="14649"/>
  <c r="A41" i="14649"/>
  <c r="A45" i="14649"/>
  <c r="I15" i="14643"/>
  <c r="A42" i="14649"/>
  <c r="A2" i="14681"/>
  <c r="A44" i="14649"/>
  <c r="H9" i="14655"/>
  <c r="H18" i="14655"/>
  <c r="E10" i="14655"/>
  <c r="P14" i="14655"/>
  <c r="P18" i="14655"/>
  <c r="N7" i="14655"/>
  <c r="N14" i="14655"/>
  <c r="N18" i="14655"/>
  <c r="I10" i="14655"/>
  <c r="K12" i="14707"/>
  <c r="M12" i="14707" s="1"/>
  <c r="E13" i="14687"/>
  <c r="E11" i="14687"/>
  <c r="K16" i="14687"/>
  <c r="K13" i="14687"/>
  <c r="N16" i="14687"/>
  <c r="N13" i="14687"/>
  <c r="N15" i="14687"/>
  <c r="E15" i="14687"/>
  <c r="K9" i="14687"/>
  <c r="F16" i="14687"/>
  <c r="N14" i="14687"/>
  <c r="I14" i="14655"/>
  <c r="I21" i="14655"/>
  <c r="G19" i="14655"/>
  <c r="G26" i="14655"/>
  <c r="F7" i="14655"/>
  <c r="F18" i="14655"/>
  <c r="B75" i="14708"/>
  <c r="L33" i="14653" l="1"/>
  <c r="J33" i="14653"/>
  <c r="M33" i="14653"/>
  <c r="B33" i="14653"/>
  <c r="C33" i="14653"/>
  <c r="H33" i="14653"/>
  <c r="I33" i="14653"/>
  <c r="D33" i="14653"/>
  <c r="E33" i="14653"/>
  <c r="F33" i="14653"/>
  <c r="F46" i="14653" s="1"/>
  <c r="F59" i="14653" s="1"/>
  <c r="F72" i="14653" s="1"/>
  <c r="K33" i="14653"/>
  <c r="K46" i="14653" s="1"/>
  <c r="K59" i="14653" s="1"/>
  <c r="K72" i="14653" s="1"/>
  <c r="G33" i="14653"/>
  <c r="C32" i="14653"/>
  <c r="C45" i="14653" s="1"/>
  <c r="C58" i="14653" s="1"/>
  <c r="C71" i="14653" s="1"/>
  <c r="L32" i="14653"/>
  <c r="L45" i="14653" s="1"/>
  <c r="L58" i="14653" s="1"/>
  <c r="L71" i="14653" s="1"/>
  <c r="M32" i="14653"/>
  <c r="M45" i="14653" s="1"/>
  <c r="M58" i="14653" s="1"/>
  <c r="M71" i="14653" s="1"/>
  <c r="I32" i="14653"/>
  <c r="I45" i="14653" s="1"/>
  <c r="I58" i="14653" s="1"/>
  <c r="I71" i="14653" s="1"/>
  <c r="G32" i="14653"/>
  <c r="G45" i="14653" s="1"/>
  <c r="G58" i="14653" s="1"/>
  <c r="G71" i="14653" s="1"/>
  <c r="B32" i="14653"/>
  <c r="B45" i="14653" s="1"/>
  <c r="B58" i="14653" s="1"/>
  <c r="B71" i="14653" s="1"/>
  <c r="J32" i="14653"/>
  <c r="J45" i="14653" s="1"/>
  <c r="J58" i="14653" s="1"/>
  <c r="J71" i="14653" s="1"/>
  <c r="D32" i="14653"/>
  <c r="D45" i="14653" s="1"/>
  <c r="D58" i="14653" s="1"/>
  <c r="D71" i="14653" s="1"/>
  <c r="E32" i="14653"/>
  <c r="E45" i="14653" s="1"/>
  <c r="E58" i="14653" s="1"/>
  <c r="E71" i="14653" s="1"/>
  <c r="H32" i="14653"/>
  <c r="H45" i="14653" s="1"/>
  <c r="H58" i="14653" s="1"/>
  <c r="H71" i="14653" s="1"/>
  <c r="F32" i="14653"/>
  <c r="F45" i="14653" s="1"/>
  <c r="F58" i="14653" s="1"/>
  <c r="F71" i="14653" s="1"/>
  <c r="K32" i="14653"/>
  <c r="K45" i="14653" s="1"/>
  <c r="K58" i="14653" s="1"/>
  <c r="K71" i="14653" s="1"/>
  <c r="D30" i="11"/>
  <c r="G27" i="14626" s="1"/>
  <c r="A12" i="14647"/>
  <c r="J13" i="14687"/>
  <c r="J11" i="14687"/>
  <c r="J16" i="14687"/>
  <c r="D14" i="14687"/>
  <c r="F12" i="14687"/>
  <c r="L26" i="14655"/>
  <c r="L16" i="14655"/>
  <c r="L17" i="14655"/>
  <c r="L15" i="14655"/>
  <c r="F11" i="14687"/>
  <c r="D12" i="14687"/>
  <c r="L11" i="14655"/>
  <c r="L14" i="14655"/>
  <c r="L8" i="14655"/>
  <c r="K17" i="14655"/>
  <c r="G12" i="14655"/>
  <c r="A26" i="14700"/>
  <c r="A21" i="14700"/>
  <c r="A22" i="14700"/>
  <c r="A18" i="14662"/>
  <c r="A19" i="14662" s="1"/>
  <c r="A20" i="14662" s="1"/>
  <c r="A16" i="14662"/>
  <c r="A17" i="14662" s="1"/>
  <c r="A31" i="14647"/>
  <c r="A30" i="14647"/>
  <c r="A25" i="14647"/>
  <c r="A29" i="14647"/>
  <c r="N9" i="14687"/>
  <c r="M7" i="14624" s="1"/>
  <c r="E9" i="14687"/>
  <c r="D7" i="14624" s="1"/>
  <c r="M9" i="14687"/>
  <c r="L7" i="14624" s="1"/>
  <c r="D94" i="14647"/>
  <c r="A13" i="14641" a="1"/>
  <c r="A16" i="14641" s="1"/>
  <c r="A13" i="14676" a="1"/>
  <c r="A90" i="14648"/>
  <c r="A11" i="14634"/>
  <c r="A13" i="14634"/>
  <c r="P13" i="14699"/>
  <c r="Q13" i="14699" s="1"/>
  <c r="C29" i="14647"/>
  <c r="C44" i="14647" s="1"/>
  <c r="A29" i="14682" a="1"/>
  <c r="A33" i="14629" a="1"/>
  <c r="A33" i="14673" a="1"/>
  <c r="A33" i="14624" a="1"/>
  <c r="A33" i="14672" a="1"/>
  <c r="A33" i="14636" a="1"/>
  <c r="H12" i="14687"/>
  <c r="H11" i="14687"/>
  <c r="H16" i="14687"/>
  <c r="K15" i="14661"/>
  <c r="L15" i="14661" s="1"/>
  <c r="B15" i="14661"/>
  <c r="D55" i="14685" a="1"/>
  <c r="D55" i="14685" s="1"/>
  <c r="B37" i="14661" s="1"/>
  <c r="K199" i="14704"/>
  <c r="K199" i="14701"/>
  <c r="K199" i="14702"/>
  <c r="C23" i="14690"/>
  <c r="C25" i="14690" s="1"/>
  <c r="B5" i="14694" a="1"/>
  <c r="F79" i="14647"/>
  <c r="B61" i="14647"/>
  <c r="I61" i="14647" s="1"/>
  <c r="G17" i="14649"/>
  <c r="D17" i="14649"/>
  <c r="B30" i="14647"/>
  <c r="I30" i="14647" s="1"/>
  <c r="D24" i="14641"/>
  <c r="O24" i="14641" s="1"/>
  <c r="K24" i="14641"/>
  <c r="M24" i="14641"/>
  <c r="F24" i="14641"/>
  <c r="N24" i="14641"/>
  <c r="L24" i="14641"/>
  <c r="C24" i="14641"/>
  <c r="A14" i="14684"/>
  <c r="A12" i="14684"/>
  <c r="A16" i="14684"/>
  <c r="A15" i="14684"/>
  <c r="A5" i="14630" a="1"/>
  <c r="A17" i="14630" a="1"/>
  <c r="A32" i="14701" a="1"/>
  <c r="B40" i="14643" a="1"/>
  <c r="B42" i="14643" s="1"/>
  <c r="B66" i="14643" a="1"/>
  <c r="B92" i="14643" a="1"/>
  <c r="A46" i="14702" a="1"/>
  <c r="G15" i="14687"/>
  <c r="F15" i="14687"/>
  <c r="D15" i="14687"/>
  <c r="K15" i="14687"/>
  <c r="J15" i="14687"/>
  <c r="A5" i="14689"/>
  <c r="A71" i="14689" s="1"/>
  <c r="A6" i="14689"/>
  <c r="A7" i="14689"/>
  <c r="A9" i="14689"/>
  <c r="L11" i="14645"/>
  <c r="L12" i="14645" s="1"/>
  <c r="B16" i="14667"/>
  <c r="I11" i="14645"/>
  <c r="I12" i="14645" s="1"/>
  <c r="J7" i="14625"/>
  <c r="M11" i="14645"/>
  <c r="I24" i="14622"/>
  <c r="D12" i="14706"/>
  <c r="K11" i="14645"/>
  <c r="K12" i="14645" s="1"/>
  <c r="A20" i="11"/>
  <c r="C14" i="14687"/>
  <c r="G14" i="14687"/>
  <c r="E14" i="14687"/>
  <c r="F14" i="14687"/>
  <c r="F21" i="14655"/>
  <c r="F26" i="14655"/>
  <c r="F16" i="14655"/>
  <c r="F8" i="14655"/>
  <c r="F10" i="14655"/>
  <c r="F14" i="14655"/>
  <c r="F9" i="14655"/>
  <c r="F20" i="14655"/>
  <c r="F13" i="14655"/>
  <c r="A98" i="14698"/>
  <c r="A95" i="14698"/>
  <c r="A97" i="14698"/>
  <c r="A101" i="14698"/>
  <c r="A96" i="14698"/>
  <c r="A100" i="14698"/>
  <c r="A94" i="14698"/>
  <c r="A111" i="14698" s="1" a="1"/>
  <c r="G47" i="14685"/>
  <c r="G48" i="14685"/>
  <c r="G49" i="14685"/>
  <c r="L7" i="14625"/>
  <c r="D18" i="14667"/>
  <c r="F8" i="14661"/>
  <c r="F73" i="14647"/>
  <c r="B55" i="14647"/>
  <c r="I55" i="14647" s="1"/>
  <c r="B54" i="14665"/>
  <c r="B46" i="14689"/>
  <c r="B47" i="14689"/>
  <c r="B50" i="14689" s="1"/>
  <c r="B48" i="14689"/>
  <c r="B49" i="14689"/>
  <c r="A5" i="14671"/>
  <c r="A7" i="14671"/>
  <c r="A39" i="14634" a="1"/>
  <c r="A39" i="14639" a="1"/>
  <c r="A39" i="14674" a="1"/>
  <c r="A39" i="14675" a="1"/>
  <c r="K199" i="14703"/>
  <c r="A19" i="14634"/>
  <c r="A20" i="14634"/>
  <c r="A21" i="14634"/>
  <c r="A24" i="14634"/>
  <c r="A24" i="14674"/>
  <c r="A24" i="14675"/>
  <c r="B55" i="14665"/>
  <c r="A22" i="14679"/>
  <c r="A26" i="14679"/>
  <c r="A19" i="14679"/>
  <c r="A25" i="14679"/>
  <c r="A27" i="14679"/>
  <c r="A20" i="14679"/>
  <c r="A19" i="14681"/>
  <c r="A18" i="14681"/>
  <c r="K181" i="14702"/>
  <c r="K181" i="14701"/>
  <c r="A2" i="14634"/>
  <c r="A2" i="14675"/>
  <c r="A27" i="11"/>
  <c r="E43" i="14665"/>
  <c r="B43" i="14665"/>
  <c r="J58" i="14647" a="1"/>
  <c r="J58" i="14647" s="1"/>
  <c r="A101" i="14702"/>
  <c r="G16" i="14694"/>
  <c r="A11" i="14639"/>
  <c r="A13" i="14639"/>
  <c r="A52" i="14648"/>
  <c r="A53" i="14648"/>
  <c r="A19" i="14675"/>
  <c r="A20" i="14675"/>
  <c r="A22" i="14675"/>
  <c r="O9" i="14699" a="1"/>
  <c r="O9" i="14699" s="1"/>
  <c r="P9" i="14699"/>
  <c r="Q9" i="14699" s="1"/>
  <c r="A77" i="14687"/>
  <c r="A78" i="14687"/>
  <c r="A79" i="14687"/>
  <c r="A80" i="14687"/>
  <c r="C6" i="14631"/>
  <c r="G6" i="14631"/>
  <c r="M6" i="14631"/>
  <c r="B56" i="14665"/>
  <c r="A25" i="14678"/>
  <c r="A27" i="14678"/>
  <c r="A26" i="14647"/>
  <c r="J61" i="14647" a="1"/>
  <c r="J61" i="14647" s="1"/>
  <c r="A99" i="14702"/>
  <c r="H9" i="14687"/>
  <c r="G7" i="14624" s="1"/>
  <c r="E16" i="14694"/>
  <c r="J9" i="14647" a="1"/>
  <c r="J9" i="14647" s="1"/>
  <c r="J29" i="14647" a="1"/>
  <c r="J29" i="14647" s="1"/>
  <c r="J11" i="14647" a="1"/>
  <c r="J11" i="14647" s="1"/>
  <c r="J56" i="14647" a="1"/>
  <c r="J56" i="14647" s="1"/>
  <c r="J60" i="14647" a="1"/>
  <c r="J60" i="14647" s="1"/>
  <c r="J14" i="14647" a="1"/>
  <c r="J14" i="14647" s="1"/>
  <c r="J12" i="14647" a="1"/>
  <c r="J12" i="14647" s="1"/>
  <c r="J44" i="14647" a="1"/>
  <c r="J44" i="14647" s="1"/>
  <c r="E11" i="14655"/>
  <c r="H24" i="14677"/>
  <c r="M24" i="14677"/>
  <c r="D24" i="14677"/>
  <c r="F24" i="14677"/>
  <c r="O24" i="14677" s="1"/>
  <c r="C24" i="14677"/>
  <c r="J24" i="14677"/>
  <c r="E24" i="14677"/>
  <c r="N24" i="14677"/>
  <c r="A13" i="14633" a="1"/>
  <c r="E19" i="14652"/>
  <c r="C20" i="14652"/>
  <c r="C21" i="14652" s="1"/>
  <c r="C22" i="14652" s="1"/>
  <c r="C23" i="14652" s="1"/>
  <c r="K12" i="14687"/>
  <c r="J12" i="14687"/>
  <c r="N12" i="14687"/>
  <c r="G12" i="14687"/>
  <c r="I12" i="14687"/>
  <c r="E12" i="14687"/>
  <c r="A29" i="14689"/>
  <c r="A28" i="14689"/>
  <c r="A74" i="14689" s="1"/>
  <c r="A31" i="14689"/>
  <c r="B57" i="14665"/>
  <c r="A4" i="14632"/>
  <c r="A4" i="14638"/>
  <c r="A4" i="14679"/>
  <c r="G9" i="14687"/>
  <c r="J9" i="14687"/>
  <c r="I7" i="14624" s="1"/>
  <c r="A27" i="14647"/>
  <c r="F9" i="14687"/>
  <c r="E7" i="14624" s="1"/>
  <c r="A38" i="14647" a="1"/>
  <c r="A87" i="14647" a="1"/>
  <c r="A7" i="14633"/>
  <c r="A11" i="14633"/>
  <c r="A19" i="14683" a="1"/>
  <c r="A22" i="14683" s="1"/>
  <c r="F30" i="14647"/>
  <c r="B13" i="14647"/>
  <c r="I13" i="14647" s="1"/>
  <c r="A102" i="14702"/>
  <c r="C48" i="14686" a="1"/>
  <c r="C48" i="14686" s="1"/>
  <c r="B73" i="14684"/>
  <c r="L9" i="14687"/>
  <c r="K7" i="14624" s="1"/>
  <c r="A28" i="14647"/>
  <c r="H24" i="14641"/>
  <c r="A59" i="14689"/>
  <c r="A58" i="14689"/>
  <c r="A60" i="14689"/>
  <c r="A61" i="14689"/>
  <c r="L19" i="14655"/>
  <c r="L21" i="14655"/>
  <c r="L6" i="14655"/>
  <c r="L20" i="14655"/>
  <c r="L10" i="14655"/>
  <c r="L9" i="14655"/>
  <c r="L18" i="14655"/>
  <c r="L12" i="14655"/>
  <c r="L7" i="14655"/>
  <c r="I181" i="14698"/>
  <c r="I70" i="14698"/>
  <c r="I127" i="14698"/>
  <c r="I235" i="14698"/>
  <c r="I109" i="14698"/>
  <c r="I199" i="14698"/>
  <c r="I145" i="14698"/>
  <c r="A58" i="14702"/>
  <c r="A45" i="14702"/>
  <c r="A4" i="14640"/>
  <c r="A6" i="14640"/>
  <c r="A5" i="14640"/>
  <c r="G42" i="14685"/>
  <c r="G40" i="14685"/>
  <c r="A30" i="14676"/>
  <c r="A29" i="14676"/>
  <c r="A17" i="14639"/>
  <c r="A17" i="14674"/>
  <c r="A4" i="14634" a="1"/>
  <c r="A4" i="14674" a="1"/>
  <c r="A4" i="14675" a="1"/>
  <c r="A4" i="14639" a="1"/>
  <c r="A85" i="14687" a="1"/>
  <c r="A90" i="14687" s="1"/>
  <c r="A37" i="14686" a="1"/>
  <c r="A40" i="14686" s="1"/>
  <c r="A31" i="14694" a="1"/>
  <c r="A59" i="14694" a="1"/>
  <c r="A52" i="14689"/>
  <c r="A78" i="14689" s="1"/>
  <c r="A54" i="14689"/>
  <c r="A53" i="14689"/>
  <c r="B41" i="14706"/>
  <c r="B29" i="14667"/>
  <c r="D14" i="11"/>
  <c r="D29" i="14667" s="1"/>
  <c r="B11" i="14647"/>
  <c r="I11" i="14647" s="1"/>
  <c r="C28" i="14647"/>
  <c r="C43" i="14647" s="1"/>
  <c r="A103" i="14702"/>
  <c r="A92" i="14702"/>
  <c r="A91" i="14702"/>
  <c r="A94" i="14702"/>
  <c r="A93" i="14702"/>
  <c r="A96" i="14702"/>
  <c r="A95" i="14702"/>
  <c r="A98" i="14702"/>
  <c r="A111" i="14702" s="1" a="1"/>
  <c r="H4" i="14705"/>
  <c r="C46" i="14665"/>
  <c r="B8" i="14693" s="1"/>
  <c r="C9" i="14622"/>
  <c r="G18" i="14622"/>
  <c r="M12" i="14687"/>
  <c r="K6" i="8"/>
  <c r="A6" i="8"/>
  <c r="A29" i="14645"/>
  <c r="A40" i="14645" s="1" a="1"/>
  <c r="A60" i="14672"/>
  <c r="D24" i="14633"/>
  <c r="A101" i="14648"/>
  <c r="N27" i="14653"/>
  <c r="E16" i="14687"/>
  <c r="I14" i="14687"/>
  <c r="A42" i="14689"/>
  <c r="I6" i="8"/>
  <c r="A5" i="8"/>
  <c r="I91" i="14643"/>
  <c r="B63" i="14689"/>
  <c r="A28" i="14645"/>
  <c r="A38" i="14645" s="1"/>
  <c r="A60" i="14636"/>
  <c r="A11" i="14674" a="1"/>
  <c r="K235" i="14701"/>
  <c r="C24" i="14633"/>
  <c r="O24" i="14633" s="1"/>
  <c r="A41" i="14689"/>
  <c r="G6" i="8"/>
  <c r="I70" i="14704"/>
  <c r="G91" i="14643"/>
  <c r="K217" i="14704"/>
  <c r="D25" i="11"/>
  <c r="A11" i="14675" a="1"/>
  <c r="A13" i="14675" s="1"/>
  <c r="A22" i="14676"/>
  <c r="D15" i="14628"/>
  <c r="D15" i="14674"/>
  <c r="C26" i="14628"/>
  <c r="D15" i="14639"/>
  <c r="D15" i="14675"/>
  <c r="D15" i="14634"/>
  <c r="G23" i="14626"/>
  <c r="A96" i="14648"/>
  <c r="A60" i="14687"/>
  <c r="K14" i="14687"/>
  <c r="J57" i="14685"/>
  <c r="B88" i="14665"/>
  <c r="I52" i="14643"/>
  <c r="B75" i="14645"/>
  <c r="G51" i="14690"/>
  <c r="A19" i="14677" a="1"/>
  <c r="A20" i="14677" s="1"/>
  <c r="A19" i="14641" a="1"/>
  <c r="K24" i="14633"/>
  <c r="A23" i="14648"/>
  <c r="K32" i="14652"/>
  <c r="J39" i="14685"/>
  <c r="C33" i="14685"/>
  <c r="B10" i="14687"/>
  <c r="H10" i="14687" s="1"/>
  <c r="A6" i="14670"/>
  <c r="B29" i="14706"/>
  <c r="N35" i="14667"/>
  <c r="O26" i="14675"/>
  <c r="O26" i="14674"/>
  <c r="C26" i="14675" s="1"/>
  <c r="O26" i="14639"/>
  <c r="C26" i="14674" s="1"/>
  <c r="O26" i="14634"/>
  <c r="C26" i="14639" s="1"/>
  <c r="D26" i="14628"/>
  <c r="L26" i="14674"/>
  <c r="K26" i="14628"/>
  <c r="F26" i="14634"/>
  <c r="E26" i="14628"/>
  <c r="N26" i="14675"/>
  <c r="N26" i="14674"/>
  <c r="N26" i="14639"/>
  <c r="N26" i="14634"/>
  <c r="O26" i="14628"/>
  <c r="C26" i="14634" s="1"/>
  <c r="L26" i="14634"/>
  <c r="J26" i="14634"/>
  <c r="F26" i="14674"/>
  <c r="M26" i="14675"/>
  <c r="M26" i="14674"/>
  <c r="M26" i="14639"/>
  <c r="M26" i="14634"/>
  <c r="N26" i="14628"/>
  <c r="L26" i="14675"/>
  <c r="L26" i="14639"/>
  <c r="M26" i="14628"/>
  <c r="F26" i="14675"/>
  <c r="H26" i="14628"/>
  <c r="E26" i="14634"/>
  <c r="D26" i="14674"/>
  <c r="F26" i="14628"/>
  <c r="K26" i="14675"/>
  <c r="K26" i="14674"/>
  <c r="K26" i="14639"/>
  <c r="K26" i="14634"/>
  <c r="L26" i="14628"/>
  <c r="J26" i="14674"/>
  <c r="E26" i="14674"/>
  <c r="E26" i="14639"/>
  <c r="D26" i="14675"/>
  <c r="D26" i="14634"/>
  <c r="J26" i="14675"/>
  <c r="J26" i="14639"/>
  <c r="I26" i="14675"/>
  <c r="I26" i="14674"/>
  <c r="I26" i="14639"/>
  <c r="I26" i="14634"/>
  <c r="J26" i="14628"/>
  <c r="F26" i="14639"/>
  <c r="E26" i="14675"/>
  <c r="G26" i="14628"/>
  <c r="C9" i="14625" s="1" a="1"/>
  <c r="D26" i="14639"/>
  <c r="G26" i="14675"/>
  <c r="G26" i="14674"/>
  <c r="G26" i="14639"/>
  <c r="G26" i="14634"/>
  <c r="I26" i="14628"/>
  <c r="B33" i="14685"/>
  <c r="B37" i="14685" s="1"/>
  <c r="C9" i="14687"/>
  <c r="B7" i="14624" s="1"/>
  <c r="B37" i="14686"/>
  <c r="F37" i="14686"/>
  <c r="F38" i="14686" s="1"/>
  <c r="D37" i="14686"/>
  <c r="D38" i="14686" s="1"/>
  <c r="D47" i="14686" s="1" a="1"/>
  <c r="E37" i="14686"/>
  <c r="E38" i="14686" s="1"/>
  <c r="C37" i="14686"/>
  <c r="A105" i="14645"/>
  <c r="K235" i="14703"/>
  <c r="A38" i="14695"/>
  <c r="A17" i="14684" a="1"/>
  <c r="A18" i="14684" s="1"/>
  <c r="I24" i="14633"/>
  <c r="L12" i="14687"/>
  <c r="K235" i="14700"/>
  <c r="A19" i="14633" a="1"/>
  <c r="A38" i="14672"/>
  <c r="A38" i="14673"/>
  <c r="A38" i="14629"/>
  <c r="A38" i="14636"/>
  <c r="A38" i="14624"/>
  <c r="A60" i="14673"/>
  <c r="D16" i="14708"/>
  <c r="G21" i="14655"/>
  <c r="G16" i="14655"/>
  <c r="I16" i="14655"/>
  <c r="A53" i="14702"/>
  <c r="C22" i="14622"/>
  <c r="A11" i="11"/>
  <c r="A51" i="14702"/>
  <c r="I26" i="14655"/>
  <c r="E26" i="14655"/>
  <c r="A52" i="14702"/>
  <c r="A18" i="14649"/>
  <c r="I12" i="14643"/>
  <c r="D4" i="14667"/>
  <c r="L4" i="14667" s="1"/>
  <c r="I24" i="14643"/>
  <c r="I28" i="14643" s="1"/>
  <c r="D12" i="14707"/>
  <c r="A43" i="14649"/>
  <c r="A39" i="14649"/>
  <c r="A23" i="14649"/>
  <c r="I17" i="14643"/>
  <c r="I7" i="14643"/>
  <c r="A18" i="14686"/>
  <c r="B9" i="14665"/>
  <c r="D11" i="14707"/>
  <c r="D11" i="14687"/>
  <c r="D9" i="14687"/>
  <c r="C7" i="14624" s="1"/>
  <c r="H14" i="14687"/>
  <c r="L11" i="14687"/>
  <c r="L10" i="14687"/>
  <c r="K8" i="14624" s="1"/>
  <c r="L16" i="14687"/>
  <c r="M10" i="14687"/>
  <c r="L8" i="14624" s="1"/>
  <c r="M11" i="14687"/>
  <c r="M13" i="14687"/>
  <c r="A9" i="14647"/>
  <c r="A8" i="14647"/>
  <c r="A25" i="11"/>
  <c r="D16" i="14687"/>
  <c r="E7" i="14655"/>
  <c r="I11" i="14655"/>
  <c r="C15" i="14687"/>
  <c r="C16" i="14687"/>
  <c r="C12" i="14687"/>
  <c r="I18" i="14643"/>
  <c r="D4" i="14706"/>
  <c r="A28" i="11"/>
  <c r="A10" i="11"/>
  <c r="A11" i="14647"/>
  <c r="A13" i="14647"/>
  <c r="A14" i="14647"/>
  <c r="A30" i="11"/>
  <c r="I13" i="14687"/>
  <c r="I11" i="14687"/>
  <c r="A26" i="14634"/>
  <c r="O21" i="14633"/>
  <c r="K127" i="14704"/>
  <c r="A17" i="14675"/>
  <c r="A17" i="14634"/>
  <c r="F79" i="14689"/>
  <c r="D79" i="14689"/>
  <c r="C24" i="14652"/>
  <c r="C25" i="14652" s="1"/>
  <c r="C26" i="14652" s="1"/>
  <c r="J7" i="14624"/>
  <c r="I27" i="14643" a="1"/>
  <c r="E87" i="14647"/>
  <c r="A42" i="14639"/>
  <c r="C23" i="14626"/>
  <c r="G30" i="14685"/>
  <c r="G58" i="14685"/>
  <c r="G61" i="14685"/>
  <c r="B26" i="14689"/>
  <c r="A21" i="14675"/>
  <c r="A22" i="14634"/>
  <c r="A12" i="14639"/>
  <c r="H6" i="14661"/>
  <c r="K127" i="14700"/>
  <c r="B32" i="14649"/>
  <c r="L24" i="14676"/>
  <c r="H24" i="14676"/>
  <c r="J24" i="14641"/>
  <c r="A54" i="14648"/>
  <c r="A24" i="14648"/>
  <c r="A1" i="14634"/>
  <c r="A1" i="14639"/>
  <c r="P15" i="14699"/>
  <c r="Q15" i="14699" s="1"/>
  <c r="P11" i="14699"/>
  <c r="Q11" i="14699" s="1"/>
  <c r="B44" i="14647"/>
  <c r="I44" i="14647" s="1"/>
  <c r="B29" i="14647"/>
  <c r="I29" i="14647" s="1"/>
  <c r="B33" i="14652" a="1"/>
  <c r="B34" i="14652" s="1"/>
  <c r="G7" i="14652"/>
  <c r="I7" i="14652" s="1"/>
  <c r="I8" i="14652" s="1"/>
  <c r="I9" i="14652" s="1"/>
  <c r="I10" i="14652" s="1"/>
  <c r="I11" i="14652" s="1"/>
  <c r="I12" i="14652" s="1"/>
  <c r="I13" i="14652" s="1"/>
  <c r="I14" i="14652" s="1"/>
  <c r="E8" i="14652"/>
  <c r="B31" i="14686"/>
  <c r="E16" i="14695"/>
  <c r="G16" i="14695"/>
  <c r="A27" i="14694"/>
  <c r="A29" i="14694"/>
  <c r="H16" i="14694"/>
  <c r="H25" i="14690"/>
  <c r="G33" i="14685"/>
  <c r="G57" i="14685"/>
  <c r="A35" i="14662"/>
  <c r="A36" i="14662" s="1"/>
  <c r="A37" i="14662" s="1"/>
  <c r="A38" i="14662" s="1"/>
  <c r="A39" i="14662" s="1"/>
  <c r="A40" i="14662"/>
  <c r="A41" i="14662" s="1"/>
  <c r="A42" i="14662" s="1"/>
  <c r="A31" i="14701"/>
  <c r="A31" i="14704"/>
  <c r="A45" i="14704"/>
  <c r="A58" i="14704"/>
  <c r="A45" i="14701"/>
  <c r="A58" i="14701"/>
  <c r="A22" i="14631"/>
  <c r="A23" i="14631"/>
  <c r="A25" i="14671"/>
  <c r="A27" i="14671"/>
  <c r="A26" i="14671"/>
  <c r="A25" i="14640"/>
  <c r="A27" i="14640"/>
  <c r="A26" i="14640"/>
  <c r="A23" i="14629"/>
  <c r="A25" i="14629"/>
  <c r="A20" i="14682" a="1"/>
  <c r="A22" i="14672" a="1"/>
  <c r="A22" i="14636" a="1"/>
  <c r="A22" i="14673" a="1"/>
  <c r="C38" i="14633"/>
  <c r="D38" i="14633"/>
  <c r="A55" i="14706"/>
  <c r="C25" i="14693"/>
  <c r="A54" i="14667"/>
  <c r="B45" i="14685"/>
  <c r="B50" i="14685" s="1"/>
  <c r="B14" i="14661" s="1"/>
  <c r="C45" i="14685"/>
  <c r="B24" i="14626"/>
  <c r="A9" i="14706"/>
  <c r="A6" i="14653" a="1"/>
  <c r="A32" i="14653" a="1"/>
  <c r="A5" i="7" a="1"/>
  <c r="A6" i="7" s="1"/>
  <c r="A17" i="7" a="1"/>
  <c r="A20" i="7" s="1"/>
  <c r="A17" i="14668" a="1"/>
  <c r="A59" i="14703" a="1"/>
  <c r="A63" i="14703" s="1"/>
  <c r="A20" i="14698" a="1"/>
  <c r="A27" i="14698" s="1"/>
  <c r="A59" i="14700" a="1"/>
  <c r="A59" i="14701" a="1"/>
  <c r="A63" i="14701" s="1"/>
  <c r="A32" i="14704" a="1"/>
  <c r="A7" i="14623" a="1"/>
  <c r="A10" i="14623" s="1"/>
  <c r="A35" i="14678" a="1"/>
  <c r="A7" i="14679" a="1"/>
  <c r="A8" i="14679" s="1"/>
  <c r="A7" i="14636" a="1"/>
  <c r="A9" i="14636" s="1"/>
  <c r="A37" i="14695"/>
  <c r="A8" i="14694"/>
  <c r="A10" i="14694"/>
  <c r="A28" i="14692"/>
  <c r="A52" i="14692" s="1" a="1"/>
  <c r="A53" i="14692" s="1"/>
  <c r="A30" i="14692"/>
  <c r="F15" i="14628"/>
  <c r="D6" i="14631"/>
  <c r="L6" i="14631"/>
  <c r="H6" i="14631"/>
  <c r="B14" i="14647"/>
  <c r="I14" i="14647" s="1"/>
  <c r="C31" i="14647"/>
  <c r="B13" i="14689" a="1"/>
  <c r="B20" i="14685"/>
  <c r="A22" i="8"/>
  <c r="A23" i="8"/>
  <c r="A25" i="8"/>
  <c r="A27" i="8"/>
  <c r="A26" i="8"/>
  <c r="A25" i="14670"/>
  <c r="A27" i="14670"/>
  <c r="A26" i="14670"/>
  <c r="A25" i="14631"/>
  <c r="A27" i="14631"/>
  <c r="A26" i="14631"/>
  <c r="A48" i="14623"/>
  <c r="A50" i="14623"/>
  <c r="A52" i="14623"/>
  <c r="A54" i="14623"/>
  <c r="A49" i="14623"/>
  <c r="A47" i="14678" s="1" a="1"/>
  <c r="A53" i="14623"/>
  <c r="P19" i="14653"/>
  <c r="H19" i="14707" s="1"/>
  <c r="A14" i="14661"/>
  <c r="A45" i="14689" a="1"/>
  <c r="A33" i="14689" a="1"/>
  <c r="J13" i="14685" a="1"/>
  <c r="J19" i="14685" s="1"/>
  <c r="B34" i="14689"/>
  <c r="B36" i="14689"/>
  <c r="O23" i="14655"/>
  <c r="O25" i="14655"/>
  <c r="O14" i="14655"/>
  <c r="O20" i="14655"/>
  <c r="M23" i="14655"/>
  <c r="M25" i="14655"/>
  <c r="K25" i="14655"/>
  <c r="K23" i="14655"/>
  <c r="I17" i="14655"/>
  <c r="I23" i="14655"/>
  <c r="I25" i="14655"/>
  <c r="G10" i="14655"/>
  <c r="G25" i="14655"/>
  <c r="G23" i="14655"/>
  <c r="G8" i="14655"/>
  <c r="E8" i="14655"/>
  <c r="E23" i="14655"/>
  <c r="E25" i="14655"/>
  <c r="E17" i="14655"/>
  <c r="A15" i="14631"/>
  <c r="A17" i="14631"/>
  <c r="A18" i="14629"/>
  <c r="A20" i="14629"/>
  <c r="B30" i="14674"/>
  <c r="B30" i="14634"/>
  <c r="A17" i="14636" a="1"/>
  <c r="A17" i="14673" a="1"/>
  <c r="B5" i="14667"/>
  <c r="J12" i="14707"/>
  <c r="V25" i="14655" s="1"/>
  <c r="U25" i="14655"/>
  <c r="P25" i="14655"/>
  <c r="P23" i="14655"/>
  <c r="N25" i="14655"/>
  <c r="N23" i="14655"/>
  <c r="L23" i="14655"/>
  <c r="L25" i="14655"/>
  <c r="J25" i="14655"/>
  <c r="J23" i="14655"/>
  <c r="H25" i="14655"/>
  <c r="H23" i="14655"/>
  <c r="F25" i="14655"/>
  <c r="F23" i="14655"/>
  <c r="A54" i="14708"/>
  <c r="A52" i="14708"/>
  <c r="A50" i="14708"/>
  <c r="A55" i="14708"/>
  <c r="A53" i="14708"/>
  <c r="A51" i="14708"/>
  <c r="G34" i="14685" a="1"/>
  <c r="E37" i="14685"/>
  <c r="C12" i="14661" s="1"/>
  <c r="G13" i="14685" a="1"/>
  <c r="G14" i="14685" s="1"/>
  <c r="G7" i="14685" a="1"/>
  <c r="B42" i="14667"/>
  <c r="J11" i="14707"/>
  <c r="V23" i="14655" s="1"/>
  <c r="U23" i="14655"/>
  <c r="J27" i="14707"/>
  <c r="H37" i="14707"/>
  <c r="H38" i="14707" s="1"/>
  <c r="N9" i="14653"/>
  <c r="B26" i="14682"/>
  <c r="B54" i="14682" s="1"/>
  <c r="F21" i="4129"/>
  <c r="B76" i="14665"/>
  <c r="D27" i="14706"/>
  <c r="F27" i="14706" s="1"/>
  <c r="H27" i="14706" s="1"/>
  <c r="J27" i="14706" s="1"/>
  <c r="L27" i="14706" s="1"/>
  <c r="N27" i="14706" s="1"/>
  <c r="D43" i="14667"/>
  <c r="F43" i="14667" s="1"/>
  <c r="H43" i="14667" s="1"/>
  <c r="J43" i="14667" s="1"/>
  <c r="L43" i="14667" s="1"/>
  <c r="N43" i="14667" s="1"/>
  <c r="G18" i="14655"/>
  <c r="G20" i="14655"/>
  <c r="G17" i="14655"/>
  <c r="G15" i="14655"/>
  <c r="I19" i="14655"/>
  <c r="I18" i="14655"/>
  <c r="I8" i="14655"/>
  <c r="I12" i="14655"/>
  <c r="E14" i="14655"/>
  <c r="E12" i="14655"/>
  <c r="E13" i="14655"/>
  <c r="E9" i="14655"/>
  <c r="E6" i="14655"/>
  <c r="G11" i="14655"/>
  <c r="G7" i="14655"/>
  <c r="I13" i="14655"/>
  <c r="I9" i="14655"/>
  <c r="I6" i="14655"/>
  <c r="E21" i="14655"/>
  <c r="I20" i="14655"/>
  <c r="E19" i="14655"/>
  <c r="E18" i="14655"/>
  <c r="E16" i="14655"/>
  <c r="E15" i="14655"/>
  <c r="G14" i="14655"/>
  <c r="C33" i="14708"/>
  <c r="C18" i="14708"/>
  <c r="D48" i="14708"/>
  <c r="N7" i="14653"/>
  <c r="N11" i="14653"/>
  <c r="E14" i="14622"/>
  <c r="E12" i="14622"/>
  <c r="I4" i="14687"/>
  <c r="K10" i="14661"/>
  <c r="L10" i="14661" s="1"/>
  <c r="J23" i="14685" a="1"/>
  <c r="D26" i="14685" a="1"/>
  <c r="D26" i="14685" s="1"/>
  <c r="B32" i="14661" s="1"/>
  <c r="B10" i="14661"/>
  <c r="C26" i="14685" a="1"/>
  <c r="C26" i="14685" s="1"/>
  <c r="K13" i="14661"/>
  <c r="L13" i="14661" s="1"/>
  <c r="B13" i="14661"/>
  <c r="J40" i="14685" a="1"/>
  <c r="J42" i="14685" s="1"/>
  <c r="C43" i="14685" a="1"/>
  <c r="C43" i="14685" s="1"/>
  <c r="D43" i="14685" a="1"/>
  <c r="D43" i="14685" s="1"/>
  <c r="B35" i="14661" s="1"/>
  <c r="G78" i="14689"/>
  <c r="C78" i="14689"/>
  <c r="E78" i="14689"/>
  <c r="F78" i="14689"/>
  <c r="D78" i="14689"/>
  <c r="G13" i="14685"/>
  <c r="G17" i="14685"/>
  <c r="G15" i="14685"/>
  <c r="G16" i="14685"/>
  <c r="G8" i="14685"/>
  <c r="G7" i="14685"/>
  <c r="E79" i="14689"/>
  <c r="E73" i="14689"/>
  <c r="G46" i="14685"/>
  <c r="G53" i="14685"/>
  <c r="G41" i="14685"/>
  <c r="G59" i="14685"/>
  <c r="D73" i="14689"/>
  <c r="C37" i="14685" a="1"/>
  <c r="C37" i="14685" s="1"/>
  <c r="B43" i="14689"/>
  <c r="E76" i="14689" s="1"/>
  <c r="A55" i="14689"/>
  <c r="I3" i="14659"/>
  <c r="A12" i="14659"/>
  <c r="C24" i="14626"/>
  <c r="I1" i="14681"/>
  <c r="D10" i="14657"/>
  <c r="C16" i="14657" a="1"/>
  <c r="G16" i="14657" s="1"/>
  <c r="A22" i="14622"/>
  <c r="A27" i="14667"/>
  <c r="G10" i="14705" s="1"/>
  <c r="A29" i="11"/>
  <c r="M41" i="14662"/>
  <c r="F10" i="14657"/>
  <c r="B5" i="14681"/>
  <c r="A5" i="14681" s="1"/>
  <c r="D19" i="14667"/>
  <c r="H23" i="14625"/>
  <c r="E10" i="14657"/>
  <c r="C10" i="14657"/>
  <c r="G10" i="14657"/>
  <c r="M42" i="14662"/>
  <c r="A37" i="14617"/>
  <c r="A38" i="14617" s="1"/>
  <c r="C11" i="14693" a="1"/>
  <c r="F11" i="14693" s="1"/>
  <c r="K1" i="14657"/>
  <c r="K3" i="14657" s="1"/>
  <c r="I2" i="14659"/>
  <c r="A31" i="14617"/>
  <c r="A20" i="14667"/>
  <c r="B25" i="14626" s="1"/>
  <c r="M10" i="14645"/>
  <c r="N10" i="14645" s="1"/>
  <c r="N8" i="14625"/>
  <c r="O8" i="14625" s="1"/>
  <c r="I1" i="14659"/>
  <c r="J40" i="14685"/>
  <c r="J41" i="14685"/>
  <c r="A19" i="14674"/>
  <c r="A22" i="14674"/>
  <c r="A20" i="14674"/>
  <c r="A21" i="14674"/>
  <c r="I27" i="14643"/>
  <c r="C96" i="14665"/>
  <c r="C97" i="14665"/>
  <c r="C98" i="14665"/>
  <c r="C94" i="14665"/>
  <c r="C93" i="14665"/>
  <c r="C38" i="14647"/>
  <c r="F38" i="14647"/>
  <c r="J38" i="14647"/>
  <c r="G38" i="14647"/>
  <c r="I38" i="14647"/>
  <c r="D38" i="14647"/>
  <c r="B38" i="14647"/>
  <c r="A38" i="14647"/>
  <c r="E38" i="14647"/>
  <c r="H38" i="14647"/>
  <c r="H21" i="14687"/>
  <c r="D17" i="14706"/>
  <c r="D11" i="14667"/>
  <c r="C13" i="14626"/>
  <c r="C17" i="14661"/>
  <c r="D19" i="14706"/>
  <c r="F19" i="14706" s="1"/>
  <c r="H19" i="14706" s="1"/>
  <c r="D63" i="14685" a="1"/>
  <c r="D63" i="14685" s="1"/>
  <c r="B39" i="14661" s="1"/>
  <c r="C39" i="14661" s="1"/>
  <c r="J58" i="14685" a="1"/>
  <c r="C12" i="14626"/>
  <c r="K17" i="14661"/>
  <c r="L17" i="14661" s="1"/>
  <c r="C63" i="14685" a="1"/>
  <c r="C63" i="14685" s="1"/>
  <c r="D7" i="14667"/>
  <c r="F7" i="14667" s="1"/>
  <c r="H7" i="14667" s="1"/>
  <c r="B17" i="14661"/>
  <c r="O46" i="14653"/>
  <c r="O59" i="14653" s="1"/>
  <c r="A92" i="14687"/>
  <c r="A87" i="14687"/>
  <c r="B67" i="14643"/>
  <c r="B71" i="14643"/>
  <c r="B69" i="14643"/>
  <c r="B66" i="14643"/>
  <c r="B70" i="14643"/>
  <c r="B73" i="14643"/>
  <c r="B72" i="14643"/>
  <c r="B68" i="14643"/>
  <c r="A40" i="14675"/>
  <c r="A39" i="14675"/>
  <c r="A42" i="14675"/>
  <c r="A41" i="14675"/>
  <c r="A54" i="14692"/>
  <c r="A52" i="14692"/>
  <c r="O10" i="14699" a="1"/>
  <c r="O10" i="14699" s="1"/>
  <c r="P10" i="14699"/>
  <c r="Q10" i="14699" s="1"/>
  <c r="E80" i="14647"/>
  <c r="E95" i="14647" s="1"/>
  <c r="J95" i="14647" s="1" a="1"/>
  <c r="J95" i="14647" s="1"/>
  <c r="B62" i="14647"/>
  <c r="I62" i="14647" s="1"/>
  <c r="B80" i="14647"/>
  <c r="I80" i="14647" s="1"/>
  <c r="E24" i="14647"/>
  <c r="E39" i="14647" s="1"/>
  <c r="J39" i="14647" s="1" a="1"/>
  <c r="J39" i="14647" s="1"/>
  <c r="B7" i="14647"/>
  <c r="I7" i="14647" s="1"/>
  <c r="J7" i="14647" a="1"/>
  <c r="J7" i="14647" s="1"/>
  <c r="F41" i="14647"/>
  <c r="B26" i="14647"/>
  <c r="I26" i="14647" s="1"/>
  <c r="J26" i="14647" a="1"/>
  <c r="J26" i="14647" s="1"/>
  <c r="F25" i="14647"/>
  <c r="B25" i="14647" s="1"/>
  <c r="I25" i="14647" s="1"/>
  <c r="B8" i="14647"/>
  <c r="I8" i="14647" s="1"/>
  <c r="J8" i="14647" a="1"/>
  <c r="J8" i="14647" s="1"/>
  <c r="G43" i="14647"/>
  <c r="J43" i="14647" s="1" a="1"/>
  <c r="J43" i="14647" s="1"/>
  <c r="B28" i="14647"/>
  <c r="I28" i="14647" s="1"/>
  <c r="B10" i="14647"/>
  <c r="I10" i="14647" s="1"/>
  <c r="G27" i="14647"/>
  <c r="O8" i="14655"/>
  <c r="O10" i="14655"/>
  <c r="O12" i="14655"/>
  <c r="O15" i="14655"/>
  <c r="O16" i="14655"/>
  <c r="O18" i="14655"/>
  <c r="O19" i="14655"/>
  <c r="O26" i="14655"/>
  <c r="O17" i="14655"/>
  <c r="O21" i="14655"/>
  <c r="O6" i="14655"/>
  <c r="O9" i="14655"/>
  <c r="O13" i="14655"/>
  <c r="O7" i="14655"/>
  <c r="O11" i="14655"/>
  <c r="M14" i="14655"/>
  <c r="M17" i="14655"/>
  <c r="M20" i="14655"/>
  <c r="M21" i="14655"/>
  <c r="M8" i="14655"/>
  <c r="M10" i="14655"/>
  <c r="M12" i="14655"/>
  <c r="M15" i="14655"/>
  <c r="M16" i="14655"/>
  <c r="M18" i="14655"/>
  <c r="M19" i="14655"/>
  <c r="M26" i="14655"/>
  <c r="M7" i="14655"/>
  <c r="M11" i="14655"/>
  <c r="M6" i="14655"/>
  <c r="M13" i="14655"/>
  <c r="K8" i="14655"/>
  <c r="K10" i="14655"/>
  <c r="K12" i="14655"/>
  <c r="K15" i="14655"/>
  <c r="K16" i="14655"/>
  <c r="K18" i="14655"/>
  <c r="K19" i="14655"/>
  <c r="K26" i="14655"/>
  <c r="K14" i="14655"/>
  <c r="K20" i="14655"/>
  <c r="K6" i="14655"/>
  <c r="K9" i="14655"/>
  <c r="K13" i="14655"/>
  <c r="K11" i="14655"/>
  <c r="K7" i="14655"/>
  <c r="I127" i="14702"/>
  <c r="I235" i="14702"/>
  <c r="I145" i="14702"/>
  <c r="I199" i="14702"/>
  <c r="I217" i="14702"/>
  <c r="I109" i="14702"/>
  <c r="I181" i="14702"/>
  <c r="I70" i="14702"/>
  <c r="I44" i="14702"/>
  <c r="A92" i="14700"/>
  <c r="A96" i="14700"/>
  <c r="A100" i="14700"/>
  <c r="A94" i="14700"/>
  <c r="A102" i="14700"/>
  <c r="A98" i="14700"/>
  <c r="A91" i="14700"/>
  <c r="A95" i="14700"/>
  <c r="A99" i="14700"/>
  <c r="A103" i="14700"/>
  <c r="A93" i="14700"/>
  <c r="A101" i="14700"/>
  <c r="A97" i="14700"/>
  <c r="A15" i="8"/>
  <c r="A17" i="8"/>
  <c r="A16" i="8"/>
  <c r="A18" i="8"/>
  <c r="A22" i="14671"/>
  <c r="A23" i="14671"/>
  <c r="A43" i="14645"/>
  <c r="A41" i="14645"/>
  <c r="E17" i="14649"/>
  <c r="F17" i="14649"/>
  <c r="G79" i="14689"/>
  <c r="C79" i="14689"/>
  <c r="H69" i="14690"/>
  <c r="B6" i="14695" s="1" a="1"/>
  <c r="A111" i="14701" a="1"/>
  <c r="C43" i="14665"/>
  <c r="G43" i="14665"/>
  <c r="F43" i="14665"/>
  <c r="E6" i="14686"/>
  <c r="D29" i="14686" a="1"/>
  <c r="D29" i="14686" s="1"/>
  <c r="D88" i="14647"/>
  <c r="J73" i="14647" a="1"/>
  <c r="J73" i="14647" s="1"/>
  <c r="A16" i="14677"/>
  <c r="A17" i="14677"/>
  <c r="A13" i="14677"/>
  <c r="A15" i="14641"/>
  <c r="A13" i="14641"/>
  <c r="A14" i="14641"/>
  <c r="A17" i="14641"/>
  <c r="B48" i="14708"/>
  <c r="K181" i="14698"/>
  <c r="K181" i="14704"/>
  <c r="K181" i="14703"/>
  <c r="K181" i="14700"/>
  <c r="C9" i="14661"/>
  <c r="B14" i="14706"/>
  <c r="C76" i="14689"/>
  <c r="B95" i="14643"/>
  <c r="B99" i="14643"/>
  <c r="B92" i="14643"/>
  <c r="B96" i="14643"/>
  <c r="B97" i="14643"/>
  <c r="B98" i="14643"/>
  <c r="B41" i="14643"/>
  <c r="B45" i="14643"/>
  <c r="B43" i="14643"/>
  <c r="B40" i="14643"/>
  <c r="B44" i="14643"/>
  <c r="B47" i="14643"/>
  <c r="B46" i="14643"/>
  <c r="A20" i="14684"/>
  <c r="A17" i="14684"/>
  <c r="A19" i="14684"/>
  <c r="A22" i="14684"/>
  <c r="A21" i="14684"/>
  <c r="A67" i="14648"/>
  <c r="A69" i="14648"/>
  <c r="A68" i="14648"/>
  <c r="A64" i="14701"/>
  <c r="A65" i="14701"/>
  <c r="A59" i="14701"/>
  <c r="K7" i="14625"/>
  <c r="D10" i="14706"/>
  <c r="M7" i="14625"/>
  <c r="I7" i="14625"/>
  <c r="N7" i="14625"/>
  <c r="C16" i="14622"/>
  <c r="C24" i="14622"/>
  <c r="B43" i="14706"/>
  <c r="B27" i="14667"/>
  <c r="B6" i="11"/>
  <c r="A6" i="14677"/>
  <c r="A10" i="14677"/>
  <c r="A9" i="14677"/>
  <c r="A11" i="14677"/>
  <c r="A39" i="14674"/>
  <c r="A40" i="14674"/>
  <c r="A111" i="14704" a="1"/>
  <c r="E25" i="14690"/>
  <c r="B5" i="14692" a="1"/>
  <c r="C42" i="14690" a="1"/>
  <c r="A23" i="14647" a="1"/>
  <c r="A72" i="14647" a="1"/>
  <c r="A54" i="14647" a="1"/>
  <c r="G55" i="14685"/>
  <c r="D76" i="14665"/>
  <c r="G34" i="14685"/>
  <c r="G35" i="14685"/>
  <c r="G36" i="14685"/>
  <c r="A19" i="14639"/>
  <c r="A21" i="14639"/>
  <c r="A20" i="14639"/>
  <c r="A11" i="14675"/>
  <c r="A12" i="14675"/>
  <c r="A18" i="14645"/>
  <c r="A19" i="14645"/>
  <c r="A20" i="14645"/>
  <c r="A22" i="14645"/>
  <c r="A21" i="14645"/>
  <c r="A25" i="14677"/>
  <c r="A28" i="14676"/>
  <c r="A31" i="14676"/>
  <c r="A28" i="14641"/>
  <c r="A29" i="14641"/>
  <c r="A31" i="14641"/>
  <c r="A6" i="14633"/>
  <c r="A10" i="14633"/>
  <c r="A8" i="14633"/>
  <c r="A5" i="14633"/>
  <c r="A9" i="14633"/>
  <c r="A10" i="14636"/>
  <c r="A12" i="14679"/>
  <c r="A14" i="14679"/>
  <c r="A13" i="14679"/>
  <c r="A24" i="14683"/>
  <c r="A19" i="14683"/>
  <c r="A23" i="14683"/>
  <c r="A24" i="14700"/>
  <c r="A20" i="14700"/>
  <c r="A23" i="14700"/>
  <c r="A27" i="14700"/>
  <c r="A25" i="14700"/>
  <c r="O14" i="14699" a="1"/>
  <c r="O14" i="14699" s="1"/>
  <c r="P14" i="14699"/>
  <c r="Q14" i="14699" s="1"/>
  <c r="E78" i="14647"/>
  <c r="B60" i="14647"/>
  <c r="I60" i="14647" s="1"/>
  <c r="C93" i="14647"/>
  <c r="C77" i="14647"/>
  <c r="B59" i="14647"/>
  <c r="I59" i="14647" s="1"/>
  <c r="G76" i="14647"/>
  <c r="B58" i="14647"/>
  <c r="I58" i="14647" s="1"/>
  <c r="B57" i="14647"/>
  <c r="I57" i="14647" s="1"/>
  <c r="D75" i="14647"/>
  <c r="G74" i="14647"/>
  <c r="B56" i="14647"/>
  <c r="I56" i="14647" s="1"/>
  <c r="B67" i="14647"/>
  <c r="A56" i="14652"/>
  <c r="C56" i="14652"/>
  <c r="E56" i="14652"/>
  <c r="G56" i="14652"/>
  <c r="I56" i="14652"/>
  <c r="B56" i="14652"/>
  <c r="F56" i="14652"/>
  <c r="J56" i="14652"/>
  <c r="D56" i="14652"/>
  <c r="F32" i="14652"/>
  <c r="G32" i="14652"/>
  <c r="C9" i="14652"/>
  <c r="C10" i="14652" s="1"/>
  <c r="C11" i="14652" s="1"/>
  <c r="C12" i="14652" s="1"/>
  <c r="C13" i="14652" s="1"/>
  <c r="C14" i="14652" s="1"/>
  <c r="A7" i="14624" a="1"/>
  <c r="A7" i="14629" a="1"/>
  <c r="A5" i="14682" a="1"/>
  <c r="A7" i="14673" a="1"/>
  <c r="A47" i="14687" a="1"/>
  <c r="A9" i="14687" a="1"/>
  <c r="A66" i="14687" a="1"/>
  <c r="A28" i="14687" a="1"/>
  <c r="A7" i="14672" a="1"/>
  <c r="D9" i="14686"/>
  <c r="B28" i="14687" a="1"/>
  <c r="C30" i="14686" a="1"/>
  <c r="C30" i="14686" s="1"/>
  <c r="C31" i="14686" s="1"/>
  <c r="C14" i="14686"/>
  <c r="A61" i="14692"/>
  <c r="A63" i="14692"/>
  <c r="A60" i="14692"/>
  <c r="A44" i="14692" a="1"/>
  <c r="D76" i="14690"/>
  <c r="B35" i="14708" a="1"/>
  <c r="B20" i="14708" a="1"/>
  <c r="D34" i="14667"/>
  <c r="F34" i="14667" s="1"/>
  <c r="H34" i="14667" s="1"/>
  <c r="J34" i="14667" s="1"/>
  <c r="L34" i="14667" s="1"/>
  <c r="N34" i="14667" s="1"/>
  <c r="D36" i="14706"/>
  <c r="K217" i="14702"/>
  <c r="K217" i="14698"/>
  <c r="K199" i="14698"/>
  <c r="K199" i="14700"/>
  <c r="K127" i="14701"/>
  <c r="K127" i="14703"/>
  <c r="K127" i="14702"/>
  <c r="A92" i="14645"/>
  <c r="A93" i="14645"/>
  <c r="A95" i="14645"/>
  <c r="A96" i="14645"/>
  <c r="A76" i="14645"/>
  <c r="A74" i="14645"/>
  <c r="A28" i="14677"/>
  <c r="A29" i="14677"/>
  <c r="A31" i="14677"/>
  <c r="C24" i="14676"/>
  <c r="E24" i="14676"/>
  <c r="G24" i="14676"/>
  <c r="I24" i="14676"/>
  <c r="K24" i="14676"/>
  <c r="M24" i="14676"/>
  <c r="F24" i="14625"/>
  <c r="N24" i="14625"/>
  <c r="J24" i="14625"/>
  <c r="E6" i="14661"/>
  <c r="A1" i="14674"/>
  <c r="A1" i="14675"/>
  <c r="A35" i="14701"/>
  <c r="A39" i="14701"/>
  <c r="O12" i="14699" a="1"/>
  <c r="O12" i="14699" s="1"/>
  <c r="P12" i="14699"/>
  <c r="Q12" i="14699" s="1"/>
  <c r="O8" i="14699" a="1"/>
  <c r="O8" i="14699" s="1"/>
  <c r="P8" i="14699"/>
  <c r="Q8" i="14699" s="1"/>
  <c r="A5" i="14630"/>
  <c r="A12" i="14630"/>
  <c r="A7" i="7"/>
  <c r="A36" i="14653"/>
  <c r="A33" i="14653"/>
  <c r="A37" i="14653"/>
  <c r="A34" i="14653"/>
  <c r="A39" i="14647" a="1"/>
  <c r="A45" i="14653" a="1"/>
  <c r="A58" i="14653" a="1"/>
  <c r="A32" i="7" a="1"/>
  <c r="A32" i="14703" a="1"/>
  <c r="A46" i="14703" a="1"/>
  <c r="A32" i="14698" a="1"/>
  <c r="A32" i="14700" a="1"/>
  <c r="A8" i="14701" a="1"/>
  <c r="A8" i="14702" a="1"/>
  <c r="A8" i="14704" a="1"/>
  <c r="A59" i="14704" a="1"/>
  <c r="A35" i="14632" a="1"/>
  <c r="A7" i="14638" a="1"/>
  <c r="A31" i="14628" a="1"/>
  <c r="A31" i="14674" a="1"/>
  <c r="B53" i="14643" a="1"/>
  <c r="B79" i="14643" a="1"/>
  <c r="A8" i="14703" a="1"/>
  <c r="A49" i="14683" a="1"/>
  <c r="B40" i="14690" a="1"/>
  <c r="B38" i="14690" a="1"/>
  <c r="B10" i="14685"/>
  <c r="B6" i="14689" a="1"/>
  <c r="A7" i="14641"/>
  <c r="A11" i="14641"/>
  <c r="E43" i="14685"/>
  <c r="C13" i="14661" s="1"/>
  <c r="E28" i="14685"/>
  <c r="E31" i="14685" s="1"/>
  <c r="C11" i="14661" s="1"/>
  <c r="B28" i="14685"/>
  <c r="B31" i="14685" s="1"/>
  <c r="C28" i="14685"/>
  <c r="E26" i="14685"/>
  <c r="C10" i="14661" s="1"/>
  <c r="G23" i="14685" a="1"/>
  <c r="B28" i="14667"/>
  <c r="B42" i="14706"/>
  <c r="D10" i="11"/>
  <c r="I8" i="14622"/>
  <c r="H7" i="14622"/>
  <c r="I7" i="14622" s="1"/>
  <c r="I13" i="14622"/>
  <c r="B12" i="14696"/>
  <c r="I21" i="14622"/>
  <c r="B9" i="14706"/>
  <c r="A37" i="14648"/>
  <c r="A39" i="14648"/>
  <c r="A26" i="14674"/>
  <c r="A26" i="14675"/>
  <c r="B9" i="14634"/>
  <c r="B9" i="14674"/>
  <c r="B9" i="14675"/>
  <c r="A3" i="14657"/>
  <c r="A3" i="14681"/>
  <c r="A2" i="14628"/>
  <c r="A2" i="14639"/>
  <c r="A33" i="14652" a="1"/>
  <c r="A45" i="14652" a="1"/>
  <c r="A57" i="14652" a="1"/>
  <c r="A55" i="14647" a="1"/>
  <c r="A73" i="14647" a="1"/>
  <c r="A88" i="14647" a="1"/>
  <c r="A19" i="14653" a="1"/>
  <c r="A71" i="14653" a="1"/>
  <c r="A32" i="14630" a="1"/>
  <c r="A5" i="14637" a="1"/>
  <c r="A17" i="14637" a="1"/>
  <c r="A32" i="14637" a="1"/>
  <c r="A5" i="14668" a="1"/>
  <c r="A32" i="14668" a="1"/>
  <c r="A5" i="14669" a="1"/>
  <c r="A17" i="14669" a="1"/>
  <c r="A32" i="14669" a="1"/>
  <c r="A8" i="14699" a="1"/>
  <c r="A20" i="14703" a="1"/>
  <c r="A8" i="14698" a="1"/>
  <c r="A46" i="14698" a="1"/>
  <c r="A59" i="14698" a="1"/>
  <c r="A8" i="14700" a="1"/>
  <c r="A46" i="14700" a="1"/>
  <c r="A20" i="14701" a="1"/>
  <c r="A46" i="14701" a="1"/>
  <c r="A20" i="14702" a="1"/>
  <c r="A32" i="14702" a="1"/>
  <c r="A59" i="14702" a="1"/>
  <c r="A20" i="14704" a="1"/>
  <c r="A46" i="14704" a="1"/>
  <c r="A6" i="14683" a="1"/>
  <c r="A34" i="14683" a="1"/>
  <c r="A35" i="14623" a="1"/>
  <c r="A7" i="14632" a="1"/>
  <c r="A35" i="14638" a="1"/>
  <c r="A7" i="14678" a="1"/>
  <c r="A35" i="14679" a="1"/>
  <c r="A31" i="14634" a="1"/>
  <c r="A31" i="14639" a="1"/>
  <c r="A31" i="14675" a="1"/>
  <c r="A38" i="14687"/>
  <c r="A40" i="14687"/>
  <c r="A42" i="14687"/>
  <c r="A39" i="14687"/>
  <c r="F52" i="14690"/>
  <c r="B28" i="14648"/>
  <c r="B29" i="14689"/>
  <c r="B30" i="14689"/>
  <c r="D88" i="14665"/>
  <c r="H88" i="14665"/>
  <c r="L88" i="14665"/>
  <c r="F88" i="14665"/>
  <c r="A43" i="14662"/>
  <c r="A44" i="14662" s="1"/>
  <c r="A45" i="14662" s="1"/>
  <c r="A46" i="14662" s="1"/>
  <c r="A47" i="14662" s="1"/>
  <c r="A48" i="14662" s="1"/>
  <c r="A49" i="14662" s="1"/>
  <c r="A50" i="14662" s="1"/>
  <c r="A51" i="14662" s="1"/>
  <c r="A52" i="14662" s="1"/>
  <c r="A53" i="14662" s="1"/>
  <c r="A54" i="14662" s="1"/>
  <c r="A55" i="14662" s="1"/>
  <c r="A56" i="14662" s="1"/>
  <c r="A57" i="14662" s="1"/>
  <c r="A58" i="14662" s="1"/>
  <c r="A59" i="14662"/>
  <c r="E25" i="14665"/>
  <c r="E26" i="14665"/>
  <c r="E27" i="14665"/>
  <c r="E28" i="14665"/>
  <c r="A92" i="14703"/>
  <c r="A96" i="14703"/>
  <c r="A100" i="14703"/>
  <c r="A94" i="14703"/>
  <c r="A102" i="14703"/>
  <c r="A98" i="14703"/>
  <c r="A4" i="14631"/>
  <c r="A6" i="14631"/>
  <c r="A5" i="14631"/>
  <c r="A7" i="14631"/>
  <c r="A9" i="14671"/>
  <c r="A11" i="14671"/>
  <c r="A10" i="14671"/>
  <c r="A9" i="14640"/>
  <c r="A11" i="14640"/>
  <c r="A10" i="14640"/>
  <c r="A20" i="14678"/>
  <c r="A24" i="14678"/>
  <c r="A22" i="14678"/>
  <c r="A26" i="14678"/>
  <c r="A48" i="14695"/>
  <c r="A50" i="14695"/>
  <c r="A34" i="14695"/>
  <c r="A36" i="14695"/>
  <c r="A27" i="14695" a="1"/>
  <c r="A41" i="14695" a="1"/>
  <c r="A55" i="14695" a="1"/>
  <c r="C43" i="14690" a="1"/>
  <c r="A10" i="14689"/>
  <c r="A8" i="14689"/>
  <c r="G12" i="14685"/>
  <c r="G22" i="14685"/>
  <c r="G28" i="14685"/>
  <c r="G31" i="14685" s="1"/>
  <c r="G39" i="14685"/>
  <c r="I52" i="14685"/>
  <c r="I55" i="14685" s="1"/>
  <c r="J52" i="14685"/>
  <c r="B19" i="14647"/>
  <c r="G17" i="14661"/>
  <c r="B37" i="14689"/>
  <c r="F75" i="14689" s="1"/>
  <c r="K9" i="14661"/>
  <c r="D20" i="14685" a="1"/>
  <c r="D20" i="14685" s="1"/>
  <c r="B31" i="14661" s="1"/>
  <c r="A89" i="14700"/>
  <c r="A89" i="14702"/>
  <c r="A89" i="14698"/>
  <c r="A89" i="14701"/>
  <c r="I9" i="14687"/>
  <c r="H7" i="14624" s="1"/>
  <c r="A9" i="8"/>
  <c r="A11" i="8"/>
  <c r="A10" i="8"/>
  <c r="A9" i="14670"/>
  <c r="A11" i="14670"/>
  <c r="A10" i="14670"/>
  <c r="A9" i="14631"/>
  <c r="A11" i="14631"/>
  <c r="A10" i="14631"/>
  <c r="A15" i="14670"/>
  <c r="A17" i="14670"/>
  <c r="A16" i="14670"/>
  <c r="A20" i="14632"/>
  <c r="A24" i="14632"/>
  <c r="A22" i="14632"/>
  <c r="A23" i="14672"/>
  <c r="A25" i="14672"/>
  <c r="C38" i="14676"/>
  <c r="D38" i="14676"/>
  <c r="B65" i="14643"/>
  <c r="D65" i="14643"/>
  <c r="F65" i="14643"/>
  <c r="H65" i="14643"/>
  <c r="C65" i="14643"/>
  <c r="G65" i="14643"/>
  <c r="A45" i="14706"/>
  <c r="A46" i="14706"/>
  <c r="B6" i="14631"/>
  <c r="F6" i="14631"/>
  <c r="J6" i="14631"/>
  <c r="E38" i="14665"/>
  <c r="G6" i="14640" s="1"/>
  <c r="D18" i="4129"/>
  <c r="A21" i="14648"/>
  <c r="J11" i="14655"/>
  <c r="J14" i="14655"/>
  <c r="I235" i="14704"/>
  <c r="I199" i="14704"/>
  <c r="I163" i="14704"/>
  <c r="I127" i="14704"/>
  <c r="A15" i="14682" a="1"/>
  <c r="A17" i="14672" a="1"/>
  <c r="B91" i="14643"/>
  <c r="D91" i="14643"/>
  <c r="C91" i="14643"/>
  <c r="F91" i="14643"/>
  <c r="H91" i="14643"/>
  <c r="B41" i="14667"/>
  <c r="D29" i="14706"/>
  <c r="F17" i="14661"/>
  <c r="A16" i="14649"/>
  <c r="B72" i="14708"/>
  <c r="A17" i="14649"/>
  <c r="E55" i="14685"/>
  <c r="C15" i="14661" s="1"/>
  <c r="F26" i="14626"/>
  <c r="A28" i="14706"/>
  <c r="B40" i="14706"/>
  <c r="D30" i="14667"/>
  <c r="B7" i="14696" s="1"/>
  <c r="I12" i="14622"/>
  <c r="H11" i="14622"/>
  <c r="B7" i="14706"/>
  <c r="B21" i="14667"/>
  <c r="I20" i="14622"/>
  <c r="D20" i="14667"/>
  <c r="B8" i="14706"/>
  <c r="C25" i="14626"/>
  <c r="B70" i="14708"/>
  <c r="F6" i="14661"/>
  <c r="G6" i="14661"/>
  <c r="G46" i="14653" l="1"/>
  <c r="G59" i="14653" s="1"/>
  <c r="G72" i="14653" s="1"/>
  <c r="E46" i="14653"/>
  <c r="E59" i="14653" s="1"/>
  <c r="E72" i="14653" s="1"/>
  <c r="D46" i="14653"/>
  <c r="D59" i="14653" s="1"/>
  <c r="D72" i="14653" s="1"/>
  <c r="I46" i="14653"/>
  <c r="I59" i="14653" s="1"/>
  <c r="I72" i="14653" s="1"/>
  <c r="H46" i="14653"/>
  <c r="H59" i="14653" s="1"/>
  <c r="H72" i="14653" s="1"/>
  <c r="C46" i="14653"/>
  <c r="C59" i="14653" s="1"/>
  <c r="C72" i="14653" s="1"/>
  <c r="B46" i="14653"/>
  <c r="B59" i="14653" s="1"/>
  <c r="B72" i="14653" s="1"/>
  <c r="M46" i="14653"/>
  <c r="M59" i="14653" s="1"/>
  <c r="M72" i="14653" s="1"/>
  <c r="J46" i="14653"/>
  <c r="J59" i="14653" s="1"/>
  <c r="J72" i="14653" s="1"/>
  <c r="N32" i="14653"/>
  <c r="P32" i="14653" s="1"/>
  <c r="J19" i="14707" s="1"/>
  <c r="L46" i="14653"/>
  <c r="L59" i="14653" s="1"/>
  <c r="L72" i="14653" s="1"/>
  <c r="B38" i="14652"/>
  <c r="L12" i="14707"/>
  <c r="D3" i="14667"/>
  <c r="B5" i="14696" s="1"/>
  <c r="A45" i="4128"/>
  <c r="A22" i="14698"/>
  <c r="A20" i="14698"/>
  <c r="A14" i="14623"/>
  <c r="A24" i="7"/>
  <c r="E21" i="14687"/>
  <c r="A44" i="14686"/>
  <c r="K21" i="14687"/>
  <c r="A43" i="14686"/>
  <c r="A39" i="14686"/>
  <c r="O13" i="14687"/>
  <c r="A41" i="14686"/>
  <c r="B4" i="14667"/>
  <c r="A86" i="14687"/>
  <c r="N6" i="8"/>
  <c r="F29" i="14667" s="1"/>
  <c r="O14" i="14687"/>
  <c r="F21" i="14687"/>
  <c r="A65" i="14703"/>
  <c r="N21" i="14687"/>
  <c r="I21" i="14687"/>
  <c r="A85" i="14687"/>
  <c r="G21" i="14687"/>
  <c r="A89" i="14687"/>
  <c r="D21" i="14687"/>
  <c r="O15" i="14687"/>
  <c r="C14" i="14653"/>
  <c r="B9" i="14624" a="1"/>
  <c r="I12" i="14624" s="1"/>
  <c r="G8" i="14624"/>
  <c r="H17" i="14687"/>
  <c r="A116" i="14698"/>
  <c r="A115" i="14698"/>
  <c r="A113" i="14698"/>
  <c r="A122" i="14698"/>
  <c r="A121" i="14698"/>
  <c r="A123" i="14698"/>
  <c r="A120" i="14698"/>
  <c r="A119" i="14698"/>
  <c r="A114" i="14698"/>
  <c r="A118" i="14698"/>
  <c r="A117" i="14698"/>
  <c r="A112" i="14698"/>
  <c r="A111" i="14698"/>
  <c r="E77" i="14689"/>
  <c r="F77" i="14689"/>
  <c r="A4" i="14674"/>
  <c r="A6" i="14674"/>
  <c r="A7" i="14674"/>
  <c r="A8" i="14674"/>
  <c r="A5" i="14674"/>
  <c r="B87" i="14647"/>
  <c r="D87" i="14647"/>
  <c r="A87" i="14647"/>
  <c r="I87" i="14647"/>
  <c r="C87" i="14647"/>
  <c r="H87" i="14647"/>
  <c r="A29" i="14682"/>
  <c r="A50" i="14682"/>
  <c r="A45" i="14682"/>
  <c r="A30" i="14682"/>
  <c r="A48" i="14682"/>
  <c r="A43" i="14682"/>
  <c r="A44" i="14682"/>
  <c r="A49" i="14682"/>
  <c r="A46" i="14682"/>
  <c r="A41" i="14682"/>
  <c r="A39" i="14682"/>
  <c r="A42" i="14682"/>
  <c r="A37" i="14682"/>
  <c r="A35" i="14682"/>
  <c r="A40" i="14682"/>
  <c r="A32" i="14682"/>
  <c r="A47" i="14682"/>
  <c r="A38" i="14682"/>
  <c r="A33" i="14682"/>
  <c r="A31" i="14682"/>
  <c r="A36" i="14682"/>
  <c r="A36" i="14692" a="1"/>
  <c r="A56" i="14692"/>
  <c r="M20" i="14687"/>
  <c r="G18" i="14685"/>
  <c r="G20" i="14685" s="1"/>
  <c r="A20" i="14641"/>
  <c r="A21" i="14641"/>
  <c r="A22" i="14641"/>
  <c r="A25" i="14641"/>
  <c r="A24" i="14641"/>
  <c r="A19" i="14641"/>
  <c r="A23" i="14641"/>
  <c r="A4" i="14634"/>
  <c r="A6" i="14634"/>
  <c r="A7" i="14634"/>
  <c r="A8" i="14634"/>
  <c r="A5" i="14634"/>
  <c r="A62" i="14703"/>
  <c r="A55" i="14692"/>
  <c r="G63" i="14685"/>
  <c r="L21" i="14687"/>
  <c r="H51" i="14690"/>
  <c r="B72" i="14648" s="1"/>
  <c r="B57" i="14648"/>
  <c r="A47" i="14679" a="1"/>
  <c r="B31" i="14689"/>
  <c r="G13" i="14626"/>
  <c r="A66" i="14703"/>
  <c r="L11" i="14707"/>
  <c r="W23" i="14655" s="1"/>
  <c r="B10" i="14693"/>
  <c r="J20" i="14685"/>
  <c r="K14" i="14653"/>
  <c r="O12" i="14687"/>
  <c r="N75" i="14645"/>
  <c r="B76" i="14645"/>
  <c r="A11" i="14674"/>
  <c r="A12" i="14674"/>
  <c r="A13" i="14674"/>
  <c r="A48" i="14702"/>
  <c r="A47" i="14702"/>
  <c r="A49" i="14702"/>
  <c r="A50" i="14702"/>
  <c r="A46" i="14702"/>
  <c r="J17" i="14685"/>
  <c r="A22" i="14633"/>
  <c r="A19" i="14633"/>
  <c r="A20" i="14633"/>
  <c r="A21" i="14633"/>
  <c r="A23" i="14633"/>
  <c r="A25" i="14633"/>
  <c r="A24" i="14633"/>
  <c r="F7" i="14624"/>
  <c r="B93" i="14643"/>
  <c r="B94" i="14643"/>
  <c r="A23" i="14677"/>
  <c r="A21" i="14677"/>
  <c r="A24" i="14677"/>
  <c r="F76" i="14689"/>
  <c r="D75" i="14689"/>
  <c r="A61" i="14703"/>
  <c r="G50" i="14685"/>
  <c r="J18" i="14685"/>
  <c r="A42" i="14645"/>
  <c r="A40" i="14645"/>
  <c r="A49" i="14645" s="1" a="1"/>
  <c r="A62" i="14694"/>
  <c r="A59" i="14694"/>
  <c r="A61" i="14694"/>
  <c r="A60" i="14694"/>
  <c r="A63" i="14694"/>
  <c r="F88" i="14647"/>
  <c r="B73" i="14647"/>
  <c r="I73" i="14647" s="1"/>
  <c r="A15" i="14676"/>
  <c r="A14" i="14676"/>
  <c r="A17" i="14676"/>
  <c r="A13" i="14676"/>
  <c r="A16" i="14676"/>
  <c r="D41" i="14706"/>
  <c r="A59" i="14703"/>
  <c r="A64" i="14703"/>
  <c r="J14" i="14685"/>
  <c r="F17" i="14687"/>
  <c r="K12" i="14661"/>
  <c r="L12" i="14661" s="1"/>
  <c r="B12" i="14661"/>
  <c r="D37" i="14685" a="1"/>
  <c r="D37" i="14685" s="1"/>
  <c r="B34" i="14661" s="1"/>
  <c r="F10" i="14687"/>
  <c r="E8" i="14624" s="1"/>
  <c r="J10" i="14687"/>
  <c r="I10" i="14687"/>
  <c r="H8" i="14624" s="1"/>
  <c r="C10" i="14687"/>
  <c r="N10" i="14687"/>
  <c r="G10" i="14687"/>
  <c r="D10" i="14687"/>
  <c r="C8" i="14624" s="1"/>
  <c r="K10" i="14687"/>
  <c r="E10" i="14687"/>
  <c r="D8" i="14624" s="1"/>
  <c r="A32" i="14694"/>
  <c r="A31" i="14694"/>
  <c r="A35" i="14694" s="1" a="1"/>
  <c r="A41" i="14674"/>
  <c r="A42" i="14674"/>
  <c r="F94" i="14647"/>
  <c r="J79" i="14647" a="1"/>
  <c r="J79" i="14647" s="1"/>
  <c r="A33" i="14636"/>
  <c r="A34" i="14636"/>
  <c r="A36" i="14636"/>
  <c r="A54" i="14636"/>
  <c r="A40" i="14636"/>
  <c r="A52" i="14636"/>
  <c r="A42" i="14636"/>
  <c r="A44" i="14636"/>
  <c r="A46" i="14636"/>
  <c r="A50" i="14636"/>
  <c r="A48" i="14636"/>
  <c r="A41" i="14636"/>
  <c r="A45" i="14636"/>
  <c r="A39" i="14636"/>
  <c r="A37" i="14636"/>
  <c r="A35" i="14636"/>
  <c r="A51" i="14636"/>
  <c r="A47" i="14636"/>
  <c r="A43" i="14636"/>
  <c r="A53" i="14636"/>
  <c r="A49" i="14636"/>
  <c r="C50" i="14685" a="1"/>
  <c r="C50" i="14685" s="1"/>
  <c r="K14" i="14661"/>
  <c r="L14" i="14661" s="1"/>
  <c r="A60" i="14703"/>
  <c r="D50" i="14685" a="1"/>
  <c r="D50" i="14685" s="1"/>
  <c r="B36" i="14661" s="1"/>
  <c r="J15" i="14685"/>
  <c r="A42" i="14686"/>
  <c r="A37" i="14686"/>
  <c r="A38" i="14686"/>
  <c r="F45" i="14647"/>
  <c r="J30" i="14647" a="1"/>
  <c r="J30" i="14647" s="1"/>
  <c r="E20" i="14652"/>
  <c r="E21" i="14652" s="1"/>
  <c r="E22" i="14652" s="1"/>
  <c r="E23" i="14652" s="1"/>
  <c r="E24" i="14652" s="1"/>
  <c r="E25" i="14652" s="1"/>
  <c r="E26" i="14652" s="1"/>
  <c r="G19" i="14652"/>
  <c r="A39" i="14639"/>
  <c r="A41" i="14639"/>
  <c r="A40" i="14639"/>
  <c r="A32" i="14701"/>
  <c r="A36" i="14701"/>
  <c r="A37" i="14701"/>
  <c r="A38" i="14701"/>
  <c r="A34" i="14701"/>
  <c r="A33" i="14701"/>
  <c r="H6" i="14694"/>
  <c r="B10" i="14694"/>
  <c r="C10" i="14694"/>
  <c r="E7" i="14694"/>
  <c r="F10" i="14694"/>
  <c r="C5" i="14694"/>
  <c r="B5" i="14694"/>
  <c r="D8" i="14694"/>
  <c r="E6" i="14694"/>
  <c r="E8" i="14694"/>
  <c r="D5" i="14694"/>
  <c r="F8" i="14694"/>
  <c r="B7" i="14694"/>
  <c r="E9" i="14694"/>
  <c r="F6" i="14694"/>
  <c r="F7" i="14694"/>
  <c r="C7" i="14694"/>
  <c r="C8" i="14694"/>
  <c r="G7" i="14694"/>
  <c r="G8" i="14694"/>
  <c r="C6" i="14694"/>
  <c r="H7" i="14694"/>
  <c r="B8" i="14694"/>
  <c r="C9" i="14694"/>
  <c r="G6" i="14694"/>
  <c r="H8" i="14694"/>
  <c r="G9" i="14694"/>
  <c r="B9" i="14694"/>
  <c r="G10" i="14694"/>
  <c r="H10" i="14694"/>
  <c r="D6" i="14694"/>
  <c r="D9" i="14694"/>
  <c r="B6" i="14694"/>
  <c r="F9" i="14694"/>
  <c r="D7" i="14694"/>
  <c r="E5" i="14694"/>
  <c r="F5" i="14694"/>
  <c r="H9" i="14694"/>
  <c r="E10" i="14694"/>
  <c r="H5" i="14694"/>
  <c r="D10" i="14694"/>
  <c r="G5" i="14694"/>
  <c r="A35" i="14672"/>
  <c r="A48" i="14672"/>
  <c r="A43" i="14672"/>
  <c r="A44" i="14672"/>
  <c r="A46" i="14672"/>
  <c r="A36" i="14672"/>
  <c r="A49" i="14672"/>
  <c r="A37" i="14672"/>
  <c r="A50" i="14672"/>
  <c r="A39" i="14672"/>
  <c r="A51" i="14672"/>
  <c r="A54" i="14672"/>
  <c r="A33" i="14672"/>
  <c r="A47" i="14672"/>
  <c r="A40" i="14672"/>
  <c r="A52" i="14672"/>
  <c r="A42" i="14672"/>
  <c r="A41" i="14672"/>
  <c r="A53" i="14672"/>
  <c r="A34" i="14672"/>
  <c r="A45" i="14672"/>
  <c r="J13" i="14685"/>
  <c r="F87" i="14647"/>
  <c r="A88" i="14687"/>
  <c r="A91" i="14687"/>
  <c r="A26" i="14683"/>
  <c r="A21" i="14683"/>
  <c r="A25" i="14683"/>
  <c r="A20" i="14683"/>
  <c r="A17" i="14633"/>
  <c r="A13" i="14633"/>
  <c r="A16" i="14633"/>
  <c r="A15" i="14633"/>
  <c r="A14" i="14633"/>
  <c r="A39" i="14634"/>
  <c r="A41" i="14634"/>
  <c r="A42" i="14634"/>
  <c r="A40" i="14634"/>
  <c r="J34" i="14685" a="1"/>
  <c r="A20" i="14630"/>
  <c r="A19" i="14630"/>
  <c r="A18" i="14630"/>
  <c r="A21" i="14630"/>
  <c r="A23" i="14630"/>
  <c r="A22" i="14630"/>
  <c r="A24" i="14630"/>
  <c r="A17" i="14630"/>
  <c r="A39" i="14624"/>
  <c r="A51" i="14624"/>
  <c r="A33" i="14624"/>
  <c r="A37" i="14624"/>
  <c r="A40" i="14624"/>
  <c r="A52" i="14624"/>
  <c r="A41" i="14624"/>
  <c r="A53" i="14624"/>
  <c r="A42" i="14624"/>
  <c r="A54" i="14624"/>
  <c r="A45" i="14624"/>
  <c r="A36" i="14624"/>
  <c r="A46" i="14624"/>
  <c r="A34" i="14624"/>
  <c r="A43" i="14624"/>
  <c r="A44" i="14624"/>
  <c r="A47" i="14624"/>
  <c r="A49" i="14624"/>
  <c r="A50" i="14624"/>
  <c r="A35" i="14624"/>
  <c r="A48" i="14624"/>
  <c r="B79" i="14647"/>
  <c r="I79" i="14647" s="1"/>
  <c r="J16" i="14685"/>
  <c r="J46" i="14685" a="1"/>
  <c r="J87" i="14647"/>
  <c r="A6" i="14639"/>
  <c r="A7" i="14639"/>
  <c r="A8" i="14639"/>
  <c r="A4" i="14639"/>
  <c r="A5" i="14639"/>
  <c r="A8" i="14630"/>
  <c r="A11" i="14630"/>
  <c r="A10" i="14630"/>
  <c r="A7" i="14630"/>
  <c r="A9" i="14630"/>
  <c r="A6" i="14630"/>
  <c r="A33" i="14673"/>
  <c r="A44" i="14673"/>
  <c r="A40" i="14673"/>
  <c r="A46" i="14673"/>
  <c r="A48" i="14673"/>
  <c r="A50" i="14673"/>
  <c r="A42" i="14673"/>
  <c r="A52" i="14673"/>
  <c r="A54" i="14673"/>
  <c r="A34" i="14673"/>
  <c r="A36" i="14673"/>
  <c r="A45" i="14673"/>
  <c r="A51" i="14673"/>
  <c r="A43" i="14673"/>
  <c r="A39" i="14673"/>
  <c r="A35" i="14673"/>
  <c r="A47" i="14673"/>
  <c r="A41" i="14673"/>
  <c r="A37" i="14673"/>
  <c r="A53" i="14673"/>
  <c r="A49" i="14673"/>
  <c r="A22" i="14677"/>
  <c r="A19" i="14677"/>
  <c r="B9" i="14693"/>
  <c r="G87" i="14647"/>
  <c r="A34" i="14682"/>
  <c r="C21" i="14622"/>
  <c r="C20" i="14622"/>
  <c r="A6" i="14675"/>
  <c r="A7" i="14675"/>
  <c r="A8" i="14675"/>
  <c r="A5" i="14675"/>
  <c r="A4" i="14675"/>
  <c r="J28" i="14647" a="1"/>
  <c r="J28" i="14647" s="1"/>
  <c r="A44" i="14629"/>
  <c r="A45" i="14629"/>
  <c r="A41" i="14629"/>
  <c r="A33" i="14629"/>
  <c r="A46" i="14629"/>
  <c r="A51" i="14629"/>
  <c r="A40" i="14629"/>
  <c r="A34" i="14629"/>
  <c r="A47" i="14629"/>
  <c r="A35" i="14629"/>
  <c r="A48" i="14629"/>
  <c r="A52" i="14629"/>
  <c r="A53" i="14629"/>
  <c r="A36" i="14629"/>
  <c r="A49" i="14629"/>
  <c r="A37" i="14629"/>
  <c r="A50" i="14629"/>
  <c r="A39" i="14629"/>
  <c r="A42" i="14629"/>
  <c r="A54" i="14629"/>
  <c r="A43" i="14629"/>
  <c r="B17" i="14687"/>
  <c r="J4" i="14667"/>
  <c r="N4" i="14667"/>
  <c r="F4" i="14667"/>
  <c r="A9" i="14679"/>
  <c r="A10" i="14679"/>
  <c r="A26" i="14698"/>
  <c r="A62" i="14701"/>
  <c r="A60" i="14701"/>
  <c r="M21" i="14687"/>
  <c r="O16" i="14687"/>
  <c r="L17" i="14687"/>
  <c r="M17" i="14687"/>
  <c r="H4" i="14667"/>
  <c r="H20" i="14687"/>
  <c r="A52" i="14667"/>
  <c r="A53" i="14706" s="1"/>
  <c r="L20" i="14687"/>
  <c r="H4" i="14706"/>
  <c r="B4" i="14706"/>
  <c r="N4" i="14706"/>
  <c r="J4" i="14706"/>
  <c r="L4" i="14706"/>
  <c r="F4" i="14706"/>
  <c r="N13" i="14653"/>
  <c r="N12" i="14653"/>
  <c r="M14" i="14653"/>
  <c r="L14" i="14653"/>
  <c r="E14" i="14653"/>
  <c r="I14" i="14653"/>
  <c r="H14" i="14653"/>
  <c r="G14" i="14653"/>
  <c r="D14" i="14653"/>
  <c r="J21" i="14687"/>
  <c r="Q26" i="14655"/>
  <c r="T26" i="14655" s="1"/>
  <c r="Q10" i="14655"/>
  <c r="U10" i="14655" s="1"/>
  <c r="V10" i="14655" s="1"/>
  <c r="W10" i="14655" s="1"/>
  <c r="X10" i="14655" s="1"/>
  <c r="O11" i="14687"/>
  <c r="J14" i="14653"/>
  <c r="D3" i="14706"/>
  <c r="N10" i="14653"/>
  <c r="N6" i="14653"/>
  <c r="P6" i="14653" s="1"/>
  <c r="F19" i="14707" s="1"/>
  <c r="E4" i="14687"/>
  <c r="A8" i="14706"/>
  <c r="J7" i="14667"/>
  <c r="L7" i="14667" s="1"/>
  <c r="N7" i="14667" s="1"/>
  <c r="J19" i="14706"/>
  <c r="L19" i="14706" s="1"/>
  <c r="N19" i="14706" s="1"/>
  <c r="N12" i="14707"/>
  <c r="X25" i="14655" s="1"/>
  <c r="W25" i="14655"/>
  <c r="E65" i="14665" a="1"/>
  <c r="E65" i="14665" s="1"/>
  <c r="L27" i="14707"/>
  <c r="J37" i="14707"/>
  <c r="J38" i="14707" s="1"/>
  <c r="A18" i="14636"/>
  <c r="A20" i="14636"/>
  <c r="A17" i="14636"/>
  <c r="A19" i="14636"/>
  <c r="Q25" i="14655"/>
  <c r="A28" i="14661" a="1"/>
  <c r="A36" i="14661" s="1"/>
  <c r="B16" i="14689"/>
  <c r="B15" i="14689"/>
  <c r="B14" i="14689"/>
  <c r="B19" i="14689"/>
  <c r="B13" i="14689"/>
  <c r="B17" i="14689"/>
  <c r="B18" i="14689"/>
  <c r="A7" i="14679"/>
  <c r="A11" i="14679"/>
  <c r="A7" i="14623"/>
  <c r="A11" i="14623"/>
  <c r="A9" i="14623"/>
  <c r="A13" i="14623"/>
  <c r="A12" i="14623"/>
  <c r="A8" i="14623"/>
  <c r="A66" i="14701"/>
  <c r="A61" i="14701"/>
  <c r="A24" i="14698"/>
  <c r="A21" i="14698"/>
  <c r="A23" i="14698"/>
  <c r="A25" i="14698"/>
  <c r="A24" i="14668"/>
  <c r="A17" i="14668"/>
  <c r="A21" i="14668"/>
  <c r="A20" i="14668"/>
  <c r="A19" i="14668"/>
  <c r="A23" i="14668"/>
  <c r="A22" i="14668"/>
  <c r="A18" i="14668"/>
  <c r="A10" i="7"/>
  <c r="A9" i="7"/>
  <c r="A8" i="7"/>
  <c r="A11" i="7"/>
  <c r="A5" i="7"/>
  <c r="A12" i="7"/>
  <c r="A9" i="14653"/>
  <c r="A13" i="14653"/>
  <c r="A11" i="14653"/>
  <c r="A8" i="14653"/>
  <c r="A6" i="14653"/>
  <c r="A7" i="14653"/>
  <c r="A10" i="14653"/>
  <c r="A12" i="14653"/>
  <c r="D13" i="14624"/>
  <c r="F12" i="14624"/>
  <c r="A23" i="14636"/>
  <c r="A25" i="14636"/>
  <c r="A24" i="14636"/>
  <c r="A22" i="14636"/>
  <c r="A21" i="14682"/>
  <c r="A22" i="14682"/>
  <c r="A20" i="14682"/>
  <c r="A23" i="14682"/>
  <c r="A43" i="14694" a="1"/>
  <c r="A51" i="14694" a="1"/>
  <c r="E9" i="14652"/>
  <c r="G8" i="14652"/>
  <c r="B33" i="14652"/>
  <c r="B40" i="14652"/>
  <c r="B39" i="14652"/>
  <c r="B35" i="14652"/>
  <c r="B36" i="14652"/>
  <c r="C33" i="14652" s="1" a="1"/>
  <c r="B37" i="14652"/>
  <c r="G73" i="14689"/>
  <c r="C73" i="14689"/>
  <c r="F73" i="14689"/>
  <c r="D19" i="14652" a="1"/>
  <c r="E75" i="14689"/>
  <c r="C77" i="14689"/>
  <c r="O24" i="14625"/>
  <c r="B43" i="14647"/>
  <c r="I43" i="14647" s="1"/>
  <c r="J43" i="14685"/>
  <c r="G10" i="14685"/>
  <c r="C38" i="14686"/>
  <c r="C47" i="14686" s="1" a="1"/>
  <c r="A20" i="14673"/>
  <c r="A19" i="14673"/>
  <c r="A17" i="14673"/>
  <c r="A18" i="14673"/>
  <c r="Q23" i="14655"/>
  <c r="A35" i="14689"/>
  <c r="A37" i="14689"/>
  <c r="A34" i="14689"/>
  <c r="A33" i="14689"/>
  <c r="A75" i="14689" s="1"/>
  <c r="A36" i="14689"/>
  <c r="A47" i="14689"/>
  <c r="A45" i="14689"/>
  <c r="A77" i="14689" s="1"/>
  <c r="A48" i="14689"/>
  <c r="A49" i="14689"/>
  <c r="A50" i="14689"/>
  <c r="A46" i="14689"/>
  <c r="A47" i="14632" a="1"/>
  <c r="A47" i="14638" a="1"/>
  <c r="B9" i="14661"/>
  <c r="C20" i="14685" a="1"/>
  <c r="C20" i="14685" s="1"/>
  <c r="C46" i="14647"/>
  <c r="B31" i="14647"/>
  <c r="I31" i="14647" s="1"/>
  <c r="J31" i="14647" a="1"/>
  <c r="J31" i="14647" s="1"/>
  <c r="A13" i="14636"/>
  <c r="A8" i="14636"/>
  <c r="A12" i="14636"/>
  <c r="A11" i="14636"/>
  <c r="A14" i="14636"/>
  <c r="A7" i="14636"/>
  <c r="A36" i="14678"/>
  <c r="A38" i="14678"/>
  <c r="A40" i="14678"/>
  <c r="A37" i="14678"/>
  <c r="A35" i="14678"/>
  <c r="A42" i="14678"/>
  <c r="A41" i="14678"/>
  <c r="A39" i="14678"/>
  <c r="A37" i="14704"/>
  <c r="A32" i="14704"/>
  <c r="A36" i="14704"/>
  <c r="A34" i="14704"/>
  <c r="A38" i="14704"/>
  <c r="A39" i="14704"/>
  <c r="A33" i="14704"/>
  <c r="A35" i="14704"/>
  <c r="A66" i="14700"/>
  <c r="A60" i="14700"/>
  <c r="A59" i="14700"/>
  <c r="A63" i="14700"/>
  <c r="A64" i="14700"/>
  <c r="A61" i="14700"/>
  <c r="A65" i="14700"/>
  <c r="A62" i="14700"/>
  <c r="A17" i="7"/>
  <c r="A19" i="7"/>
  <c r="A23" i="7"/>
  <c r="A22" i="7"/>
  <c r="A21" i="7"/>
  <c r="A18" i="7"/>
  <c r="A35" i="14653"/>
  <c r="A38" i="14653"/>
  <c r="A32" i="14653"/>
  <c r="A39" i="14653"/>
  <c r="A25" i="14673"/>
  <c r="A23" i="14673"/>
  <c r="A22" i="14673"/>
  <c r="A24" i="14673"/>
  <c r="A22" i="14672"/>
  <c r="A24" i="14672"/>
  <c r="Q19" i="14655"/>
  <c r="T19" i="14655" s="1"/>
  <c r="Q8" i="14655"/>
  <c r="U8" i="14655" s="1"/>
  <c r="V8" i="14655" s="1"/>
  <c r="W8" i="14655" s="1"/>
  <c r="X8" i="14655" s="1"/>
  <c r="B34" i="14624" a="1"/>
  <c r="J34" i="14624" s="1"/>
  <c r="Q14" i="14655"/>
  <c r="T14" i="14655" s="1"/>
  <c r="Q9" i="14655"/>
  <c r="U9" i="14655" s="1"/>
  <c r="V9" i="14655" s="1"/>
  <c r="W9" i="14655" s="1"/>
  <c r="X9" i="14655" s="1"/>
  <c r="Q20" i="14655"/>
  <c r="U20" i="14655" s="1"/>
  <c r="V20" i="14655" s="1"/>
  <c r="W20" i="14655" s="1"/>
  <c r="X20" i="14655" s="1"/>
  <c r="Q18" i="14655"/>
  <c r="U18" i="14655" s="1"/>
  <c r="V18" i="14655" s="1"/>
  <c r="W18" i="14655" s="1"/>
  <c r="X18" i="14655" s="1"/>
  <c r="Q15" i="14655"/>
  <c r="U15" i="14655" s="1"/>
  <c r="V15" i="14655" s="1"/>
  <c r="W15" i="14655" s="1"/>
  <c r="X15" i="14655" s="1"/>
  <c r="Q21" i="14655"/>
  <c r="T21" i="14655" s="1"/>
  <c r="Q17" i="14655"/>
  <c r="U17" i="14655" s="1"/>
  <c r="V17" i="14655" s="1"/>
  <c r="W17" i="14655" s="1"/>
  <c r="X17" i="14655" s="1"/>
  <c r="B33" i="14624" a="1"/>
  <c r="B33" i="14624" s="1"/>
  <c r="Q11" i="14655"/>
  <c r="U11" i="14655" s="1"/>
  <c r="V11" i="14655" s="1"/>
  <c r="W11" i="14655" s="1"/>
  <c r="X11" i="14655" s="1"/>
  <c r="Q7" i="14655"/>
  <c r="U7" i="14655" s="1"/>
  <c r="V7" i="14655" s="1"/>
  <c r="W7" i="14655" s="1"/>
  <c r="X7" i="14655" s="1"/>
  <c r="Q13" i="14655"/>
  <c r="T13" i="14655" s="1"/>
  <c r="Q16" i="14655"/>
  <c r="U16" i="14655" s="1"/>
  <c r="V16" i="14655" s="1"/>
  <c r="W16" i="14655" s="1"/>
  <c r="X16" i="14655" s="1"/>
  <c r="Q12" i="14655"/>
  <c r="T12" i="14655" s="1"/>
  <c r="A15" i="14690"/>
  <c r="A8" i="11" s="1"/>
  <c r="D47" i="14686"/>
  <c r="B38" i="14686"/>
  <c r="E18" i="14624" s="1" a="1"/>
  <c r="E18" i="14624" s="1"/>
  <c r="J23" i="14685"/>
  <c r="J24" i="14685"/>
  <c r="J26" i="14685"/>
  <c r="J25" i="14685"/>
  <c r="G76" i="14689"/>
  <c r="G75" i="14689"/>
  <c r="G77" i="14689"/>
  <c r="D77" i="14689"/>
  <c r="G43" i="14685"/>
  <c r="D76" i="14689"/>
  <c r="A43" i="14706"/>
  <c r="D16" i="14657"/>
  <c r="F16" i="14657"/>
  <c r="I2" i="14681"/>
  <c r="I3" i="14681"/>
  <c r="E16" i="14657"/>
  <c r="C16" i="14657"/>
  <c r="A14" i="14690"/>
  <c r="A7" i="11" s="1"/>
  <c r="F10" i="14626"/>
  <c r="K2" i="14657"/>
  <c r="E11" i="14693"/>
  <c r="D11" i="14693"/>
  <c r="C11" i="14693"/>
  <c r="M12" i="14645"/>
  <c r="B5" i="14630" a="1"/>
  <c r="I6" i="14630" s="1"/>
  <c r="C20" i="14626"/>
  <c r="D14" i="14667"/>
  <c r="F14" i="14667" s="1"/>
  <c r="H14" i="14667" s="1"/>
  <c r="J14" i="14667" s="1"/>
  <c r="L14" i="14667" s="1"/>
  <c r="N14" i="14667" s="1"/>
  <c r="D14" i="14706"/>
  <c r="F14" i="14706" s="1"/>
  <c r="H14" i="14706" s="1"/>
  <c r="J14" i="14706" s="1"/>
  <c r="L14" i="14706" s="1"/>
  <c r="N14" i="14706" s="1"/>
  <c r="E6" i="14695"/>
  <c r="B7" i="14695"/>
  <c r="F7" i="14695"/>
  <c r="C8" i="14695"/>
  <c r="G8" i="14695"/>
  <c r="D9" i="14695"/>
  <c r="H9" i="14695"/>
  <c r="E10" i="14695"/>
  <c r="B6" i="14695"/>
  <c r="C7" i="14695"/>
  <c r="D8" i="14695"/>
  <c r="E9" i="14695"/>
  <c r="F10" i="14695"/>
  <c r="E7" i="14695"/>
  <c r="G9" i="14695"/>
  <c r="B8" i="14695"/>
  <c r="H6" i="14695"/>
  <c r="G6" i="14695"/>
  <c r="H7" i="14695"/>
  <c r="B9" i="14695"/>
  <c r="C10" i="14695"/>
  <c r="F6" i="14695"/>
  <c r="H8" i="14695"/>
  <c r="D6" i="14695"/>
  <c r="H10" i="14695"/>
  <c r="C9" i="14695"/>
  <c r="C6" i="14695"/>
  <c r="E8" i="14695"/>
  <c r="G10" i="14695"/>
  <c r="B10" i="14695"/>
  <c r="D10" i="14695"/>
  <c r="F9" i="14695"/>
  <c r="F8" i="14695"/>
  <c r="D7" i="14695"/>
  <c r="G7" i="14695"/>
  <c r="B39" i="14706"/>
  <c r="A24" i="14649" a="1"/>
  <c r="A16" i="14682"/>
  <c r="A18" i="14682"/>
  <c r="A17" i="14682"/>
  <c r="A15" i="14682"/>
  <c r="A94" i="14648"/>
  <c r="A66" i="14648"/>
  <c r="E18" i="4129"/>
  <c r="A104" i="14648"/>
  <c r="A36" i="14648"/>
  <c r="F4" i="14661"/>
  <c r="A99" i="14648"/>
  <c r="F62" i="14665"/>
  <c r="A51" i="14648"/>
  <c r="F38" i="14665"/>
  <c r="L6" i="14670" s="1"/>
  <c r="I6" i="14640"/>
  <c r="E6" i="14640"/>
  <c r="M6" i="14640"/>
  <c r="B6" i="14640"/>
  <c r="F6" i="14640"/>
  <c r="J6" i="14640"/>
  <c r="H6" i="14640"/>
  <c r="E6" i="14670"/>
  <c r="D6" i="14640"/>
  <c r="L6" i="14640"/>
  <c r="A54" i="14679"/>
  <c r="A49" i="14679"/>
  <c r="A53" i="14679"/>
  <c r="A52" i="14679"/>
  <c r="A47" i="14679"/>
  <c r="A48" i="14679"/>
  <c r="A51" i="14679"/>
  <c r="A50" i="14679"/>
  <c r="F19" i="14647"/>
  <c r="E19" i="14647"/>
  <c r="D19" i="14647"/>
  <c r="G19" i="14647"/>
  <c r="H19" i="14647"/>
  <c r="J53" i="14685" a="1"/>
  <c r="D15" i="14690"/>
  <c r="A58" i="14695"/>
  <c r="A56" i="14695"/>
  <c r="A59" i="14695"/>
  <c r="A55" i="14695"/>
  <c r="A57" i="14695"/>
  <c r="A30" i="14695"/>
  <c r="A28" i="14695"/>
  <c r="A31" i="14695"/>
  <c r="A27" i="14695"/>
  <c r="A29" i="14695"/>
  <c r="A111" i="14703" a="1"/>
  <c r="B31" i="14675" a="1"/>
  <c r="B31" i="14628" a="1"/>
  <c r="B31" i="14639" a="1"/>
  <c r="B31" i="14634" a="1"/>
  <c r="B31" i="14674" a="1"/>
  <c r="F74" i="14689"/>
  <c r="G74" i="14689"/>
  <c r="D74" i="14689"/>
  <c r="E74" i="14689"/>
  <c r="C74" i="14689"/>
  <c r="G52" i="14690"/>
  <c r="B43" i="14648"/>
  <c r="A38" i="14639"/>
  <c r="A31" i="14639"/>
  <c r="A35" i="14639"/>
  <c r="A32" i="14639"/>
  <c r="A34" i="14639"/>
  <c r="A37" i="14639"/>
  <c r="A36" i="14639"/>
  <c r="A33" i="14639"/>
  <c r="A40" i="14679"/>
  <c r="A36" i="14679"/>
  <c r="A35" i="14679"/>
  <c r="A42" i="14679"/>
  <c r="A39" i="14679"/>
  <c r="A41" i="14679"/>
  <c r="A38" i="14679"/>
  <c r="A37" i="14679"/>
  <c r="A41" i="14638"/>
  <c r="A38" i="14638"/>
  <c r="A39" i="14638"/>
  <c r="A40" i="14638"/>
  <c r="A35" i="14638"/>
  <c r="A36" i="14638"/>
  <c r="A42" i="14638"/>
  <c r="A37" i="14638"/>
  <c r="A40" i="14623"/>
  <c r="A36" i="14623"/>
  <c r="A37" i="14623"/>
  <c r="A39" i="14623"/>
  <c r="A38" i="14623"/>
  <c r="A41" i="14623"/>
  <c r="A42" i="14623"/>
  <c r="A35" i="14623"/>
  <c r="A6" i="14683"/>
  <c r="A10" i="14683"/>
  <c r="A9" i="14683"/>
  <c r="A12" i="14683"/>
  <c r="A11" i="14683"/>
  <c r="A13" i="14683"/>
  <c r="A8" i="14683"/>
  <c r="A7" i="14683"/>
  <c r="A25" i="14704"/>
  <c r="A23" i="14704"/>
  <c r="A26" i="14704"/>
  <c r="A22" i="14704"/>
  <c r="A24" i="14704"/>
  <c r="A27" i="14704"/>
  <c r="A20" i="14704"/>
  <c r="A21" i="14704"/>
  <c r="A35" i="14702"/>
  <c r="A39" i="14702"/>
  <c r="A37" i="14702"/>
  <c r="A34" i="14702"/>
  <c r="A38" i="14702"/>
  <c r="A33" i="14702"/>
  <c r="A36" i="14702"/>
  <c r="A32" i="14702"/>
  <c r="A46" i="14701"/>
  <c r="A53" i="14701"/>
  <c r="A49" i="14701"/>
  <c r="A50" i="14701"/>
  <c r="A51" i="14701"/>
  <c r="A52" i="14701"/>
  <c r="A48" i="14701"/>
  <c r="A47" i="14701"/>
  <c r="A49" i="14700"/>
  <c r="A53" i="14700"/>
  <c r="A51" i="14700"/>
  <c r="A47" i="14700"/>
  <c r="A46" i="14700"/>
  <c r="A50" i="14700"/>
  <c r="A48" i="14700"/>
  <c r="A52" i="14700"/>
  <c r="A63" i="14698"/>
  <c r="A60" i="14698"/>
  <c r="A64" i="14698"/>
  <c r="A61" i="14698"/>
  <c r="A59" i="14698"/>
  <c r="A66" i="14698"/>
  <c r="A65" i="14698"/>
  <c r="A62" i="14698"/>
  <c r="A8" i="14698"/>
  <c r="A15" i="14698"/>
  <c r="A11" i="14698"/>
  <c r="A10" i="14698"/>
  <c r="A12" i="14698"/>
  <c r="A14" i="14698"/>
  <c r="A13" i="14698"/>
  <c r="A9" i="14698"/>
  <c r="A9" i="14699"/>
  <c r="A11" i="14699"/>
  <c r="A13" i="14699"/>
  <c r="A15" i="14699"/>
  <c r="A10" i="14699"/>
  <c r="A14" i="14699"/>
  <c r="A12" i="14699"/>
  <c r="A8" i="14699"/>
  <c r="A24" i="14669"/>
  <c r="A20" i="14669"/>
  <c r="A19" i="14669"/>
  <c r="A23" i="14669"/>
  <c r="A22" i="14669"/>
  <c r="A17" i="14669"/>
  <c r="A18" i="14669"/>
  <c r="A21" i="14669"/>
  <c r="A34" i="14668"/>
  <c r="A38" i="14668"/>
  <c r="A32" i="14668"/>
  <c r="A33" i="14668"/>
  <c r="A35" i="14668"/>
  <c r="A36" i="14668"/>
  <c r="A39" i="14668"/>
  <c r="A37" i="14668"/>
  <c r="A35" i="14637"/>
  <c r="A39" i="14637"/>
  <c r="A33" i="14637"/>
  <c r="A37" i="14637"/>
  <c r="A34" i="14637"/>
  <c r="A38" i="14637"/>
  <c r="A32" i="14637"/>
  <c r="A36" i="14637"/>
  <c r="A6" i="14637"/>
  <c r="A7" i="14637"/>
  <c r="A9" i="14637"/>
  <c r="A8" i="14637"/>
  <c r="A11" i="14637"/>
  <c r="A10" i="14637"/>
  <c r="A12" i="14637"/>
  <c r="A5" i="14637"/>
  <c r="A72" i="14653"/>
  <c r="A74" i="14653"/>
  <c r="A76" i="14653"/>
  <c r="A78" i="14653"/>
  <c r="A71" i="14653"/>
  <c r="A75" i="14653"/>
  <c r="A77" i="14653"/>
  <c r="A73" i="14653"/>
  <c r="A89" i="14647"/>
  <c r="A90" i="14647"/>
  <c r="A93" i="14647"/>
  <c r="A88" i="14647"/>
  <c r="A95" i="14647"/>
  <c r="A92" i="14647"/>
  <c r="A94" i="14647"/>
  <c r="A91" i="14647"/>
  <c r="A56" i="14647"/>
  <c r="A61" i="14647"/>
  <c r="A57" i="14647"/>
  <c r="A60" i="14647"/>
  <c r="A58" i="14647"/>
  <c r="A62" i="14647"/>
  <c r="A59" i="14647"/>
  <c r="A55" i="14647"/>
  <c r="A45" i="14652"/>
  <c r="A47" i="14652"/>
  <c r="A49" i="14652"/>
  <c r="A51" i="14652"/>
  <c r="A48" i="14652"/>
  <c r="A52" i="14652"/>
  <c r="A50" i="14652"/>
  <c r="A46" i="14652"/>
  <c r="N33" i="14653"/>
  <c r="F14" i="14653"/>
  <c r="N8" i="14653"/>
  <c r="J29" i="14685" a="1"/>
  <c r="C31" i="14685" a="1"/>
  <c r="C31" i="14685" s="1"/>
  <c r="B11" i="14661"/>
  <c r="D31" i="14685" a="1"/>
  <c r="D31" i="14685" s="1"/>
  <c r="B33" i="14661" s="1"/>
  <c r="C30" i="14661" s="1" a="1"/>
  <c r="K11" i="14661"/>
  <c r="L11" i="14661" s="1"/>
  <c r="C10" i="14685" a="1"/>
  <c r="C10" i="14685" s="1"/>
  <c r="B8" i="14661"/>
  <c r="B65" i="14685"/>
  <c r="J6" i="14685" a="1"/>
  <c r="B40" i="14690"/>
  <c r="F40" i="14690"/>
  <c r="C40" i="14690"/>
  <c r="E40" i="14690"/>
  <c r="H40" i="14690"/>
  <c r="G40" i="14690"/>
  <c r="D40" i="14690"/>
  <c r="A8" i="14703"/>
  <c r="A14" i="14703"/>
  <c r="A9" i="14703"/>
  <c r="A10" i="14703"/>
  <c r="A12" i="14703"/>
  <c r="A11" i="14703"/>
  <c r="A13" i="14703"/>
  <c r="A15" i="14703"/>
  <c r="B60" i="14643"/>
  <c r="B56" i="14643"/>
  <c r="B53" i="14643"/>
  <c r="B57" i="14643"/>
  <c r="B54" i="14643"/>
  <c r="B59" i="14643"/>
  <c r="B55" i="14643"/>
  <c r="B58" i="14643"/>
  <c r="A38" i="14628"/>
  <c r="A31" i="14628"/>
  <c r="A35" i="14628"/>
  <c r="A36" i="14628"/>
  <c r="A33" i="14628"/>
  <c r="A34" i="14628"/>
  <c r="A32" i="14628"/>
  <c r="A37" i="14628"/>
  <c r="A36" i="14632"/>
  <c r="A41" i="14632"/>
  <c r="A35" i="14632"/>
  <c r="A42" i="14632"/>
  <c r="A37" i="14632"/>
  <c r="A38" i="14632"/>
  <c r="A40" i="14632"/>
  <c r="A39" i="14632"/>
  <c r="A8" i="14704"/>
  <c r="A13" i="14704"/>
  <c r="A14" i="14704"/>
  <c r="A9" i="14704"/>
  <c r="A11" i="14704"/>
  <c r="A12" i="14704"/>
  <c r="A15" i="14704"/>
  <c r="A10" i="14704"/>
  <c r="A13" i="14701"/>
  <c r="A10" i="14701"/>
  <c r="A12" i="14701"/>
  <c r="A14" i="14701"/>
  <c r="A8" i="14701"/>
  <c r="A15" i="14701"/>
  <c r="A9" i="14701"/>
  <c r="A11" i="14701"/>
  <c r="A33" i="14698"/>
  <c r="A39" i="14698"/>
  <c r="A38" i="14698"/>
  <c r="A37" i="14698"/>
  <c r="A34" i="14698"/>
  <c r="A36" i="14698"/>
  <c r="A35" i="14698"/>
  <c r="A32" i="14698"/>
  <c r="A33" i="14703"/>
  <c r="A37" i="14703"/>
  <c r="A39" i="14703"/>
  <c r="A35" i="14703"/>
  <c r="A32" i="14703"/>
  <c r="A36" i="14703"/>
  <c r="A34" i="14703"/>
  <c r="A38" i="14703"/>
  <c r="A61" i="14653"/>
  <c r="A64" i="14653"/>
  <c r="A65" i="14653"/>
  <c r="A58" i="14653"/>
  <c r="A59" i="14653"/>
  <c r="A60" i="14653"/>
  <c r="A63" i="14653"/>
  <c r="A62" i="14653"/>
  <c r="A40" i="14647"/>
  <c r="A43" i="14647"/>
  <c r="A46" i="14647"/>
  <c r="A44" i="14647"/>
  <c r="A41" i="14647"/>
  <c r="A45" i="14647"/>
  <c r="A39" i="14647"/>
  <c r="A42" i="14647"/>
  <c r="N45" i="14653"/>
  <c r="P45" i="14653" s="1"/>
  <c r="L19" i="14707" s="1"/>
  <c r="F36" i="14706"/>
  <c r="F20" i="14708"/>
  <c r="E20" i="14708"/>
  <c r="B20" i="14708"/>
  <c r="D20" i="14708"/>
  <c r="C20" i="14708"/>
  <c r="A38" i="14692"/>
  <c r="A37" i="14692"/>
  <c r="A39" i="14692"/>
  <c r="A36" i="14692"/>
  <c r="A40" i="14692"/>
  <c r="E9" i="14686"/>
  <c r="E14" i="14686" s="1"/>
  <c r="D48" i="14686" a="1"/>
  <c r="D48" i="14686" s="1"/>
  <c r="D30" i="14686" a="1"/>
  <c r="D30" i="14686" s="1"/>
  <c r="A29" i="14687"/>
  <c r="A32" i="14687"/>
  <c r="A33" i="14687"/>
  <c r="A31" i="14687"/>
  <c r="A34" i="14687"/>
  <c r="A35" i="14687"/>
  <c r="A28" i="14687"/>
  <c r="A30" i="14687"/>
  <c r="A14" i="14687"/>
  <c r="A13" i="14687"/>
  <c r="A9" i="14687"/>
  <c r="A16" i="14687"/>
  <c r="A11" i="14687"/>
  <c r="A15" i="14687"/>
  <c r="A12" i="14687"/>
  <c r="A10" i="14687"/>
  <c r="A14" i="14673"/>
  <c r="A13" i="14673"/>
  <c r="A12" i="14673"/>
  <c r="A11" i="14673"/>
  <c r="A10" i="14673"/>
  <c r="A7" i="14673"/>
  <c r="A9" i="14673"/>
  <c r="A8" i="14673"/>
  <c r="A11" i="14629"/>
  <c r="A9" i="14629"/>
  <c r="A8" i="14629"/>
  <c r="A7" i="14629"/>
  <c r="A12" i="14629"/>
  <c r="A14" i="14629"/>
  <c r="A13" i="14629"/>
  <c r="A10" i="14629"/>
  <c r="J57" i="14652" a="1"/>
  <c r="J57" i="14652" s="1"/>
  <c r="J61" i="14652" a="1"/>
  <c r="J61" i="14652" s="1"/>
  <c r="J63" i="14652" a="1"/>
  <c r="J63" i="14652" s="1"/>
  <c r="J58" i="14652" a="1"/>
  <c r="J58" i="14652" s="1"/>
  <c r="J60" i="14652" a="1"/>
  <c r="J60" i="14652" s="1"/>
  <c r="J62" i="14652" a="1"/>
  <c r="J62" i="14652" s="1"/>
  <c r="J64" i="14652" a="1"/>
  <c r="J64" i="14652" s="1"/>
  <c r="J59" i="14652" a="1"/>
  <c r="J59" i="14652" s="1"/>
  <c r="E67" i="14647"/>
  <c r="D65" i="14645" s="1"/>
  <c r="D66" i="14645" s="1"/>
  <c r="G67" i="14647"/>
  <c r="F65" i="14645" s="1"/>
  <c r="F66" i="14645" s="1"/>
  <c r="D67" i="14647"/>
  <c r="H67" i="14647"/>
  <c r="G65" i="14645" s="1"/>
  <c r="G66" i="14645" s="1"/>
  <c r="F67" i="14647"/>
  <c r="E65" i="14645" s="1"/>
  <c r="E66" i="14645" s="1"/>
  <c r="G89" i="14647"/>
  <c r="B74" i="14647"/>
  <c r="I74" i="14647" s="1"/>
  <c r="J74" i="14647" a="1"/>
  <c r="J74" i="14647" s="1"/>
  <c r="G91" i="14647"/>
  <c r="B76" i="14647"/>
  <c r="I76" i="14647" s="1"/>
  <c r="J76" i="14647" a="1"/>
  <c r="J76" i="14647" s="1"/>
  <c r="C92" i="14647"/>
  <c r="B77" i="14647"/>
  <c r="I77" i="14647" s="1"/>
  <c r="J77" i="14647" a="1"/>
  <c r="J77" i="14647" s="1"/>
  <c r="J93" i="14647" a="1"/>
  <c r="J93" i="14647" s="1"/>
  <c r="E93" i="14647"/>
  <c r="B93" i="14647" s="1"/>
  <c r="I93" i="14647" s="1"/>
  <c r="J78" i="14647" a="1"/>
  <c r="J78" i="14647" s="1"/>
  <c r="G37" i="14685"/>
  <c r="F41" i="14706"/>
  <c r="C54" i="14647"/>
  <c r="G54" i="14647"/>
  <c r="D54" i="14647"/>
  <c r="B54" i="14647"/>
  <c r="J54" i="14647"/>
  <c r="A54" i="14647"/>
  <c r="I54" i="14647"/>
  <c r="F54" i="14647"/>
  <c r="H54" i="14647"/>
  <c r="E54" i="14647"/>
  <c r="C23" i="14647"/>
  <c r="G23" i="14647"/>
  <c r="D23" i="14647"/>
  <c r="F23" i="14647"/>
  <c r="J23" i="14647"/>
  <c r="A23" i="14647"/>
  <c r="I23" i="14647"/>
  <c r="B23" i="14647"/>
  <c r="E23" i="14647"/>
  <c r="H23" i="14647"/>
  <c r="B5" i="14692"/>
  <c r="F5" i="14692"/>
  <c r="C6" i="14692"/>
  <c r="G6" i="14692"/>
  <c r="D7" i="14692"/>
  <c r="H7" i="14692"/>
  <c r="E8" i="14692"/>
  <c r="B9" i="14692"/>
  <c r="F9" i="14692"/>
  <c r="C10" i="14692"/>
  <c r="G10" i="14692"/>
  <c r="G5" i="14692"/>
  <c r="H6" i="14692"/>
  <c r="B8" i="14692"/>
  <c r="C9" i="14692"/>
  <c r="D10" i="14692"/>
  <c r="B6" i="14692"/>
  <c r="D8" i="14692"/>
  <c r="F10" i="14692"/>
  <c r="H8" i="14692"/>
  <c r="G7" i="14692"/>
  <c r="D5" i="14692"/>
  <c r="E6" i="14692"/>
  <c r="F7" i="14692"/>
  <c r="G8" i="14692"/>
  <c r="H9" i="14692"/>
  <c r="C5" i="14692"/>
  <c r="E7" i="14692"/>
  <c r="G9" i="14692"/>
  <c r="C7" i="14692"/>
  <c r="F6" i="14692"/>
  <c r="B10" i="14692"/>
  <c r="H5" i="14692"/>
  <c r="C8" i="14692"/>
  <c r="E10" i="14692"/>
  <c r="F8" i="14692"/>
  <c r="E9" i="14692"/>
  <c r="B7" i="14692"/>
  <c r="D6" i="14692"/>
  <c r="E5" i="14692"/>
  <c r="D9" i="14692"/>
  <c r="H10" i="14692"/>
  <c r="A123" i="14704"/>
  <c r="A121" i="14704"/>
  <c r="A119" i="14704"/>
  <c r="A117" i="14704"/>
  <c r="A115" i="14704"/>
  <c r="A113" i="14704"/>
  <c r="A111" i="14704"/>
  <c r="A120" i="14704"/>
  <c r="A116" i="14704"/>
  <c r="A112" i="14704"/>
  <c r="A118" i="14704"/>
  <c r="A122" i="14704"/>
  <c r="A114" i="14704"/>
  <c r="B26" i="14667"/>
  <c r="E65" i="14685"/>
  <c r="B88" i="14647"/>
  <c r="I88" i="14647" s="1"/>
  <c r="J88" i="14647" a="1"/>
  <c r="J88" i="14647" s="1"/>
  <c r="B47" i="14687" a="1"/>
  <c r="E29" i="14686" a="1"/>
  <c r="E29" i="14686" s="1"/>
  <c r="F6" i="14686"/>
  <c r="A123" i="14701"/>
  <c r="A121" i="14701"/>
  <c r="A119" i="14701"/>
  <c r="A117" i="14701"/>
  <c r="A115" i="14701"/>
  <c r="A113" i="14701"/>
  <c r="A111" i="14701"/>
  <c r="A122" i="14701"/>
  <c r="A118" i="14701"/>
  <c r="A114" i="14701"/>
  <c r="A116" i="14701"/>
  <c r="A112" i="14701"/>
  <c r="A120" i="14701"/>
  <c r="G42" i="14647"/>
  <c r="B27" i="14647"/>
  <c r="I27" i="14647" s="1"/>
  <c r="J27" i="14647" a="1"/>
  <c r="J27" i="14647" s="1"/>
  <c r="F40" i="14647"/>
  <c r="J25" i="14647" a="1"/>
  <c r="J25" i="14647" s="1"/>
  <c r="J24" i="14647" a="1"/>
  <c r="J24" i="14647" s="1"/>
  <c r="A122" i="14702"/>
  <c r="A120" i="14702"/>
  <c r="A118" i="14702"/>
  <c r="A116" i="14702"/>
  <c r="A114" i="14702"/>
  <c r="A112" i="14702"/>
  <c r="A121" i="14702"/>
  <c r="A117" i="14702"/>
  <c r="A113" i="14702"/>
  <c r="A123" i="14702"/>
  <c r="A115" i="14702"/>
  <c r="A111" i="14702"/>
  <c r="A119" i="14702"/>
  <c r="J62" i="14685"/>
  <c r="J58" i="14685"/>
  <c r="J60" i="14685"/>
  <c r="J59" i="14685"/>
  <c r="J61" i="14685"/>
  <c r="J63" i="14685"/>
  <c r="B39" i="14647"/>
  <c r="I39" i="14647" s="1"/>
  <c r="C14" i="14626"/>
  <c r="F11" i="14667"/>
  <c r="H11" i="14667" s="1"/>
  <c r="J11" i="14667" s="1"/>
  <c r="L11" i="14667" s="1"/>
  <c r="N11" i="14667" s="1"/>
  <c r="T8" i="14655"/>
  <c r="U19" i="14655"/>
  <c r="V19" i="14655" s="1"/>
  <c r="W19" i="14655" s="1"/>
  <c r="X19" i="14655" s="1"/>
  <c r="B5" i="7" a="1"/>
  <c r="C5" i="7" s="1"/>
  <c r="C17" i="7" s="1"/>
  <c r="C75" i="14689"/>
  <c r="D11" i="14696" a="1"/>
  <c r="A20" i="14672"/>
  <c r="A18" i="14672"/>
  <c r="A17" i="14672"/>
  <c r="A19" i="14672"/>
  <c r="U14" i="14655"/>
  <c r="V14" i="14655" s="1"/>
  <c r="W14" i="14655" s="1"/>
  <c r="X14" i="14655" s="1"/>
  <c r="F6" i="14670"/>
  <c r="K6" i="14640"/>
  <c r="C6" i="14640"/>
  <c r="N6" i="14631"/>
  <c r="H29" i="14667" s="1"/>
  <c r="A47" i="14678"/>
  <c r="A50" i="14678"/>
  <c r="A54" i="14678"/>
  <c r="A53" i="14678"/>
  <c r="A52" i="14678"/>
  <c r="A51" i="14678"/>
  <c r="A48" i="14678"/>
  <c r="A49" i="14678"/>
  <c r="I17" i="14687"/>
  <c r="I20" i="14687"/>
  <c r="J20" i="14687"/>
  <c r="O9" i="14687"/>
  <c r="L9" i="14661"/>
  <c r="F11" i="14696"/>
  <c r="E43" i="14690"/>
  <c r="D43" i="14690"/>
  <c r="F43" i="14690"/>
  <c r="C43" i="14690"/>
  <c r="H43" i="14690"/>
  <c r="G43" i="14690"/>
  <c r="A44" i="14695"/>
  <c r="A42" i="14695"/>
  <c r="A41" i="14695"/>
  <c r="A45" i="14695"/>
  <c r="A43" i="14695"/>
  <c r="A66" i="14662"/>
  <c r="A67" i="14662" s="1"/>
  <c r="A68" i="14662" s="1"/>
  <c r="A69" i="14662" s="1"/>
  <c r="A70" i="14662" s="1"/>
  <c r="A71" i="14662" s="1"/>
  <c r="A60" i="14662"/>
  <c r="A61" i="14662" s="1"/>
  <c r="A62" i="14662" s="1"/>
  <c r="A63" i="14662" s="1"/>
  <c r="A64" i="14662" s="1"/>
  <c r="A65" i="14662" s="1"/>
  <c r="A31" i="14675"/>
  <c r="A35" i="14675"/>
  <c r="A37" i="14675"/>
  <c r="A32" i="14675"/>
  <c r="A38" i="14675"/>
  <c r="A36" i="14675"/>
  <c r="A34" i="14675"/>
  <c r="A33" i="14675"/>
  <c r="A31" i="14634"/>
  <c r="A32" i="14634"/>
  <c r="A36" i="14634"/>
  <c r="A38" i="14634"/>
  <c r="A35" i="14634"/>
  <c r="A34" i="14634"/>
  <c r="A37" i="14634"/>
  <c r="A33" i="14634"/>
  <c r="A10" i="14678"/>
  <c r="A14" i="14678"/>
  <c r="A12" i="14678"/>
  <c r="A8" i="14678"/>
  <c r="A9" i="14678"/>
  <c r="A13" i="14678"/>
  <c r="A7" i="14678"/>
  <c r="A11" i="14678"/>
  <c r="A10" i="14632"/>
  <c r="A14" i="14632"/>
  <c r="A8" i="14632"/>
  <c r="A12" i="14632"/>
  <c r="A9" i="14632"/>
  <c r="A13" i="14632"/>
  <c r="A7" i="14632"/>
  <c r="A11" i="14632"/>
  <c r="A34" i="14683"/>
  <c r="A38" i="14683"/>
  <c r="A37" i="14683"/>
  <c r="A39" i="14683"/>
  <c r="A40" i="14683"/>
  <c r="A36" i="14683"/>
  <c r="A41" i="14683"/>
  <c r="A35" i="14683"/>
  <c r="A47" i="14704"/>
  <c r="A48" i="14704"/>
  <c r="A50" i="14704"/>
  <c r="A49" i="14704"/>
  <c r="A52" i="14704"/>
  <c r="A53" i="14704"/>
  <c r="A51" i="14704"/>
  <c r="A46" i="14704"/>
  <c r="A62" i="14702"/>
  <c r="A66" i="14702"/>
  <c r="A60" i="14702"/>
  <c r="A61" i="14702"/>
  <c r="A65" i="14702"/>
  <c r="A64" i="14702"/>
  <c r="A63" i="14702"/>
  <c r="A59" i="14702"/>
  <c r="A24" i="14702"/>
  <c r="A20" i="14702"/>
  <c r="A27" i="14702"/>
  <c r="A26" i="14702"/>
  <c r="A25" i="14702"/>
  <c r="A21" i="14702"/>
  <c r="A23" i="14702"/>
  <c r="A22" i="14702"/>
  <c r="A23" i="14701"/>
  <c r="A22" i="14701"/>
  <c r="A21" i="14701"/>
  <c r="A20" i="14701"/>
  <c r="A24" i="14701"/>
  <c r="A26" i="14701"/>
  <c r="A25" i="14701"/>
  <c r="A27" i="14701"/>
  <c r="A9" i="14700"/>
  <c r="A15" i="14700"/>
  <c r="A10" i="14700"/>
  <c r="A13" i="14700"/>
  <c r="A11" i="14700"/>
  <c r="A14" i="14700"/>
  <c r="A8" i="14700"/>
  <c r="A12" i="14700"/>
  <c r="A53" i="14698"/>
  <c r="A48" i="14698"/>
  <c r="A52" i="14698"/>
  <c r="A51" i="14698"/>
  <c r="A50" i="14698"/>
  <c r="A49" i="14698"/>
  <c r="A46" i="14698"/>
  <c r="A47" i="14698"/>
  <c r="A21" i="14703"/>
  <c r="A22" i="14703"/>
  <c r="A25" i="14703"/>
  <c r="A24" i="14703"/>
  <c r="A23" i="14703"/>
  <c r="A26" i="14703"/>
  <c r="A27" i="14703"/>
  <c r="A20" i="14703"/>
  <c r="A39" i="14669"/>
  <c r="A35" i="14669"/>
  <c r="A34" i="14669"/>
  <c r="A38" i="14669"/>
  <c r="A37" i="14669"/>
  <c r="A36" i="14669"/>
  <c r="A33" i="14669"/>
  <c r="A32" i="14669"/>
  <c r="A5" i="14669"/>
  <c r="A12" i="14669"/>
  <c r="A6" i="14669"/>
  <c r="A7" i="14669"/>
  <c r="A9" i="14669"/>
  <c r="A10" i="14669"/>
  <c r="A11" i="14669"/>
  <c r="A8" i="14669"/>
  <c r="A6" i="14668"/>
  <c r="A10" i="14668"/>
  <c r="A9" i="14668"/>
  <c r="A8" i="14668"/>
  <c r="A5" i="14668"/>
  <c r="A12" i="14668"/>
  <c r="A11" i="14668"/>
  <c r="A7" i="14668"/>
  <c r="A20" i="14637"/>
  <c r="A24" i="14637"/>
  <c r="A22" i="14637"/>
  <c r="A18" i="14637"/>
  <c r="A19" i="14637"/>
  <c r="A23" i="14637"/>
  <c r="A17" i="14637"/>
  <c r="A21" i="14637"/>
  <c r="A34" i="14630"/>
  <c r="A38" i="14630"/>
  <c r="A37" i="14630"/>
  <c r="A36" i="14630"/>
  <c r="A32" i="14630"/>
  <c r="A39" i="14630"/>
  <c r="A33" i="14630"/>
  <c r="A35" i="14630"/>
  <c r="A21" i="14653"/>
  <c r="A20" i="14653"/>
  <c r="A23" i="14653"/>
  <c r="A22" i="14653"/>
  <c r="A19" i="14653"/>
  <c r="A26" i="14653"/>
  <c r="A24" i="14653"/>
  <c r="A25" i="14653"/>
  <c r="A74" i="14647"/>
  <c r="A73" i="14647"/>
  <c r="A77" i="14647"/>
  <c r="A80" i="14647"/>
  <c r="A75" i="14647"/>
  <c r="A79" i="14647"/>
  <c r="A78" i="14647"/>
  <c r="A76" i="14647"/>
  <c r="A57" i="14652"/>
  <c r="A59" i="14652"/>
  <c r="A61" i="14652"/>
  <c r="A63" i="14652"/>
  <c r="A60" i="14652"/>
  <c r="A64" i="14652"/>
  <c r="A62" i="14652"/>
  <c r="A58" i="14652"/>
  <c r="A37" i="14652"/>
  <c r="A34" i="14652"/>
  <c r="A38" i="14652"/>
  <c r="A35" i="14652"/>
  <c r="A36" i="14652"/>
  <c r="A39" i="14652"/>
  <c r="A33" i="14652"/>
  <c r="A40" i="14652"/>
  <c r="D9" i="14625"/>
  <c r="F9" i="14625"/>
  <c r="H9" i="14625"/>
  <c r="J9" i="14625"/>
  <c r="L9" i="14625"/>
  <c r="N9" i="14625"/>
  <c r="C9" i="14625"/>
  <c r="G9" i="14625"/>
  <c r="K9" i="14625"/>
  <c r="I9" i="14625"/>
  <c r="M9" i="14625"/>
  <c r="E9" i="14625"/>
  <c r="G25" i="14685"/>
  <c r="G23" i="14685"/>
  <c r="G24" i="14685"/>
  <c r="B6" i="14689"/>
  <c r="B8" i="14689"/>
  <c r="B9" i="14689"/>
  <c r="B7" i="14689"/>
  <c r="D38" i="14690"/>
  <c r="H38" i="14690"/>
  <c r="G38" i="14690"/>
  <c r="F38" i="14690"/>
  <c r="E38" i="14690"/>
  <c r="B38" i="14690"/>
  <c r="C38" i="14690"/>
  <c r="A54" i="14683"/>
  <c r="A53" i="14683"/>
  <c r="A52" i="14683"/>
  <c r="A55" i="14683"/>
  <c r="A56" i="14683"/>
  <c r="A50" i="14683"/>
  <c r="A49" i="14683"/>
  <c r="A51" i="14683"/>
  <c r="B86" i="14643"/>
  <c r="B82" i="14643"/>
  <c r="B79" i="14643"/>
  <c r="B83" i="14643"/>
  <c r="B80" i="14643"/>
  <c r="B85" i="14643"/>
  <c r="B84" i="14643"/>
  <c r="B81" i="14643"/>
  <c r="A35" i="14674"/>
  <c r="A36" i="14674"/>
  <c r="A32" i="14674"/>
  <c r="A31" i="14674"/>
  <c r="A34" i="14674"/>
  <c r="A37" i="14674"/>
  <c r="A33" i="14674"/>
  <c r="A38" i="14674"/>
  <c r="A10" i="14638"/>
  <c r="A14" i="14638"/>
  <c r="A9" i="14638"/>
  <c r="A13" i="14638"/>
  <c r="A7" i="14638"/>
  <c r="A11" i="14638"/>
  <c r="A8" i="14638"/>
  <c r="A12" i="14638"/>
  <c r="A61" i="14704"/>
  <c r="A65" i="14704"/>
  <c r="A63" i="14704"/>
  <c r="A59" i="14704"/>
  <c r="A62" i="14704"/>
  <c r="A66" i="14704"/>
  <c r="A64" i="14704"/>
  <c r="A60" i="14704"/>
  <c r="A10" i="14702"/>
  <c r="A12" i="14702"/>
  <c r="A13" i="14702"/>
  <c r="A11" i="14702"/>
  <c r="A9" i="14702"/>
  <c r="A8" i="14702"/>
  <c r="A14" i="14702"/>
  <c r="A15" i="14702"/>
  <c r="A32" i="14700"/>
  <c r="A36" i="14700"/>
  <c r="A33" i="14700"/>
  <c r="A35" i="14700"/>
  <c r="A39" i="14700"/>
  <c r="A34" i="14700"/>
  <c r="A37" i="14700"/>
  <c r="A38" i="14700"/>
  <c r="A50" i="14703"/>
  <c r="A47" i="14703"/>
  <c r="A51" i="14703"/>
  <c r="A46" i="14703"/>
  <c r="A53" i="14703"/>
  <c r="A49" i="14703"/>
  <c r="A48" i="14703"/>
  <c r="A52" i="14703"/>
  <c r="A35" i="7"/>
  <c r="A39" i="7"/>
  <c r="A32" i="7"/>
  <c r="A36" i="7"/>
  <c r="A33" i="7"/>
  <c r="A38" i="7"/>
  <c r="A37" i="7"/>
  <c r="A34" i="7"/>
  <c r="A49" i="14653"/>
  <c r="A47" i="14653"/>
  <c r="A51" i="14653"/>
  <c r="A46" i="14653"/>
  <c r="A50" i="14653"/>
  <c r="A45" i="14653"/>
  <c r="A52" i="14653"/>
  <c r="A48" i="14653"/>
  <c r="D10" i="14696" a="1"/>
  <c r="O24" i="14676"/>
  <c r="F35" i="14708"/>
  <c r="D35" i="14708"/>
  <c r="E35" i="14708"/>
  <c r="C35" i="14708"/>
  <c r="B35" i="14708"/>
  <c r="A45" i="14692"/>
  <c r="A44" i="14692"/>
  <c r="A46" i="14692"/>
  <c r="A47" i="14692"/>
  <c r="A48" i="14692"/>
  <c r="B28" i="14687"/>
  <c r="B30" i="14687"/>
  <c r="B32" i="14687"/>
  <c r="B34" i="14687"/>
  <c r="B31" i="14687"/>
  <c r="B35" i="14687"/>
  <c r="B29" i="14687"/>
  <c r="B33" i="14687"/>
  <c r="A8" i="14672"/>
  <c r="A12" i="14672"/>
  <c r="A9" i="14672"/>
  <c r="A7" i="14672"/>
  <c r="A14" i="14672"/>
  <c r="A11" i="14672"/>
  <c r="A13" i="14672"/>
  <c r="A10" i="14672"/>
  <c r="A69" i="14687"/>
  <c r="A71" i="14687"/>
  <c r="A68" i="14687"/>
  <c r="A70" i="14687"/>
  <c r="A67" i="14687"/>
  <c r="A72" i="14687"/>
  <c r="A73" i="14687"/>
  <c r="A66" i="14687"/>
  <c r="A49" i="14687"/>
  <c r="A53" i="14687"/>
  <c r="A54" i="14687"/>
  <c r="A47" i="14687"/>
  <c r="A50" i="14687"/>
  <c r="A51" i="14687"/>
  <c r="A52" i="14687"/>
  <c r="A48" i="14687"/>
  <c r="A11" i="14682"/>
  <c r="A6" i="14682"/>
  <c r="A10" i="14682"/>
  <c r="A8" i="14682"/>
  <c r="A5" i="14682"/>
  <c r="A7" i="14682"/>
  <c r="A12" i="14682"/>
  <c r="A9" i="14682"/>
  <c r="A11" i="14624"/>
  <c r="A9" i="14624"/>
  <c r="A13" i="14624"/>
  <c r="A7" i="14624"/>
  <c r="A10" i="14624"/>
  <c r="A14" i="14624"/>
  <c r="A8" i="14624"/>
  <c r="A12" i="14624"/>
  <c r="D7" i="14652" a="1"/>
  <c r="B75" i="14647"/>
  <c r="I75" i="14647" s="1"/>
  <c r="D90" i="14647"/>
  <c r="J75" i="14647" a="1"/>
  <c r="J75" i="14647" s="1"/>
  <c r="B78" i="14647"/>
  <c r="I78" i="14647" s="1"/>
  <c r="E76" i="14665"/>
  <c r="D72" i="14647"/>
  <c r="H72" i="14647"/>
  <c r="C72" i="14647"/>
  <c r="A72" i="14647"/>
  <c r="I72" i="14647"/>
  <c r="F72" i="14647"/>
  <c r="G72" i="14647"/>
  <c r="J72" i="14647"/>
  <c r="B72" i="14647"/>
  <c r="E72" i="14647"/>
  <c r="D42" i="14690"/>
  <c r="H42" i="14690"/>
  <c r="G42" i="14690"/>
  <c r="F42" i="14690"/>
  <c r="E42" i="14690"/>
  <c r="C42" i="14690"/>
  <c r="C16" i="14708"/>
  <c r="C70" i="14708" s="1"/>
  <c r="B16" i="14649"/>
  <c r="C6" i="14661"/>
  <c r="D14" i="14686"/>
  <c r="D31" i="14686"/>
  <c r="A111" i="14700" a="1"/>
  <c r="Q6" i="14655"/>
  <c r="J41" i="14647" a="1"/>
  <c r="J41" i="14647" s="1"/>
  <c r="B41" i="14647"/>
  <c r="I41" i="14647" s="1"/>
  <c r="J80" i="14647" a="1"/>
  <c r="J80" i="14647" s="1"/>
  <c r="B95" i="14647"/>
  <c r="I95" i="14647" s="1"/>
  <c r="E47" i="14686" a="1"/>
  <c r="E47" i="14686" s="1"/>
  <c r="B24" i="14647"/>
  <c r="I24" i="14647" s="1"/>
  <c r="C23" i="14687" a="1"/>
  <c r="D17" i="14661"/>
  <c r="F17" i="14706"/>
  <c r="C74" i="14690" a="1"/>
  <c r="B39" i="14690" a="1"/>
  <c r="E10" i="14696"/>
  <c r="F10" i="14696"/>
  <c r="G9" i="14624" l="1"/>
  <c r="O47" i="14653"/>
  <c r="O60" i="14653" s="1"/>
  <c r="L34" i="14653"/>
  <c r="L47" i="14653" s="1"/>
  <c r="L60" i="14653" s="1"/>
  <c r="L73" i="14653" s="1"/>
  <c r="I34" i="14653"/>
  <c r="I47" i="14653" s="1"/>
  <c r="I60" i="14653" s="1"/>
  <c r="I73" i="14653" s="1"/>
  <c r="M34" i="14653"/>
  <c r="M47" i="14653" s="1"/>
  <c r="M60" i="14653" s="1"/>
  <c r="M73" i="14653" s="1"/>
  <c r="G34" i="14653"/>
  <c r="G47" i="14653" s="1"/>
  <c r="G60" i="14653" s="1"/>
  <c r="G73" i="14653" s="1"/>
  <c r="H34" i="14653"/>
  <c r="H47" i="14653" s="1"/>
  <c r="H60" i="14653" s="1"/>
  <c r="H73" i="14653" s="1"/>
  <c r="B34" i="14653"/>
  <c r="B47" i="14653" s="1"/>
  <c r="B60" i="14653" s="1"/>
  <c r="B73" i="14653" s="1"/>
  <c r="C34" i="14653"/>
  <c r="C47" i="14653" s="1"/>
  <c r="C60" i="14653" s="1"/>
  <c r="C73" i="14653" s="1"/>
  <c r="D34" i="14653"/>
  <c r="D47" i="14653" s="1"/>
  <c r="D60" i="14653" s="1"/>
  <c r="D73" i="14653" s="1"/>
  <c r="E34" i="14653"/>
  <c r="E47" i="14653" s="1"/>
  <c r="E60" i="14653" s="1"/>
  <c r="E73" i="14653" s="1"/>
  <c r="F34" i="14653"/>
  <c r="F47" i="14653" s="1"/>
  <c r="F60" i="14653" s="1"/>
  <c r="F73" i="14653" s="1"/>
  <c r="J34" i="14653"/>
  <c r="J47" i="14653" s="1"/>
  <c r="J60" i="14653" s="1"/>
  <c r="J73" i="14653" s="1"/>
  <c r="K34" i="14653"/>
  <c r="K47" i="14653" s="1"/>
  <c r="K60" i="14653" s="1"/>
  <c r="K73" i="14653" s="1"/>
  <c r="N11" i="14707"/>
  <c r="X23" i="14655" s="1"/>
  <c r="H14" i="14624"/>
  <c r="E11" i="14624"/>
  <c r="M13" i="14624"/>
  <c r="G14" i="14624"/>
  <c r="H11" i="14624"/>
  <c r="H19" i="14624" s="1" a="1"/>
  <c r="I10" i="14624"/>
  <c r="M12" i="14624"/>
  <c r="M11" i="14624"/>
  <c r="I11" i="14624"/>
  <c r="B12" i="14624"/>
  <c r="B9" i="14624"/>
  <c r="F10" i="14624"/>
  <c r="F13" i="14624"/>
  <c r="J11" i="14624"/>
  <c r="J14" i="14624"/>
  <c r="C11" i="14624"/>
  <c r="C14" i="14624"/>
  <c r="G12" i="14624"/>
  <c r="H9" i="14624"/>
  <c r="K13" i="14624"/>
  <c r="L10" i="14624"/>
  <c r="T17" i="14655"/>
  <c r="E20" i="14687"/>
  <c r="D20" i="14687"/>
  <c r="U13" i="14655"/>
  <c r="V13" i="14655" s="1"/>
  <c r="W13" i="14655" s="1"/>
  <c r="X13" i="14655" s="1"/>
  <c r="B11" i="14624"/>
  <c r="C13" i="14624"/>
  <c r="E9" i="14624"/>
  <c r="B14" i="14624"/>
  <c r="D10" i="14624"/>
  <c r="E14" i="14624"/>
  <c r="D17" i="14687"/>
  <c r="T15" i="14655"/>
  <c r="B13" i="14624"/>
  <c r="D9" i="14624"/>
  <c r="E13" i="14624"/>
  <c r="C10" i="14624"/>
  <c r="D12" i="14624"/>
  <c r="E10" i="14624"/>
  <c r="J13" i="14624"/>
  <c r="L9" i="14624"/>
  <c r="I14" i="14624"/>
  <c r="K10" i="14624"/>
  <c r="L12" i="14624"/>
  <c r="M14" i="14624"/>
  <c r="T18" i="14655"/>
  <c r="F14" i="14624"/>
  <c r="H10" i="14624"/>
  <c r="F9" i="14624"/>
  <c r="G11" i="14624"/>
  <c r="H13" i="14624"/>
  <c r="I13" i="14624"/>
  <c r="U26" i="14655"/>
  <c r="V26" i="14655" s="1"/>
  <c r="W26" i="14655" s="1"/>
  <c r="X26" i="14655" s="1"/>
  <c r="C9" i="14624"/>
  <c r="D11" i="14624"/>
  <c r="B10" i="14624"/>
  <c r="C12" i="14624"/>
  <c r="D14" i="14624"/>
  <c r="E12" i="14624"/>
  <c r="T20" i="14655"/>
  <c r="K9" i="14624"/>
  <c r="L11" i="14624"/>
  <c r="J10" i="14624"/>
  <c r="K12" i="14624"/>
  <c r="L14" i="14624"/>
  <c r="M10" i="14624"/>
  <c r="G10" i="14624"/>
  <c r="H12" i="14624"/>
  <c r="F11" i="14624"/>
  <c r="G13" i="14624"/>
  <c r="M9" i="14624"/>
  <c r="I9" i="14624"/>
  <c r="J9" i="14624"/>
  <c r="K11" i="14624"/>
  <c r="L13" i="14624"/>
  <c r="J12" i="14624"/>
  <c r="K14" i="14624"/>
  <c r="L34" i="14624"/>
  <c r="A39" i="14694"/>
  <c r="A37" i="14694"/>
  <c r="A40" i="14694"/>
  <c r="A38" i="14694"/>
  <c r="A35" i="14694"/>
  <c r="A36" i="14694"/>
  <c r="C34" i="14652"/>
  <c r="C38" i="14652"/>
  <c r="C33" i="14652"/>
  <c r="C40" i="14652"/>
  <c r="C39" i="14652"/>
  <c r="C35" i="14652"/>
  <c r="C37" i="14652"/>
  <c r="C36" i="14652"/>
  <c r="A49" i="14645"/>
  <c r="A53" i="14645"/>
  <c r="A51" i="14645"/>
  <c r="A52" i="14645"/>
  <c r="A50" i="14645"/>
  <c r="A54" i="14645"/>
  <c r="J46" i="14685"/>
  <c r="J49" i="14685"/>
  <c r="J47" i="14685"/>
  <c r="J48" i="14685"/>
  <c r="J50" i="14685"/>
  <c r="F8" i="14624"/>
  <c r="G17" i="14687"/>
  <c r="B66" i="14687" a="1"/>
  <c r="M8" i="14624"/>
  <c r="N20" i="14687"/>
  <c r="N17" i="14687"/>
  <c r="B8" i="14624"/>
  <c r="C17" i="14687"/>
  <c r="O10" i="14687"/>
  <c r="B14" i="14694" a="1"/>
  <c r="G20" i="14687"/>
  <c r="K6" i="14670"/>
  <c r="G20" i="14652"/>
  <c r="G21" i="14652" s="1"/>
  <c r="G22" i="14652" s="1"/>
  <c r="G23" i="14652" s="1"/>
  <c r="G24" i="14652" s="1"/>
  <c r="G25" i="14652" s="1"/>
  <c r="G26" i="14652" s="1"/>
  <c r="I19" i="14652"/>
  <c r="I20" i="14652" s="1"/>
  <c r="I21" i="14652" s="1"/>
  <c r="I22" i="14652" s="1"/>
  <c r="I23" i="14652" s="1"/>
  <c r="I24" i="14652" s="1"/>
  <c r="I25" i="14652" s="1"/>
  <c r="I26" i="14652" s="1"/>
  <c r="J94" i="14647" a="1"/>
  <c r="J94" i="14647" s="1"/>
  <c r="B94" i="14647"/>
  <c r="I94" i="14647" s="1"/>
  <c r="I8" i="14624"/>
  <c r="J17" i="14687"/>
  <c r="E17" i="14687"/>
  <c r="F20" i="14687"/>
  <c r="C6" i="14670"/>
  <c r="U12" i="14655"/>
  <c r="V12" i="14655" s="1"/>
  <c r="W12" i="14655" s="1"/>
  <c r="X12" i="14655" s="1"/>
  <c r="T11" i="14655"/>
  <c r="O21" i="14687"/>
  <c r="J45" i="14647" a="1"/>
  <c r="J45" i="14647" s="1"/>
  <c r="B45" i="14647"/>
  <c r="I45" i="14647" s="1"/>
  <c r="C47" i="14686"/>
  <c r="C49" i="14686" s="1"/>
  <c r="F19" i="14624" a="1"/>
  <c r="A146" i="14698" a="1"/>
  <c r="A200" i="14698" a="1"/>
  <c r="A218" i="14698" a="1"/>
  <c r="A236" i="14698" a="1"/>
  <c r="A164" i="14698" a="1"/>
  <c r="A182" i="14698" a="1"/>
  <c r="J34" i="14685"/>
  <c r="J36" i="14685"/>
  <c r="J35" i="14685"/>
  <c r="J37" i="14685"/>
  <c r="A128" i="14698" a="1"/>
  <c r="T10" i="14655"/>
  <c r="B12" i="14694" a="1"/>
  <c r="J5" i="14694"/>
  <c r="B24" i="11" s="1"/>
  <c r="J8" i="14624"/>
  <c r="K20" i="14687"/>
  <c r="K17" i="14687"/>
  <c r="D6" i="14670"/>
  <c r="H34" i="14624"/>
  <c r="E33" i="14624"/>
  <c r="N14" i="14653"/>
  <c r="H65" i="14665"/>
  <c r="F65" i="14665"/>
  <c r="G26" i="14685"/>
  <c r="G65" i="14685" s="1"/>
  <c r="K34" i="14624"/>
  <c r="I65" i="14665"/>
  <c r="G65" i="14665"/>
  <c r="I6" i="14670"/>
  <c r="M6" i="14670"/>
  <c r="G6" i="14670"/>
  <c r="H6" i="14670"/>
  <c r="G33" i="14624"/>
  <c r="F33" i="14624"/>
  <c r="D49" i="14686"/>
  <c r="A54" i="14638"/>
  <c r="A47" i="14638"/>
  <c r="A50" i="14638"/>
  <c r="A53" i="14638"/>
  <c r="A52" i="14638"/>
  <c r="A51" i="14638"/>
  <c r="A48" i="14638"/>
  <c r="A49" i="14638"/>
  <c r="B47" i="14686" a="1"/>
  <c r="D21" i="14652"/>
  <c r="D25" i="14652"/>
  <c r="D22" i="14652"/>
  <c r="D26" i="14652"/>
  <c r="D19" i="14652"/>
  <c r="D23" i="14652"/>
  <c r="D20" i="14652"/>
  <c r="D24" i="14652"/>
  <c r="E10" i="14652"/>
  <c r="G9" i="14652"/>
  <c r="A43" i="14694"/>
  <c r="A48" i="14694"/>
  <c r="A46" i="14694"/>
  <c r="A45" i="14694"/>
  <c r="A44" i="14694"/>
  <c r="A47" i="14694"/>
  <c r="A30" i="14661"/>
  <c r="A37" i="14661"/>
  <c r="A31" i="14661"/>
  <c r="A33" i="14661"/>
  <c r="A34" i="14661"/>
  <c r="A35" i="14661"/>
  <c r="A32" i="14661"/>
  <c r="A28" i="14661"/>
  <c r="A29" i="14661"/>
  <c r="N27" i="14707"/>
  <c r="N37" i="14707" s="1"/>
  <c r="N38" i="14707" s="1"/>
  <c r="L37" i="14707"/>
  <c r="L38" i="14707" s="1"/>
  <c r="J46" i="14647" a="1"/>
  <c r="J46" i="14647" s="1"/>
  <c r="B46" i="14647"/>
  <c r="I46" i="14647" s="1"/>
  <c r="A49" i="14632"/>
  <c r="A53" i="14632"/>
  <c r="A52" i="14632"/>
  <c r="A54" i="14632"/>
  <c r="A47" i="14632"/>
  <c r="A51" i="14632"/>
  <c r="A48" i="14632"/>
  <c r="A50" i="14632"/>
  <c r="A53" i="14694"/>
  <c r="A52" i="14694"/>
  <c r="A54" i="14694"/>
  <c r="A51" i="14694"/>
  <c r="A55" i="14694"/>
  <c r="A56" i="14694"/>
  <c r="B20" i="14689"/>
  <c r="I18" i="14624" a="1"/>
  <c r="I18" i="14624" s="1"/>
  <c r="F34" i="14624"/>
  <c r="G34" i="14624"/>
  <c r="M34" i="14624"/>
  <c r="T16" i="14655"/>
  <c r="T7" i="14655"/>
  <c r="M33" i="14624"/>
  <c r="L33" i="14624"/>
  <c r="C33" i="14624"/>
  <c r="U21" i="14655"/>
  <c r="V21" i="14655" s="1"/>
  <c r="W21" i="14655" s="1"/>
  <c r="X21" i="14655" s="1"/>
  <c r="T9" i="14655"/>
  <c r="C34" i="14624"/>
  <c r="E34" i="14624"/>
  <c r="B34" i="14624"/>
  <c r="D34" i="14624"/>
  <c r="I34" i="14624"/>
  <c r="H33" i="14624"/>
  <c r="I33" i="14624"/>
  <c r="D33" i="14624"/>
  <c r="K33" i="14624"/>
  <c r="J33" i="14624"/>
  <c r="M18" i="14624" a="1"/>
  <c r="M18" i="14624" s="1"/>
  <c r="D18" i="14624" a="1"/>
  <c r="D18" i="14624" s="1"/>
  <c r="B18" i="14624" a="1"/>
  <c r="B18" i="14624" s="1"/>
  <c r="H18" i="14624" a="1"/>
  <c r="H18" i="14624" s="1"/>
  <c r="B47" i="14686"/>
  <c r="B49" i="14686" s="1"/>
  <c r="F18" i="14624" a="1"/>
  <c r="F18" i="14624" s="1"/>
  <c r="C18" i="14624" a="1"/>
  <c r="C18" i="14624" s="1"/>
  <c r="L18" i="14624" a="1"/>
  <c r="L18" i="14624" s="1"/>
  <c r="G18" i="14624" a="1"/>
  <c r="G18" i="14624" s="1"/>
  <c r="K18" i="14624" a="1"/>
  <c r="K18" i="14624" s="1"/>
  <c r="J18" i="14624" a="1"/>
  <c r="J18" i="14624" s="1"/>
  <c r="G5" i="14630"/>
  <c r="K6" i="14661"/>
  <c r="H7" i="14630"/>
  <c r="G10" i="14630"/>
  <c r="I7" i="14630"/>
  <c r="D9" i="14630"/>
  <c r="I10" i="14630"/>
  <c r="H7" i="7"/>
  <c r="H19" i="7" s="1"/>
  <c r="D9" i="7"/>
  <c r="D21" i="7" s="1"/>
  <c r="C9" i="7"/>
  <c r="C21" i="7" s="1"/>
  <c r="J11" i="7"/>
  <c r="J23" i="7" s="1"/>
  <c r="K6" i="7"/>
  <c r="K18" i="7" s="1"/>
  <c r="D6" i="7"/>
  <c r="D18" i="7" s="1"/>
  <c r="K7" i="14630"/>
  <c r="B5" i="14630"/>
  <c r="D10" i="14630"/>
  <c r="L5" i="14630"/>
  <c r="M10" i="14630"/>
  <c r="M7" i="14630"/>
  <c r="B11" i="7"/>
  <c r="B23" i="7" s="1"/>
  <c r="B9" i="7"/>
  <c r="B21" i="7" s="1"/>
  <c r="H5" i="7"/>
  <c r="H17" i="7" s="1"/>
  <c r="L9" i="7"/>
  <c r="L21" i="7" s="1"/>
  <c r="J7" i="7"/>
  <c r="J19" i="7" s="1"/>
  <c r="J10" i="7"/>
  <c r="J22" i="7" s="1"/>
  <c r="K12" i="14630"/>
  <c r="L7" i="14630"/>
  <c r="G12" i="14630"/>
  <c r="M8" i="14630"/>
  <c r="B12" i="14630"/>
  <c r="J9" i="14630"/>
  <c r="G8" i="14630"/>
  <c r="D5" i="14630"/>
  <c r="H9" i="14630"/>
  <c r="D7" i="14630"/>
  <c r="K5" i="14630"/>
  <c r="F8" i="14630"/>
  <c r="K11" i="7"/>
  <c r="K23" i="7" s="1"/>
  <c r="B6" i="7"/>
  <c r="B18" i="7" s="1"/>
  <c r="C8" i="7"/>
  <c r="C20" i="7" s="1"/>
  <c r="J12" i="7"/>
  <c r="J24" i="7" s="1"/>
  <c r="L7" i="7"/>
  <c r="L19" i="7" s="1"/>
  <c r="D12" i="7"/>
  <c r="D24" i="7" s="1"/>
  <c r="I9" i="7"/>
  <c r="I21" i="7" s="1"/>
  <c r="M12" i="7"/>
  <c r="M24" i="7" s="1"/>
  <c r="F6" i="7"/>
  <c r="F18" i="7" s="1"/>
  <c r="B12" i="7"/>
  <c r="B24" i="7" s="1"/>
  <c r="C6" i="7"/>
  <c r="C18" i="7" s="1"/>
  <c r="B10" i="7"/>
  <c r="B22" i="7" s="1"/>
  <c r="F12" i="14630"/>
  <c r="C9" i="14630"/>
  <c r="B7" i="14630"/>
  <c r="B11" i="14630"/>
  <c r="G7" i="14630"/>
  <c r="F6" i="14630"/>
  <c r="D8" i="14630"/>
  <c r="K6" i="14630"/>
  <c r="I9" i="14630"/>
  <c r="B6" i="14630"/>
  <c r="J8" i="14630"/>
  <c r="L9" i="14630"/>
  <c r="I12" i="14630"/>
  <c r="L10" i="14630"/>
  <c r="F9" i="14630"/>
  <c r="J5" i="14630"/>
  <c r="E12" i="14630"/>
  <c r="I11" i="14630"/>
  <c r="H5" i="14630"/>
  <c r="C6" i="14630"/>
  <c r="K10" i="14630"/>
  <c r="I8" i="14630"/>
  <c r="G6" i="14630"/>
  <c r="K8" i="14630"/>
  <c r="E5" i="7"/>
  <c r="E17" i="7" s="1"/>
  <c r="K9" i="7"/>
  <c r="K21" i="7" s="1"/>
  <c r="J5" i="7"/>
  <c r="J17" i="7" s="1"/>
  <c r="I12" i="7"/>
  <c r="I24" i="7" s="1"/>
  <c r="M8" i="7"/>
  <c r="M20" i="7" s="1"/>
  <c r="L10" i="7"/>
  <c r="L22" i="7" s="1"/>
  <c r="J8" i="7"/>
  <c r="J20" i="7" s="1"/>
  <c r="J9" i="7"/>
  <c r="J21" i="7" s="1"/>
  <c r="K5" i="7"/>
  <c r="K17" i="7" s="1"/>
  <c r="I6" i="7"/>
  <c r="I18" i="7" s="1"/>
  <c r="L6" i="7"/>
  <c r="L18" i="7" s="1"/>
  <c r="H12" i="7"/>
  <c r="H24" i="7" s="1"/>
  <c r="D7" i="7"/>
  <c r="D19" i="7" s="1"/>
  <c r="B7" i="7"/>
  <c r="B19" i="7" s="1"/>
  <c r="I8" i="7"/>
  <c r="I20" i="7" s="1"/>
  <c r="L12" i="7"/>
  <c r="L24" i="7" s="1"/>
  <c r="L8" i="7"/>
  <c r="L20" i="7" s="1"/>
  <c r="B5" i="7"/>
  <c r="B17" i="7" s="1"/>
  <c r="H8" i="7"/>
  <c r="H20" i="7" s="1"/>
  <c r="J6" i="7"/>
  <c r="J18" i="7" s="1"/>
  <c r="F12" i="7"/>
  <c r="F24" i="7" s="1"/>
  <c r="G7" i="7"/>
  <c r="G19" i="7" s="1"/>
  <c r="I11" i="7"/>
  <c r="I23" i="7" s="1"/>
  <c r="G5" i="7"/>
  <c r="G17" i="7" s="1"/>
  <c r="E6" i="14630"/>
  <c r="J6" i="14630"/>
  <c r="J10" i="14630"/>
  <c r="K11" i="14630"/>
  <c r="G11" i="14630"/>
  <c r="J11" i="14630"/>
  <c r="K9" i="14630"/>
  <c r="F7" i="14630"/>
  <c r="H6" i="14630"/>
  <c r="H12" i="14630"/>
  <c r="B9" i="14630"/>
  <c r="M9" i="14630"/>
  <c r="G9" i="14630"/>
  <c r="J7" i="14630"/>
  <c r="E10" i="14630"/>
  <c r="D11" i="14630"/>
  <c r="E5" i="14630"/>
  <c r="L11" i="14630"/>
  <c r="D12" i="14630"/>
  <c r="L8" i="14630"/>
  <c r="H11" i="14630"/>
  <c r="E9" i="14630"/>
  <c r="E8" i="14630"/>
  <c r="M6" i="14630"/>
  <c r="C10" i="14630"/>
  <c r="M11" i="14630"/>
  <c r="C11" i="14630"/>
  <c r="M12" i="14630"/>
  <c r="C5" i="14630"/>
  <c r="F11" i="14630"/>
  <c r="I5" i="14630"/>
  <c r="C7" i="14630"/>
  <c r="M5" i="14630"/>
  <c r="B8" i="14630"/>
  <c r="L6" i="14630"/>
  <c r="E11" i="14630"/>
  <c r="B10" i="14630"/>
  <c r="F5" i="14630"/>
  <c r="J12" i="14630"/>
  <c r="F10" i="14630"/>
  <c r="C8" i="14630"/>
  <c r="H10" i="14630"/>
  <c r="E7" i="14630"/>
  <c r="C12" i="14630"/>
  <c r="L12" i="14630"/>
  <c r="D6" i="14630"/>
  <c r="H8" i="14630"/>
  <c r="B8" i="7"/>
  <c r="B20" i="7" s="1"/>
  <c r="L11" i="7"/>
  <c r="L23" i="7" s="1"/>
  <c r="E12" i="7"/>
  <c r="E24" i="7" s="1"/>
  <c r="M6" i="7"/>
  <c r="M18" i="7" s="1"/>
  <c r="F9" i="7"/>
  <c r="F21" i="7" s="1"/>
  <c r="K7" i="7"/>
  <c r="K19" i="7" s="1"/>
  <c r="F8" i="7"/>
  <c r="F20" i="7" s="1"/>
  <c r="E7" i="7"/>
  <c r="E19" i="7" s="1"/>
  <c r="H10" i="7"/>
  <c r="H22" i="7" s="1"/>
  <c r="G11" i="7"/>
  <c r="G23" i="7" s="1"/>
  <c r="K10" i="7"/>
  <c r="K22" i="7" s="1"/>
  <c r="F7" i="7"/>
  <c r="F19" i="7" s="1"/>
  <c r="G6" i="7"/>
  <c r="G18" i="7" s="1"/>
  <c r="M9" i="7"/>
  <c r="M21" i="7" s="1"/>
  <c r="K12" i="7"/>
  <c r="K24" i="7" s="1"/>
  <c r="E6" i="7"/>
  <c r="E18" i="7" s="1"/>
  <c r="G10" i="7"/>
  <c r="G22" i="7" s="1"/>
  <c r="E10" i="7"/>
  <c r="E22" i="7" s="1"/>
  <c r="D11" i="7"/>
  <c r="D23" i="7" s="1"/>
  <c r="E8" i="7"/>
  <c r="E20" i="7" s="1"/>
  <c r="M5" i="7"/>
  <c r="M17" i="7" s="1"/>
  <c r="E9" i="7"/>
  <c r="E21" i="7" s="1"/>
  <c r="C7" i="7"/>
  <c r="C19" i="7" s="1"/>
  <c r="M11" i="7"/>
  <c r="M23" i="7" s="1"/>
  <c r="H11" i="7"/>
  <c r="H23" i="7" s="1"/>
  <c r="G8" i="7"/>
  <c r="G20" i="7" s="1"/>
  <c r="F10" i="7"/>
  <c r="F22" i="7" s="1"/>
  <c r="G9" i="7"/>
  <c r="G21" i="7" s="1"/>
  <c r="C11" i="7"/>
  <c r="C23" i="7" s="1"/>
  <c r="I5" i="7"/>
  <c r="I17" i="7" s="1"/>
  <c r="D5" i="7"/>
  <c r="D17" i="7" s="1"/>
  <c r="G12" i="7"/>
  <c r="G24" i="7" s="1"/>
  <c r="D8" i="7"/>
  <c r="D20" i="7" s="1"/>
  <c r="F11" i="7"/>
  <c r="F23" i="7" s="1"/>
  <c r="M10" i="7"/>
  <c r="M22" i="7" s="1"/>
  <c r="I10" i="7"/>
  <c r="I22" i="7" s="1"/>
  <c r="H6" i="7"/>
  <c r="H18" i="7" s="1"/>
  <c r="L5" i="7"/>
  <c r="L17" i="7" s="1"/>
  <c r="E11" i="7"/>
  <c r="E23" i="7" s="1"/>
  <c r="D10" i="7"/>
  <c r="D22" i="7" s="1"/>
  <c r="K8" i="7"/>
  <c r="K20" i="7" s="1"/>
  <c r="H9" i="7"/>
  <c r="H21" i="7" s="1"/>
  <c r="F5" i="7"/>
  <c r="F17" i="7" s="1"/>
  <c r="I7" i="7"/>
  <c r="I19" i="7" s="1"/>
  <c r="M7" i="7"/>
  <c r="M19" i="7" s="1"/>
  <c r="C10" i="7"/>
  <c r="C22" i="7" s="1"/>
  <c r="C12" i="7"/>
  <c r="C24" i="7" s="1"/>
  <c r="G74" i="14690"/>
  <c r="D74" i="14690"/>
  <c r="E74" i="14690"/>
  <c r="H74" i="14690"/>
  <c r="F74" i="14690"/>
  <c r="C74" i="14690"/>
  <c r="B11" i="14696"/>
  <c r="C11" i="14696"/>
  <c r="F23" i="14687"/>
  <c r="I23" i="14687"/>
  <c r="N23" i="14687"/>
  <c r="C23" i="14687"/>
  <c r="D23" i="14687"/>
  <c r="M23" i="14687"/>
  <c r="G23" i="14687"/>
  <c r="K23" i="14687"/>
  <c r="L23" i="14687"/>
  <c r="H23" i="14687"/>
  <c r="E23" i="14687"/>
  <c r="J23" i="14687"/>
  <c r="A123" i="14700"/>
  <c r="A121" i="14700"/>
  <c r="A119" i="14700"/>
  <c r="A117" i="14700"/>
  <c r="A115" i="14700"/>
  <c r="A113" i="14700"/>
  <c r="A111" i="14700"/>
  <c r="A120" i="14700"/>
  <c r="A116" i="14700"/>
  <c r="A112" i="14700"/>
  <c r="A118" i="14700"/>
  <c r="A122" i="14700"/>
  <c r="A114" i="14700"/>
  <c r="F33" i="14687"/>
  <c r="I33" i="14687"/>
  <c r="D33" i="14687"/>
  <c r="H33" i="14687"/>
  <c r="M33" i="14687"/>
  <c r="L33" i="14687"/>
  <c r="E33" i="14687"/>
  <c r="K33" i="14687"/>
  <c r="C33" i="14687"/>
  <c r="J33" i="14687"/>
  <c r="G33" i="14687"/>
  <c r="N33" i="14687"/>
  <c r="I35" i="14687"/>
  <c r="C35" i="14687"/>
  <c r="L35" i="14687"/>
  <c r="M35" i="14687"/>
  <c r="D35" i="14687"/>
  <c r="K35" i="14687"/>
  <c r="J35" i="14687"/>
  <c r="G35" i="14687"/>
  <c r="H35" i="14687"/>
  <c r="E35" i="14687"/>
  <c r="F35" i="14687"/>
  <c r="N35" i="14687"/>
  <c r="C34" i="14687"/>
  <c r="G34" i="14687"/>
  <c r="I34" i="14687"/>
  <c r="E34" i="14687"/>
  <c r="M34" i="14687"/>
  <c r="J34" i="14687"/>
  <c r="L34" i="14687"/>
  <c r="D34" i="14687"/>
  <c r="K34" i="14687"/>
  <c r="H34" i="14687"/>
  <c r="N34" i="14687"/>
  <c r="F34" i="14687"/>
  <c r="C30" i="14687"/>
  <c r="I30" i="14687"/>
  <c r="M30" i="14687"/>
  <c r="L30" i="14687"/>
  <c r="H30" i="14687"/>
  <c r="D30" i="14687"/>
  <c r="E30" i="14687"/>
  <c r="F30" i="14687"/>
  <c r="K30" i="14687"/>
  <c r="J30" i="14687"/>
  <c r="N30" i="14687"/>
  <c r="G30" i="14687"/>
  <c r="A251" i="14702"/>
  <c r="A250" i="14702"/>
  <c r="A124" i="14702"/>
  <c r="A125" i="14702"/>
  <c r="A179" i="14702"/>
  <c r="A178" i="14702"/>
  <c r="A197" i="14702"/>
  <c r="A196" i="14702"/>
  <c r="B10" i="14689"/>
  <c r="O9" i="14625"/>
  <c r="A124" i="14700"/>
  <c r="A125" i="14700"/>
  <c r="A179" i="14700"/>
  <c r="A178" i="14700"/>
  <c r="A160" i="14700"/>
  <c r="A161" i="14700"/>
  <c r="A143" i="14700"/>
  <c r="A142" i="14700"/>
  <c r="D19" i="14624" a="1"/>
  <c r="K19" i="14624" a="1"/>
  <c r="C19" i="14624" a="1"/>
  <c r="M19" i="14624" a="1"/>
  <c r="B19" i="14624" a="1"/>
  <c r="J19" i="14624" a="1"/>
  <c r="A236" i="14702" a="1"/>
  <c r="A200" i="14702" a="1"/>
  <c r="A164" i="14702" a="1"/>
  <c r="A128" i="14702" a="1"/>
  <c r="A218" i="14702" a="1"/>
  <c r="A146" i="14702" a="1"/>
  <c r="A182" i="14702" a="1"/>
  <c r="J42" i="14647" a="1"/>
  <c r="J42" i="14647" s="1"/>
  <c r="B42" i="14647"/>
  <c r="I42" i="14647" s="1"/>
  <c r="A218" i="14701" a="1"/>
  <c r="A146" i="14701" a="1"/>
  <c r="A164" i="14701" a="1"/>
  <c r="A128" i="14701" a="1"/>
  <c r="A236" i="14701" a="1"/>
  <c r="A200" i="14701" a="1"/>
  <c r="A182" i="14701" a="1"/>
  <c r="F29" i="14686" a="1"/>
  <c r="F29" i="14686" s="1"/>
  <c r="A236" i="14704" a="1"/>
  <c r="A164" i="14704" a="1"/>
  <c r="A218" i="14704" a="1"/>
  <c r="A182" i="14704" a="1"/>
  <c r="A200" i="14704" a="1"/>
  <c r="A146" i="14704" a="1"/>
  <c r="A128" i="14704" a="1"/>
  <c r="B12" i="14692" a="1"/>
  <c r="H41" i="14706"/>
  <c r="B92" i="14647"/>
  <c r="I92" i="14647" s="1"/>
  <c r="J92" i="14647" a="1"/>
  <c r="J92" i="14647" s="1"/>
  <c r="B89" i="14647"/>
  <c r="I89" i="14647" s="1"/>
  <c r="J89" i="14647" a="1"/>
  <c r="J89" i="14647" s="1"/>
  <c r="A142" i="14701"/>
  <c r="A143" i="14701"/>
  <c r="A124" i="14701"/>
  <c r="A125" i="14701"/>
  <c r="A196" i="14701"/>
  <c r="A197" i="14701"/>
  <c r="A215" i="14701"/>
  <c r="A214" i="14701"/>
  <c r="A250" i="14704"/>
  <c r="A251" i="14704"/>
  <c r="A179" i="14704"/>
  <c r="A178" i="14704"/>
  <c r="A232" i="14704"/>
  <c r="A233" i="14704"/>
  <c r="A125" i="14704"/>
  <c r="A124" i="14704"/>
  <c r="A215" i="14703"/>
  <c r="A214" i="14703"/>
  <c r="A199" i="14703"/>
  <c r="A197" i="14703"/>
  <c r="A181" i="14703"/>
  <c r="A196" i="14703"/>
  <c r="A127" i="14703"/>
  <c r="A142" i="14703"/>
  <c r="A143" i="14703"/>
  <c r="A109" i="14703"/>
  <c r="A124" i="14703"/>
  <c r="A125" i="14703"/>
  <c r="J9" i="14685"/>
  <c r="J10" i="14685"/>
  <c r="J7" i="14685"/>
  <c r="J8" i="14685"/>
  <c r="J6" i="14685"/>
  <c r="D7" i="14661" a="1"/>
  <c r="B6" i="14661"/>
  <c r="J29" i="14685"/>
  <c r="J31" i="14685"/>
  <c r="J30" i="14685"/>
  <c r="N46" i="14653"/>
  <c r="A215" i="14698"/>
  <c r="A214" i="14698"/>
  <c r="A197" i="14698"/>
  <c r="A196" i="14698"/>
  <c r="A178" i="14698"/>
  <c r="A179" i="14698"/>
  <c r="A125" i="14698"/>
  <c r="A124" i="14698"/>
  <c r="H52" i="14690"/>
  <c r="B73" i="14648" s="1"/>
  <c r="B58" i="14648"/>
  <c r="B38" i="14674"/>
  <c r="B36" i="14674"/>
  <c r="B32" i="14674"/>
  <c r="B35" i="14674"/>
  <c r="B37" i="14674"/>
  <c r="B31" i="14674"/>
  <c r="B34" i="14674"/>
  <c r="B33" i="14674"/>
  <c r="B37" i="14639"/>
  <c r="B32" i="14639"/>
  <c r="B31" i="14639"/>
  <c r="B35" i="14639"/>
  <c r="B36" i="14639"/>
  <c r="B33" i="14639"/>
  <c r="B38" i="14639"/>
  <c r="B34" i="14639"/>
  <c r="B32" i="14675"/>
  <c r="B31" i="14675"/>
  <c r="B33" i="14675"/>
  <c r="B38" i="14675"/>
  <c r="B35" i="14675"/>
  <c r="B36" i="14675"/>
  <c r="B34" i="14675"/>
  <c r="B37" i="14675"/>
  <c r="D25" i="14690"/>
  <c r="D11" i="14690"/>
  <c r="B71" i="14649" s="1"/>
  <c r="Q62" i="4128"/>
  <c r="C8" i="11"/>
  <c r="G11" i="14645"/>
  <c r="G12" i="14645" s="1"/>
  <c r="H7" i="14625"/>
  <c r="C11" i="14645"/>
  <c r="C12" i="14645" s="1"/>
  <c r="D7" i="14625"/>
  <c r="C19" i="14647"/>
  <c r="F7" i="14625"/>
  <c r="E11" i="14645"/>
  <c r="E12" i="14645" s="1"/>
  <c r="C31" i="14661"/>
  <c r="C33" i="14661"/>
  <c r="C35" i="14661"/>
  <c r="C37" i="14661"/>
  <c r="C30" i="14661"/>
  <c r="C32" i="14661"/>
  <c r="C34" i="14661"/>
  <c r="C36" i="14661"/>
  <c r="N6" i="14640"/>
  <c r="J29" i="14667" s="1"/>
  <c r="G4" i="14661"/>
  <c r="F18" i="4129"/>
  <c r="G62" i="14665"/>
  <c r="G39" i="14690"/>
  <c r="D39" i="14690"/>
  <c r="C39" i="14690"/>
  <c r="E39" i="14690"/>
  <c r="F39" i="14690"/>
  <c r="B39" i="14690"/>
  <c r="H39" i="14690"/>
  <c r="H17" i="14706"/>
  <c r="J17" i="14706" s="1"/>
  <c r="L17" i="14706" s="1"/>
  <c r="N17" i="14706" s="1"/>
  <c r="D39" i="14661"/>
  <c r="G39" i="14661" s="1"/>
  <c r="U6" i="14655"/>
  <c r="T6" i="14655"/>
  <c r="D18" i="14706"/>
  <c r="D8" i="14667"/>
  <c r="C11" i="14626"/>
  <c r="C75" i="14708"/>
  <c r="C73" i="14708"/>
  <c r="F76" i="14665"/>
  <c r="J90" i="14647" a="1"/>
  <c r="J90" i="14647" s="1"/>
  <c r="B90" i="14647"/>
  <c r="I90" i="14647" s="1"/>
  <c r="D8" i="14652"/>
  <c r="D10" i="14652"/>
  <c r="D12" i="14652"/>
  <c r="D14" i="14652"/>
  <c r="D11" i="14652"/>
  <c r="D7" i="14652"/>
  <c r="D13" i="14652"/>
  <c r="D9" i="14652"/>
  <c r="F29" i="14687"/>
  <c r="H29" i="14687"/>
  <c r="C29" i="14687"/>
  <c r="I29" i="14687"/>
  <c r="M29" i="14687"/>
  <c r="L29" i="14687"/>
  <c r="D29" i="14687"/>
  <c r="K29" i="14687"/>
  <c r="J29" i="14687"/>
  <c r="E29" i="14687"/>
  <c r="N29" i="14687"/>
  <c r="G29" i="14687"/>
  <c r="E31" i="14687"/>
  <c r="J31" i="14687"/>
  <c r="L31" i="14687"/>
  <c r="C31" i="14687"/>
  <c r="I31" i="14687"/>
  <c r="K31" i="14687"/>
  <c r="F31" i="14687"/>
  <c r="G31" i="14687"/>
  <c r="D31" i="14687"/>
  <c r="M31" i="14687"/>
  <c r="H31" i="14687"/>
  <c r="N31" i="14687"/>
  <c r="C32" i="14687"/>
  <c r="I32" i="14687"/>
  <c r="K32" i="14687"/>
  <c r="G32" i="14687"/>
  <c r="M32" i="14687"/>
  <c r="L32" i="14687"/>
  <c r="J32" i="14687"/>
  <c r="E32" i="14687"/>
  <c r="F32" i="14687"/>
  <c r="N32" i="14687"/>
  <c r="H32" i="14687"/>
  <c r="D32" i="14687"/>
  <c r="C28" i="14687"/>
  <c r="E28" i="14687"/>
  <c r="I28" i="14687"/>
  <c r="J28" i="14687"/>
  <c r="B36" i="14687"/>
  <c r="L28" i="14687"/>
  <c r="G28" i="14687"/>
  <c r="H28" i="14687"/>
  <c r="N28" i="14687"/>
  <c r="M28" i="14687"/>
  <c r="F28" i="14687"/>
  <c r="D28" i="14687"/>
  <c r="K28" i="14687"/>
  <c r="D10" i="14696"/>
  <c r="G10" i="14696"/>
  <c r="N58" i="14653"/>
  <c r="P58" i="14653" s="1"/>
  <c r="N19" i="14707" s="1"/>
  <c r="A233" i="14702"/>
  <c r="A232" i="14702"/>
  <c r="A143" i="14702"/>
  <c r="A142" i="14702"/>
  <c r="A215" i="14702"/>
  <c r="A214" i="14702"/>
  <c r="A161" i="14702"/>
  <c r="A160" i="14702"/>
  <c r="A196" i="14700"/>
  <c r="A197" i="14700"/>
  <c r="A232" i="14700"/>
  <c r="A233" i="14700"/>
  <c r="A214" i="14700"/>
  <c r="A215" i="14700"/>
  <c r="A251" i="14700"/>
  <c r="A250" i="14700"/>
  <c r="L6" i="14661"/>
  <c r="J19" i="14661" s="1" a="1"/>
  <c r="N7" i="14624"/>
  <c r="D11" i="14696"/>
  <c r="G11" i="14696"/>
  <c r="E11" i="14696"/>
  <c r="E19" i="14624" a="1"/>
  <c r="L19" i="14624" a="1"/>
  <c r="I19" i="14624" a="1"/>
  <c r="G19" i="14624" a="1"/>
  <c r="F47" i="14686" a="1"/>
  <c r="F47" i="14686" s="1"/>
  <c r="J40" i="14647" a="1"/>
  <c r="J40" i="14647" s="1"/>
  <c r="B40" i="14647"/>
  <c r="I40" i="14647" s="1"/>
  <c r="B69" i="14687"/>
  <c r="B73" i="14687"/>
  <c r="B68" i="14687"/>
  <c r="B72" i="14687"/>
  <c r="B66" i="14687"/>
  <c r="B67" i="14687"/>
  <c r="B70" i="14687"/>
  <c r="B71" i="14687"/>
  <c r="B48" i="14687"/>
  <c r="B50" i="14687"/>
  <c r="B52" i="14687"/>
  <c r="B54" i="14687"/>
  <c r="B47" i="14687"/>
  <c r="B51" i="14687"/>
  <c r="B49" i="14687"/>
  <c r="B53" i="14687"/>
  <c r="B14" i="14692" a="1"/>
  <c r="B15" i="14692" a="1"/>
  <c r="J91" i="14647" a="1"/>
  <c r="J91" i="14647" s="1"/>
  <c r="B91" i="14647"/>
  <c r="I91" i="14647" s="1"/>
  <c r="C65" i="14645"/>
  <c r="C66" i="14645" s="1"/>
  <c r="C67" i="14647"/>
  <c r="F9" i="14686"/>
  <c r="E48" i="14686" a="1"/>
  <c r="E48" i="14686" s="1"/>
  <c r="E49" i="14686" s="1"/>
  <c r="E30" i="14686" a="1"/>
  <c r="E30" i="14686" s="1"/>
  <c r="E31" i="14686" s="1"/>
  <c r="H36" i="14706"/>
  <c r="A178" i="14701"/>
  <c r="A179" i="14701"/>
  <c r="A250" i="14701"/>
  <c r="A251" i="14701"/>
  <c r="A232" i="14701"/>
  <c r="A233" i="14701"/>
  <c r="A161" i="14701"/>
  <c r="A160" i="14701"/>
  <c r="A161" i="14704"/>
  <c r="A160" i="14704"/>
  <c r="A196" i="14704"/>
  <c r="A197" i="14704"/>
  <c r="A143" i="14704"/>
  <c r="A142" i="14704"/>
  <c r="A215" i="14704"/>
  <c r="A214" i="14704"/>
  <c r="A251" i="14703"/>
  <c r="A250" i="14703"/>
  <c r="A235" i="14703"/>
  <c r="A163" i="14703"/>
  <c r="A178" i="14703"/>
  <c r="A179" i="14703"/>
  <c r="A161" i="14703"/>
  <c r="A145" i="14703"/>
  <c r="A160" i="14703"/>
  <c r="A217" i="14703"/>
  <c r="A232" i="14703"/>
  <c r="A233" i="14703"/>
  <c r="B41" i="14690" a="1"/>
  <c r="A143" i="14698"/>
  <c r="A142" i="14698"/>
  <c r="A232" i="14698"/>
  <c r="A233" i="14698"/>
  <c r="A160" i="14698"/>
  <c r="A161" i="14698"/>
  <c r="A250" i="14698"/>
  <c r="A251" i="14698"/>
  <c r="B32" i="14634"/>
  <c r="B34" i="14634"/>
  <c r="B37" i="14634"/>
  <c r="B38" i="14634"/>
  <c r="B33" i="14634"/>
  <c r="B36" i="14634"/>
  <c r="B31" i="14634"/>
  <c r="B35" i="14634"/>
  <c r="B31" i="14628"/>
  <c r="B35" i="14628"/>
  <c r="B34" i="14628"/>
  <c r="B38" i="14628"/>
  <c r="B32" i="14628"/>
  <c r="B36" i="14628"/>
  <c r="B33" i="14628"/>
  <c r="B37" i="14628"/>
  <c r="A123" i="14703"/>
  <c r="A121" i="14703"/>
  <c r="A119" i="14703"/>
  <c r="A117" i="14703"/>
  <c r="A115" i="14703"/>
  <c r="A113" i="14703"/>
  <c r="A111" i="14703"/>
  <c r="A120" i="14703"/>
  <c r="A116" i="14703"/>
  <c r="A112" i="14703"/>
  <c r="A122" i="14703"/>
  <c r="A114" i="14703"/>
  <c r="A118" i="14703"/>
  <c r="J55" i="14685"/>
  <c r="J53" i="14685"/>
  <c r="J54" i="14685"/>
  <c r="F11" i="14645"/>
  <c r="F12" i="14645" s="1"/>
  <c r="G7" i="14625"/>
  <c r="E7" i="14625"/>
  <c r="D11" i="14645"/>
  <c r="D12" i="14645" s="1"/>
  <c r="G38" i="14665"/>
  <c r="B6" i="14670"/>
  <c r="J6" i="14670"/>
  <c r="A26" i="14649"/>
  <c r="A25" i="14649"/>
  <c r="A24" i="14649"/>
  <c r="B14" i="14695" a="1"/>
  <c r="B12" i="14695" a="1"/>
  <c r="B15" i="14624" l="1"/>
  <c r="L35" i="14653"/>
  <c r="M35" i="14653"/>
  <c r="B35" i="14653"/>
  <c r="C35" i="14653"/>
  <c r="G35" i="14653"/>
  <c r="D35" i="14653"/>
  <c r="E35" i="14653"/>
  <c r="F35" i="14653"/>
  <c r="H35" i="14653"/>
  <c r="K35" i="14653"/>
  <c r="I35" i="14653"/>
  <c r="I48" i="14653" s="1"/>
  <c r="J35" i="14653"/>
  <c r="N34" i="14653"/>
  <c r="H15" i="14624"/>
  <c r="G15" i="14624"/>
  <c r="D15" i="14624"/>
  <c r="N13" i="14624"/>
  <c r="L19" i="14624"/>
  <c r="L20" i="14624" s="1"/>
  <c r="E19" i="14624"/>
  <c r="E20" i="14624" s="1"/>
  <c r="N11" i="14624"/>
  <c r="N12" i="14624"/>
  <c r="H19" i="14624"/>
  <c r="H20" i="14624" s="1"/>
  <c r="G19" i="14624"/>
  <c r="G20" i="14624" s="1"/>
  <c r="B19" i="14624"/>
  <c r="B20" i="14624" s="1"/>
  <c r="L15" i="14624"/>
  <c r="M15" i="14624"/>
  <c r="K15" i="14624"/>
  <c r="F15" i="14624"/>
  <c r="C15" i="14624"/>
  <c r="I15" i="14624"/>
  <c r="E15" i="14624"/>
  <c r="N14" i="14624"/>
  <c r="C19" i="14624"/>
  <c r="C20" i="14624" s="1"/>
  <c r="N9" i="14624"/>
  <c r="K19" i="14624"/>
  <c r="K20" i="14624" s="1"/>
  <c r="I19" i="14624"/>
  <c r="I20" i="14624" s="1"/>
  <c r="F19" i="14624"/>
  <c r="F20" i="14624" s="1"/>
  <c r="O20" i="14687"/>
  <c r="J15" i="14624"/>
  <c r="M19" i="14624"/>
  <c r="M20" i="14624" s="1"/>
  <c r="N8" i="14624"/>
  <c r="N10" i="14624"/>
  <c r="D19" i="14624"/>
  <c r="D20" i="14624" s="1"/>
  <c r="O17" i="14687"/>
  <c r="C32" i="4128" s="1"/>
  <c r="J19" i="14624"/>
  <c r="J20" i="14624" s="1"/>
  <c r="A191" i="14698"/>
  <c r="A187" i="14698"/>
  <c r="A188" i="14698"/>
  <c r="A193" i="14698"/>
  <c r="A182" i="14698"/>
  <c r="A185" i="14698"/>
  <c r="A190" i="14698"/>
  <c r="A192" i="14698"/>
  <c r="A184" i="14698"/>
  <c r="A194" i="14698"/>
  <c r="A189" i="14698"/>
  <c r="A186" i="14698"/>
  <c r="A195" i="14698"/>
  <c r="A183" i="14698"/>
  <c r="A172" i="14698"/>
  <c r="A170" i="14698"/>
  <c r="A177" i="14698"/>
  <c r="A168" i="14698"/>
  <c r="A173" i="14698"/>
  <c r="A169" i="14698"/>
  <c r="A165" i="14698"/>
  <c r="A174" i="14698"/>
  <c r="A166" i="14698"/>
  <c r="A171" i="14698"/>
  <c r="A164" i="14698"/>
  <c r="A175" i="14698"/>
  <c r="A176" i="14698"/>
  <c r="A167" i="14698"/>
  <c r="B23" i="14624" a="1"/>
  <c r="H23" i="14624" s="1"/>
  <c r="A240" i="14698"/>
  <c r="A249" i="14698"/>
  <c r="A241" i="14698"/>
  <c r="A237" i="14698"/>
  <c r="A236" i="14698"/>
  <c r="A242" i="14698"/>
  <c r="A246" i="14698"/>
  <c r="A247" i="14698"/>
  <c r="A239" i="14698"/>
  <c r="A248" i="14698"/>
  <c r="A243" i="14698"/>
  <c r="A238" i="14698"/>
  <c r="A244" i="14698"/>
  <c r="A245" i="14698"/>
  <c r="B19" i="11"/>
  <c r="H26" i="14705"/>
  <c r="H19" i="14705" s="1"/>
  <c r="A225" i="14698"/>
  <c r="A230" i="14698"/>
  <c r="A221" i="14698"/>
  <c r="A222" i="14698"/>
  <c r="A227" i="14698"/>
  <c r="A219" i="14698"/>
  <c r="A226" i="14698"/>
  <c r="A218" i="14698"/>
  <c r="A223" i="14698"/>
  <c r="A228" i="14698"/>
  <c r="A231" i="14698"/>
  <c r="A224" i="14698"/>
  <c r="A220" i="14698"/>
  <c r="A229" i="14698"/>
  <c r="F12" i="14694"/>
  <c r="B12" i="14694"/>
  <c r="H52" i="14705" s="1"/>
  <c r="E12" i="14694"/>
  <c r="G12" i="14694"/>
  <c r="D12" i="14694"/>
  <c r="C12" i="14694"/>
  <c r="H12" i="14694"/>
  <c r="A203" i="14698"/>
  <c r="A212" i="14698"/>
  <c r="A201" i="14698"/>
  <c r="A208" i="14698"/>
  <c r="A200" i="14698"/>
  <c r="A205" i="14698"/>
  <c r="A202" i="14698"/>
  <c r="A210" i="14698"/>
  <c r="A213" i="14698"/>
  <c r="A209" i="14698"/>
  <c r="A206" i="14698"/>
  <c r="A211" i="14698"/>
  <c r="A207" i="14698"/>
  <c r="A204" i="14698"/>
  <c r="A159" i="14698"/>
  <c r="A155" i="14698"/>
  <c r="A151" i="14698"/>
  <c r="A156" i="14698"/>
  <c r="A148" i="14698"/>
  <c r="A153" i="14698"/>
  <c r="A152" i="14698"/>
  <c r="A147" i="14698"/>
  <c r="A149" i="14698"/>
  <c r="A158" i="14698"/>
  <c r="A157" i="14698"/>
  <c r="A154" i="14698"/>
  <c r="A146" i="14698"/>
  <c r="A150" i="14698"/>
  <c r="N47" i="14653"/>
  <c r="O48" i="14653"/>
  <c r="A128" i="14698"/>
  <c r="A139" i="14698"/>
  <c r="A140" i="14698"/>
  <c r="A135" i="14698"/>
  <c r="A138" i="14698"/>
  <c r="A131" i="14698"/>
  <c r="A136" i="14698"/>
  <c r="A141" i="14698"/>
  <c r="A134" i="14698"/>
  <c r="A137" i="14698"/>
  <c r="A132" i="14698"/>
  <c r="A130" i="14698"/>
  <c r="A133" i="14698"/>
  <c r="A129" i="14698"/>
  <c r="F14" i="14694"/>
  <c r="B14" i="14694"/>
  <c r="E14" i="14694"/>
  <c r="H14" i="14694"/>
  <c r="D14" i="14694"/>
  <c r="G14" i="14694"/>
  <c r="C14" i="14694"/>
  <c r="N34" i="14624"/>
  <c r="N6" i="14670"/>
  <c r="L29" i="14667" s="1"/>
  <c r="F72" i="14689"/>
  <c r="E72" i="14689"/>
  <c r="G72" i="14689"/>
  <c r="D72" i="14689"/>
  <c r="C72" i="14689"/>
  <c r="E11" i="14652"/>
  <c r="G10" i="14652"/>
  <c r="F19" i="14652" a="1"/>
  <c r="N33" i="14624"/>
  <c r="N18" i="14624"/>
  <c r="K25" i="7"/>
  <c r="K9" i="14681" s="1"/>
  <c r="N5" i="7"/>
  <c r="N10" i="7"/>
  <c r="N12" i="7"/>
  <c r="N18" i="7"/>
  <c r="B8" i="14703" a="1"/>
  <c r="K10" i="14703" s="1"/>
  <c r="H25" i="7"/>
  <c r="H9" i="14681" s="1"/>
  <c r="D25" i="7"/>
  <c r="D9" i="14681" s="1"/>
  <c r="L25" i="7"/>
  <c r="L9" i="14681" s="1"/>
  <c r="N7" i="14630"/>
  <c r="N10" i="14630"/>
  <c r="B17" i="14630" a="1"/>
  <c r="E22" i="14630" s="1"/>
  <c r="N11" i="14630"/>
  <c r="C25" i="7"/>
  <c r="C9" i="14681" s="1"/>
  <c r="I25" i="7"/>
  <c r="I9" i="14681" s="1"/>
  <c r="N8" i="14630"/>
  <c r="N12" i="14630"/>
  <c r="B8" i="14698" a="1"/>
  <c r="M11" i="14698" s="1"/>
  <c r="N9" i="14630"/>
  <c r="N6" i="14630"/>
  <c r="G25" i="7"/>
  <c r="G9" i="14681" s="1"/>
  <c r="E25" i="7"/>
  <c r="E9" i="14681" s="1"/>
  <c r="F25" i="7"/>
  <c r="F9" i="14681" s="1"/>
  <c r="M25" i="7"/>
  <c r="M9" i="14681" s="1"/>
  <c r="J25" i="7"/>
  <c r="J9" i="14681" s="1"/>
  <c r="N8" i="7"/>
  <c r="N5" i="14630"/>
  <c r="N19" i="7"/>
  <c r="N21" i="7"/>
  <c r="N23" i="7"/>
  <c r="N20" i="7"/>
  <c r="N22" i="7"/>
  <c r="N24" i="7"/>
  <c r="N7" i="7"/>
  <c r="N9" i="7"/>
  <c r="N6" i="7"/>
  <c r="N11" i="7"/>
  <c r="L19" i="14661"/>
  <c r="J19" i="14661"/>
  <c r="K19" i="14661"/>
  <c r="C14" i="14695"/>
  <c r="G14" i="14695"/>
  <c r="F14" i="14695"/>
  <c r="D14" i="14695"/>
  <c r="B14" i="14695"/>
  <c r="H14" i="14695"/>
  <c r="E14" i="14695"/>
  <c r="D41" i="14690"/>
  <c r="H41" i="14690"/>
  <c r="G41" i="14690"/>
  <c r="F41" i="14690"/>
  <c r="E41" i="14690"/>
  <c r="B41" i="14690"/>
  <c r="C41" i="14690"/>
  <c r="A235" i="14698"/>
  <c r="A235" i="14702"/>
  <c r="A235" i="14700"/>
  <c r="A235" i="14701"/>
  <c r="A235" i="14704"/>
  <c r="F30" i="14686" a="1"/>
  <c r="F30" i="14686" s="1"/>
  <c r="F48" i="14686" a="1"/>
  <c r="F48" i="14686" s="1"/>
  <c r="F49" i="14686" s="1"/>
  <c r="E14" i="14692"/>
  <c r="D14" i="14692"/>
  <c r="D17" i="14692" s="1"/>
  <c r="F14" i="14692"/>
  <c r="B14" i="14692"/>
  <c r="B17" i="14692" s="1"/>
  <c r="G14" i="14692"/>
  <c r="H14" i="14692"/>
  <c r="C14" i="14692"/>
  <c r="C17" i="14692" s="1"/>
  <c r="D53" i="14687"/>
  <c r="F53" i="14687"/>
  <c r="N53" i="14687"/>
  <c r="H53" i="14687"/>
  <c r="I53" i="14687"/>
  <c r="L53" i="14687"/>
  <c r="J53" i="14687"/>
  <c r="E53" i="14687"/>
  <c r="K53" i="14687"/>
  <c r="C53" i="14687"/>
  <c r="G53" i="14687"/>
  <c r="M53" i="14687"/>
  <c r="D51" i="14687"/>
  <c r="F51" i="14687"/>
  <c r="C51" i="14687"/>
  <c r="I51" i="14687"/>
  <c r="H51" i="14687"/>
  <c r="E51" i="14687"/>
  <c r="N51" i="14687"/>
  <c r="K51" i="14687"/>
  <c r="J51" i="14687"/>
  <c r="G51" i="14687"/>
  <c r="M51" i="14687"/>
  <c r="L51" i="14687"/>
  <c r="I54" i="14687"/>
  <c r="K54" i="14687"/>
  <c r="C54" i="14687"/>
  <c r="G54" i="14687"/>
  <c r="J54" i="14687"/>
  <c r="E54" i="14687"/>
  <c r="N54" i="14687"/>
  <c r="F54" i="14687"/>
  <c r="M54" i="14687"/>
  <c r="L54" i="14687"/>
  <c r="H54" i="14687"/>
  <c r="D54" i="14687"/>
  <c r="J50" i="14687"/>
  <c r="F50" i="14687"/>
  <c r="E50" i="14687"/>
  <c r="N50" i="14687"/>
  <c r="K50" i="14687"/>
  <c r="G50" i="14687"/>
  <c r="I50" i="14687"/>
  <c r="C50" i="14687"/>
  <c r="H50" i="14687"/>
  <c r="D50" i="14687"/>
  <c r="M50" i="14687"/>
  <c r="L50" i="14687"/>
  <c r="C70" i="14687"/>
  <c r="H70" i="14687"/>
  <c r="K70" i="14687"/>
  <c r="J70" i="14687"/>
  <c r="N70" i="14687"/>
  <c r="I70" i="14687"/>
  <c r="F70" i="14687"/>
  <c r="M70" i="14687"/>
  <c r="E70" i="14687"/>
  <c r="G70" i="14687"/>
  <c r="L70" i="14687"/>
  <c r="D70" i="14687"/>
  <c r="F66" i="14687"/>
  <c r="H66" i="14687"/>
  <c r="K66" i="14687"/>
  <c r="J66" i="14687"/>
  <c r="B74" i="14687"/>
  <c r="L66" i="14687"/>
  <c r="N66" i="14687"/>
  <c r="I66" i="14687"/>
  <c r="E66" i="14687"/>
  <c r="G66" i="14687"/>
  <c r="C66" i="14687"/>
  <c r="M66" i="14687"/>
  <c r="D66" i="14687"/>
  <c r="C68" i="14687"/>
  <c r="G68" i="14687"/>
  <c r="I68" i="14687"/>
  <c r="K68" i="14687"/>
  <c r="M68" i="14687"/>
  <c r="F68" i="14687"/>
  <c r="J68" i="14687"/>
  <c r="L68" i="14687"/>
  <c r="E68" i="14687"/>
  <c r="H68" i="14687"/>
  <c r="N68" i="14687"/>
  <c r="D68" i="14687"/>
  <c r="C69" i="14687"/>
  <c r="J69" i="14687"/>
  <c r="N69" i="14687"/>
  <c r="D69" i="14687"/>
  <c r="L69" i="14687"/>
  <c r="E69" i="14687"/>
  <c r="G69" i="14687"/>
  <c r="K69" i="14687"/>
  <c r="F69" i="14687"/>
  <c r="H69" i="14687"/>
  <c r="M69" i="14687"/>
  <c r="I69" i="14687"/>
  <c r="J18" i="14629" a="1"/>
  <c r="J18" i="14629" s="1"/>
  <c r="K36" i="14687"/>
  <c r="J7" i="14629"/>
  <c r="K39" i="14687"/>
  <c r="E18" i="14629" a="1"/>
  <c r="E18" i="14629" s="1"/>
  <c r="F36" i="14687"/>
  <c r="F39" i="14687"/>
  <c r="E7" i="14629"/>
  <c r="M18" i="14629" a="1"/>
  <c r="M18" i="14629" s="1"/>
  <c r="M7" i="14629"/>
  <c r="N36" i="14687"/>
  <c r="N39" i="14687"/>
  <c r="F18" i="14629" a="1"/>
  <c r="F18" i="14629" s="1"/>
  <c r="G39" i="14687"/>
  <c r="F7" i="14629"/>
  <c r="G36" i="14687"/>
  <c r="H7" i="14629"/>
  <c r="H18" i="14629" a="1"/>
  <c r="H18" i="14629" s="1"/>
  <c r="I36" i="14687"/>
  <c r="I39" i="14687"/>
  <c r="C42" i="14687" a="1"/>
  <c r="B18" i="14629" a="1"/>
  <c r="B18" i="14629" s="1"/>
  <c r="C36" i="14687"/>
  <c r="C39" i="14687"/>
  <c r="B7" i="14629"/>
  <c r="O28" i="14687"/>
  <c r="O32" i="14687"/>
  <c r="B8" i="14629" a="1"/>
  <c r="O29" i="14687"/>
  <c r="H4" i="14661"/>
  <c r="H62" i="14665"/>
  <c r="D8" i="11"/>
  <c r="G10" i="14626"/>
  <c r="D27" i="14667"/>
  <c r="D43" i="14706"/>
  <c r="F43" i="14706" s="1"/>
  <c r="H43" i="14706" s="1"/>
  <c r="J43" i="14706" s="1"/>
  <c r="L43" i="14706" s="1"/>
  <c r="N43" i="14706" s="1"/>
  <c r="M40" i="14675"/>
  <c r="J40" i="14675"/>
  <c r="E40" i="14675"/>
  <c r="H40" i="14675"/>
  <c r="N40" i="14675"/>
  <c r="D40" i="14675"/>
  <c r="C40" i="14675"/>
  <c r="F40" i="14675"/>
  <c r="K40" i="14675"/>
  <c r="G40" i="14675"/>
  <c r="I40" i="14675"/>
  <c r="L40" i="14675"/>
  <c r="L40" i="14674"/>
  <c r="G40" i="14674"/>
  <c r="C40" i="14674"/>
  <c r="I40" i="14674"/>
  <c r="F40" i="14674"/>
  <c r="J40" i="14674"/>
  <c r="N40" i="14674"/>
  <c r="H40" i="14674"/>
  <c r="E40" i="14674"/>
  <c r="D40" i="14674"/>
  <c r="M40" i="14674"/>
  <c r="K40" i="14674"/>
  <c r="C10" i="14626"/>
  <c r="D22" i="14706"/>
  <c r="F22" i="14706" s="1"/>
  <c r="H22" i="14706" s="1"/>
  <c r="J22" i="14706" s="1"/>
  <c r="L22" i="14706" s="1"/>
  <c r="N22" i="14706" s="1"/>
  <c r="D6" i="14667"/>
  <c r="D8" i="14661"/>
  <c r="D12" i="14661"/>
  <c r="D14" i="14661"/>
  <c r="D13" i="14661"/>
  <c r="D15" i="14661"/>
  <c r="D11" i="14661"/>
  <c r="D9" i="14661"/>
  <c r="D7" i="14661"/>
  <c r="D10" i="14661"/>
  <c r="A109" i="14701"/>
  <c r="A109" i="14702"/>
  <c r="A109" i="14704"/>
  <c r="A109" i="14700"/>
  <c r="A109" i="14698"/>
  <c r="A141" i="14704"/>
  <c r="A139" i="14704"/>
  <c r="A137" i="14704"/>
  <c r="A135" i="14704"/>
  <c r="A133" i="14704"/>
  <c r="A131" i="14704"/>
  <c r="A129" i="14704"/>
  <c r="A128" i="14704"/>
  <c r="A138" i="14704"/>
  <c r="A134" i="14704"/>
  <c r="A130" i="14704"/>
  <c r="A140" i="14704"/>
  <c r="A132" i="14704"/>
  <c r="A136" i="14704"/>
  <c r="A212" i="14704"/>
  <c r="A208" i="14704"/>
  <c r="A204" i="14704"/>
  <c r="A213" i="14704"/>
  <c r="A209" i="14704"/>
  <c r="A205" i="14704"/>
  <c r="A201" i="14704"/>
  <c r="A210" i="14704"/>
  <c r="A202" i="14704"/>
  <c r="A207" i="14704"/>
  <c r="A206" i="14704"/>
  <c r="A203" i="14704"/>
  <c r="A211" i="14704"/>
  <c r="A200" i="14704"/>
  <c r="A230" i="14704"/>
  <c r="A226" i="14704"/>
  <c r="A222" i="14704"/>
  <c r="A231" i="14704"/>
  <c r="A227" i="14704"/>
  <c r="A223" i="14704"/>
  <c r="A219" i="14704"/>
  <c r="A228" i="14704"/>
  <c r="A220" i="14704"/>
  <c r="A225" i="14704"/>
  <c r="A224" i="14704"/>
  <c r="A221" i="14704"/>
  <c r="A229" i="14704"/>
  <c r="A218" i="14704"/>
  <c r="A248" i="14704"/>
  <c r="A244" i="14704"/>
  <c r="A240" i="14704"/>
  <c r="A249" i="14704"/>
  <c r="A245" i="14704"/>
  <c r="A241" i="14704"/>
  <c r="A237" i="14704"/>
  <c r="A246" i="14704"/>
  <c r="A238" i="14704"/>
  <c r="A243" i="14704"/>
  <c r="A236" i="14704"/>
  <c r="A247" i="14704"/>
  <c r="A239" i="14704"/>
  <c r="A242" i="14704"/>
  <c r="F14" i="14686"/>
  <c r="A182" i="14701"/>
  <c r="A192" i="14701"/>
  <c r="A188" i="14701"/>
  <c r="A184" i="14701"/>
  <c r="A193" i="14701"/>
  <c r="A189" i="14701"/>
  <c r="A185" i="14701"/>
  <c r="A194" i="14701"/>
  <c r="A186" i="14701"/>
  <c r="A191" i="14701"/>
  <c r="A183" i="14701"/>
  <c r="A195" i="14701"/>
  <c r="A187" i="14701"/>
  <c r="A190" i="14701"/>
  <c r="A236" i="14701"/>
  <c r="A246" i="14701"/>
  <c r="A242" i="14701"/>
  <c r="A238" i="14701"/>
  <c r="A247" i="14701"/>
  <c r="A243" i="14701"/>
  <c r="A239" i="14701"/>
  <c r="A244" i="14701"/>
  <c r="A249" i="14701"/>
  <c r="A241" i="14701"/>
  <c r="A240" i="14701"/>
  <c r="A237" i="14701"/>
  <c r="A245" i="14701"/>
  <c r="A248" i="14701"/>
  <c r="A176" i="14701"/>
  <c r="A172" i="14701"/>
  <c r="A168" i="14701"/>
  <c r="A177" i="14701"/>
  <c r="A173" i="14701"/>
  <c r="A169" i="14701"/>
  <c r="A165" i="14701"/>
  <c r="A164" i="14701"/>
  <c r="A170" i="14701"/>
  <c r="A175" i="14701"/>
  <c r="A167" i="14701"/>
  <c r="A174" i="14701"/>
  <c r="A171" i="14701"/>
  <c r="A166" i="14701"/>
  <c r="A230" i="14701"/>
  <c r="A226" i="14701"/>
  <c r="A222" i="14701"/>
  <c r="A231" i="14701"/>
  <c r="A227" i="14701"/>
  <c r="A223" i="14701"/>
  <c r="A219" i="14701"/>
  <c r="A218" i="14701"/>
  <c r="A224" i="14701"/>
  <c r="A229" i="14701"/>
  <c r="A221" i="14701"/>
  <c r="A220" i="14701"/>
  <c r="A228" i="14701"/>
  <c r="A225" i="14701"/>
  <c r="A146" i="14702"/>
  <c r="A157" i="14702"/>
  <c r="A153" i="14702"/>
  <c r="A149" i="14702"/>
  <c r="A158" i="14702"/>
  <c r="A154" i="14702"/>
  <c r="A150" i="14702"/>
  <c r="A159" i="14702"/>
  <c r="A151" i="14702"/>
  <c r="A156" i="14702"/>
  <c r="A148" i="14702"/>
  <c r="A155" i="14702"/>
  <c r="A152" i="14702"/>
  <c r="A147" i="14702"/>
  <c r="A141" i="14702"/>
  <c r="A139" i="14702"/>
  <c r="A137" i="14702"/>
  <c r="A135" i="14702"/>
  <c r="A133" i="14702"/>
  <c r="A131" i="14702"/>
  <c r="A129" i="14702"/>
  <c r="A140" i="14702"/>
  <c r="A136" i="14702"/>
  <c r="A132" i="14702"/>
  <c r="A138" i="14702"/>
  <c r="A130" i="14702"/>
  <c r="A134" i="14702"/>
  <c r="A128" i="14702"/>
  <c r="A213" i="14702"/>
  <c r="A209" i="14702"/>
  <c r="A205" i="14702"/>
  <c r="A201" i="14702"/>
  <c r="A210" i="14702"/>
  <c r="A206" i="14702"/>
  <c r="A202" i="14702"/>
  <c r="A211" i="14702"/>
  <c r="A203" i="14702"/>
  <c r="A208" i="14702"/>
  <c r="A200" i="14702"/>
  <c r="A212" i="14702"/>
  <c r="A204" i="14702"/>
  <c r="A207" i="14702"/>
  <c r="F71" i="14689"/>
  <c r="F80" i="14689" s="1"/>
  <c r="G71" i="14689"/>
  <c r="G80" i="14689" s="1"/>
  <c r="E71" i="14689"/>
  <c r="E80" i="14689" s="1"/>
  <c r="C71" i="14689"/>
  <c r="C80" i="14689" s="1"/>
  <c r="D71" i="14689"/>
  <c r="D80" i="14689" s="1"/>
  <c r="G40" i="14687"/>
  <c r="J40" i="14687"/>
  <c r="F40" i="14687"/>
  <c r="D40" i="14687"/>
  <c r="L40" i="14687"/>
  <c r="I40" i="14687"/>
  <c r="O35" i="14687"/>
  <c r="A236" i="14700" a="1"/>
  <c r="A200" i="14700" a="1"/>
  <c r="A164" i="14700" a="1"/>
  <c r="A128" i="14700" a="1"/>
  <c r="A182" i="14700" a="1"/>
  <c r="A146" i="14700" a="1"/>
  <c r="A218" i="14700" a="1"/>
  <c r="O23" i="14687"/>
  <c r="K19" i="14657" s="1"/>
  <c r="H39" i="14661"/>
  <c r="E39" i="14661"/>
  <c r="E12" i="14695"/>
  <c r="B12" i="14695"/>
  <c r="D57" i="14705" s="1"/>
  <c r="F12" i="14695"/>
  <c r="H12" i="14695"/>
  <c r="G12" i="14695"/>
  <c r="D12" i="14695"/>
  <c r="C12" i="14695"/>
  <c r="C6" i="14671"/>
  <c r="M6" i="14671"/>
  <c r="F6" i="14671"/>
  <c r="G6" i="14671"/>
  <c r="H6" i="14671"/>
  <c r="L6" i="14671"/>
  <c r="D6" i="14671"/>
  <c r="I6" i="14671"/>
  <c r="K6" i="14671"/>
  <c r="B6" i="14671"/>
  <c r="J6" i="14671"/>
  <c r="E6" i="14671"/>
  <c r="A218" i="14703" a="1"/>
  <c r="A182" i="14703" a="1"/>
  <c r="A146" i="14703" a="1"/>
  <c r="A236" i="14703" a="1"/>
  <c r="A164" i="14703" a="1"/>
  <c r="A200" i="14703" a="1"/>
  <c r="A128" i="14703" a="1"/>
  <c r="E40" i="14628"/>
  <c r="K40" i="14628"/>
  <c r="I40" i="14628"/>
  <c r="F40" i="14628"/>
  <c r="H40" i="14628"/>
  <c r="J40" i="14628"/>
  <c r="L40" i="14628"/>
  <c r="D40" i="14628"/>
  <c r="N40" i="14628"/>
  <c r="G40" i="14628"/>
  <c r="M40" i="14628"/>
  <c r="C40" i="14628"/>
  <c r="L40" i="14634"/>
  <c r="N40" i="14634"/>
  <c r="I40" i="14634"/>
  <c r="D40" i="14634"/>
  <c r="H40" i="14634"/>
  <c r="K40" i="14634"/>
  <c r="C40" i="14634"/>
  <c r="J40" i="14634"/>
  <c r="M40" i="14634"/>
  <c r="E40" i="14634"/>
  <c r="G40" i="14634"/>
  <c r="F40" i="14634"/>
  <c r="B11" i="14693"/>
  <c r="A217" i="14701"/>
  <c r="A217" i="14698"/>
  <c r="A217" i="14704"/>
  <c r="A217" i="14700"/>
  <c r="A217" i="14702"/>
  <c r="A145" i="14702"/>
  <c r="A145" i="14700"/>
  <c r="A145" i="14701"/>
  <c r="A145" i="14698"/>
  <c r="A145" i="14704"/>
  <c r="A163" i="14704"/>
  <c r="A163" i="14700"/>
  <c r="A163" i="14698"/>
  <c r="A163" i="14702"/>
  <c r="A163" i="14701"/>
  <c r="J36" i="14706"/>
  <c r="I67" i="14647"/>
  <c r="J67" i="14647" s="1"/>
  <c r="B65" i="14645"/>
  <c r="E15" i="14692"/>
  <c r="D15" i="14692"/>
  <c r="F15" i="14692"/>
  <c r="G15" i="14692"/>
  <c r="B15" i="14692"/>
  <c r="C15" i="14692"/>
  <c r="H15" i="14692"/>
  <c r="E49" i="14687"/>
  <c r="G49" i="14687"/>
  <c r="N49" i="14687"/>
  <c r="J49" i="14687"/>
  <c r="K49" i="14687"/>
  <c r="D49" i="14687"/>
  <c r="L49" i="14687"/>
  <c r="F49" i="14687"/>
  <c r="I49" i="14687"/>
  <c r="M49" i="14687"/>
  <c r="H49" i="14687"/>
  <c r="C49" i="14687"/>
  <c r="F47" i="14687"/>
  <c r="G47" i="14687"/>
  <c r="L47" i="14687"/>
  <c r="K47" i="14687"/>
  <c r="C47" i="14687"/>
  <c r="J47" i="14687"/>
  <c r="N47" i="14687"/>
  <c r="B55" i="14687"/>
  <c r="M47" i="14687"/>
  <c r="I47" i="14687"/>
  <c r="D47" i="14687"/>
  <c r="H47" i="14687"/>
  <c r="E47" i="14687"/>
  <c r="I52" i="14687"/>
  <c r="J52" i="14687"/>
  <c r="K52" i="14687"/>
  <c r="E52" i="14687"/>
  <c r="D52" i="14687"/>
  <c r="M52" i="14687"/>
  <c r="N52" i="14687"/>
  <c r="F52" i="14687"/>
  <c r="G52" i="14687"/>
  <c r="L52" i="14687"/>
  <c r="H52" i="14687"/>
  <c r="C52" i="14687"/>
  <c r="H48" i="14687"/>
  <c r="J48" i="14687"/>
  <c r="K48" i="14687"/>
  <c r="C48" i="14687"/>
  <c r="F48" i="14687"/>
  <c r="D48" i="14687"/>
  <c r="N48" i="14687"/>
  <c r="I48" i="14687"/>
  <c r="E48" i="14687"/>
  <c r="L48" i="14687"/>
  <c r="G48" i="14687"/>
  <c r="M48" i="14687"/>
  <c r="F71" i="14687"/>
  <c r="E71" i="14687"/>
  <c r="K71" i="14687"/>
  <c r="J71" i="14687"/>
  <c r="I71" i="14687"/>
  <c r="H71" i="14687"/>
  <c r="C71" i="14687"/>
  <c r="M71" i="14687"/>
  <c r="G71" i="14687"/>
  <c r="D71" i="14687"/>
  <c r="N71" i="14687"/>
  <c r="L71" i="14687"/>
  <c r="J67" i="14687"/>
  <c r="M67" i="14687"/>
  <c r="N67" i="14687"/>
  <c r="I67" i="14687"/>
  <c r="C67" i="14687"/>
  <c r="F67" i="14687"/>
  <c r="E67" i="14687"/>
  <c r="G67" i="14687"/>
  <c r="L67" i="14687"/>
  <c r="K67" i="14687"/>
  <c r="H67" i="14687"/>
  <c r="D67" i="14687"/>
  <c r="G72" i="14687"/>
  <c r="I72" i="14687"/>
  <c r="J72" i="14687"/>
  <c r="E72" i="14687"/>
  <c r="K72" i="14687"/>
  <c r="N72" i="14687"/>
  <c r="C72" i="14687"/>
  <c r="D72" i="14687"/>
  <c r="F72" i="14687"/>
  <c r="L72" i="14687"/>
  <c r="M72" i="14687"/>
  <c r="H72" i="14687"/>
  <c r="D73" i="14687"/>
  <c r="F73" i="14687"/>
  <c r="L73" i="14687"/>
  <c r="E73" i="14687"/>
  <c r="K73" i="14687"/>
  <c r="C73" i="14687"/>
  <c r="J73" i="14687"/>
  <c r="G73" i="14687"/>
  <c r="N73" i="14687"/>
  <c r="M73" i="14687"/>
  <c r="H73" i="14687"/>
  <c r="I73" i="14687"/>
  <c r="B5" i="14682" a="1"/>
  <c r="N71" i="14653"/>
  <c r="C18" i="14629" a="1"/>
  <c r="C18" i="14629" s="1"/>
  <c r="C7" i="14629"/>
  <c r="D36" i="14687"/>
  <c r="D39" i="14687"/>
  <c r="L18" i="14629" a="1"/>
  <c r="L18" i="14629" s="1"/>
  <c r="M36" i="14687"/>
  <c r="M39" i="14687"/>
  <c r="L7" i="14629"/>
  <c r="G18" i="14629" a="1"/>
  <c r="G18" i="14629" s="1"/>
  <c r="H39" i="14687"/>
  <c r="G7" i="14629"/>
  <c r="H36" i="14687"/>
  <c r="K18" i="14629" a="1"/>
  <c r="K18" i="14629" s="1"/>
  <c r="K7" i="14629"/>
  <c r="L39" i="14687"/>
  <c r="L36" i="14687"/>
  <c r="I18" i="14629" a="1"/>
  <c r="I18" i="14629" s="1"/>
  <c r="I7" i="14629"/>
  <c r="J36" i="14687"/>
  <c r="J39" i="14687"/>
  <c r="D18" i="14629" a="1"/>
  <c r="D18" i="14629" s="1"/>
  <c r="D7" i="14629"/>
  <c r="E39" i="14687"/>
  <c r="E36" i="14687"/>
  <c r="O31" i="14687"/>
  <c r="D33" i="14652" a="1"/>
  <c r="G76" i="14665"/>
  <c r="V6" i="14655"/>
  <c r="I19" i="14647"/>
  <c r="J19" i="14647" s="1"/>
  <c r="B11" i="14645"/>
  <c r="C7" i="14625"/>
  <c r="O7" i="14625" s="1"/>
  <c r="E40" i="14639"/>
  <c r="G40" i="14639"/>
  <c r="F40" i="14639"/>
  <c r="M40" i="14639"/>
  <c r="H40" i="14639"/>
  <c r="C40" i="14639"/>
  <c r="I40" i="14639"/>
  <c r="N40" i="14639"/>
  <c r="J40" i="14639"/>
  <c r="K40" i="14639"/>
  <c r="L40" i="14639"/>
  <c r="D40" i="14639"/>
  <c r="N59" i="14653"/>
  <c r="A127" i="14702"/>
  <c r="A127" i="14701"/>
  <c r="A127" i="14700"/>
  <c r="A127" i="14704"/>
  <c r="A127" i="14698"/>
  <c r="A181" i="14704"/>
  <c r="A181" i="14701"/>
  <c r="A181" i="14702"/>
  <c r="A181" i="14700"/>
  <c r="A181" i="14698"/>
  <c r="A199" i="14702"/>
  <c r="A199" i="14698"/>
  <c r="A199" i="14701"/>
  <c r="A199" i="14704"/>
  <c r="A199" i="14700"/>
  <c r="J41" i="14706"/>
  <c r="C12" i="14692"/>
  <c r="G12" i="14692"/>
  <c r="H12" i="14692"/>
  <c r="B12" i="14692"/>
  <c r="D12" i="14692"/>
  <c r="E12" i="14692"/>
  <c r="F12" i="14692"/>
  <c r="A158" i="14704"/>
  <c r="A154" i="14704"/>
  <c r="A150" i="14704"/>
  <c r="A159" i="14704"/>
  <c r="A155" i="14704"/>
  <c r="A151" i="14704"/>
  <c r="A147" i="14704"/>
  <c r="A156" i="14704"/>
  <c r="A148" i="14704"/>
  <c r="A153" i="14704"/>
  <c r="A146" i="14704"/>
  <c r="A157" i="14704"/>
  <c r="A152" i="14704"/>
  <c r="A149" i="14704"/>
  <c r="A194" i="14704"/>
  <c r="A190" i="14704"/>
  <c r="A186" i="14704"/>
  <c r="A195" i="14704"/>
  <c r="A191" i="14704"/>
  <c r="A187" i="14704"/>
  <c r="A183" i="14704"/>
  <c r="A182" i="14704"/>
  <c r="A188" i="14704"/>
  <c r="A193" i="14704"/>
  <c r="A185" i="14704"/>
  <c r="A192" i="14704"/>
  <c r="A189" i="14704"/>
  <c r="A184" i="14704"/>
  <c r="A176" i="14704"/>
  <c r="A172" i="14704"/>
  <c r="A168" i="14704"/>
  <c r="A177" i="14704"/>
  <c r="A173" i="14704"/>
  <c r="A169" i="14704"/>
  <c r="A165" i="14704"/>
  <c r="A164" i="14704"/>
  <c r="A170" i="14704"/>
  <c r="A175" i="14704"/>
  <c r="A167" i="14704"/>
  <c r="A166" i="14704"/>
  <c r="A171" i="14704"/>
  <c r="A174" i="14704"/>
  <c r="B85" i="14687" a="1"/>
  <c r="F31" i="14686"/>
  <c r="A200" i="14701"/>
  <c r="A210" i="14701"/>
  <c r="A206" i="14701"/>
  <c r="A202" i="14701"/>
  <c r="A211" i="14701"/>
  <c r="A207" i="14701"/>
  <c r="A203" i="14701"/>
  <c r="A208" i="14701"/>
  <c r="A213" i="14701"/>
  <c r="A205" i="14701"/>
  <c r="A204" i="14701"/>
  <c r="A201" i="14701"/>
  <c r="A209" i="14701"/>
  <c r="A212" i="14701"/>
  <c r="A141" i="14701"/>
  <c r="A139" i="14701"/>
  <c r="A137" i="14701"/>
  <c r="A135" i="14701"/>
  <c r="A133" i="14701"/>
  <c r="A131" i="14701"/>
  <c r="A129" i="14701"/>
  <c r="A140" i="14701"/>
  <c r="A136" i="14701"/>
  <c r="A132" i="14701"/>
  <c r="A128" i="14701"/>
  <c r="A134" i="14701"/>
  <c r="A130" i="14701"/>
  <c r="A138" i="14701"/>
  <c r="A158" i="14701"/>
  <c r="A154" i="14701"/>
  <c r="A150" i="14701"/>
  <c r="A159" i="14701"/>
  <c r="A155" i="14701"/>
  <c r="A151" i="14701"/>
  <c r="A147" i="14701"/>
  <c r="A156" i="14701"/>
  <c r="A148" i="14701"/>
  <c r="A153" i="14701"/>
  <c r="A152" i="14701"/>
  <c r="A149" i="14701"/>
  <c r="A146" i="14701"/>
  <c r="A157" i="14701"/>
  <c r="A182" i="14702"/>
  <c r="A193" i="14702"/>
  <c r="A189" i="14702"/>
  <c r="A185" i="14702"/>
  <c r="A194" i="14702"/>
  <c r="A190" i="14702"/>
  <c r="A186" i="14702"/>
  <c r="A191" i="14702"/>
  <c r="A183" i="14702"/>
  <c r="A188" i="14702"/>
  <c r="A187" i="14702"/>
  <c r="A184" i="14702"/>
  <c r="A195" i="14702"/>
  <c r="A192" i="14702"/>
  <c r="A218" i="14702"/>
  <c r="A229" i="14702"/>
  <c r="A225" i="14702"/>
  <c r="A221" i="14702"/>
  <c r="A230" i="14702"/>
  <c r="A226" i="14702"/>
  <c r="A222" i="14702"/>
  <c r="A231" i="14702"/>
  <c r="A223" i="14702"/>
  <c r="A228" i="14702"/>
  <c r="A220" i="14702"/>
  <c r="A219" i="14702"/>
  <c r="A227" i="14702"/>
  <c r="A224" i="14702"/>
  <c r="A177" i="14702"/>
  <c r="A173" i="14702"/>
  <c r="A169" i="14702"/>
  <c r="A165" i="14702"/>
  <c r="A174" i="14702"/>
  <c r="A170" i="14702"/>
  <c r="A166" i="14702"/>
  <c r="A164" i="14702"/>
  <c r="A171" i="14702"/>
  <c r="A176" i="14702"/>
  <c r="A168" i="14702"/>
  <c r="A167" i="14702"/>
  <c r="A172" i="14702"/>
  <c r="A175" i="14702"/>
  <c r="A249" i="14702"/>
  <c r="A245" i="14702"/>
  <c r="A241" i="14702"/>
  <c r="A237" i="14702"/>
  <c r="A246" i="14702"/>
  <c r="A242" i="14702"/>
  <c r="A238" i="14702"/>
  <c r="A236" i="14702"/>
  <c r="A243" i="14702"/>
  <c r="A248" i="14702"/>
  <c r="A240" i="14702"/>
  <c r="A247" i="14702"/>
  <c r="A244" i="14702"/>
  <c r="A239" i="14702"/>
  <c r="F39" i="14661"/>
  <c r="J23" i="14624"/>
  <c r="L24" i="14624"/>
  <c r="I24" i="14624"/>
  <c r="D23" i="14624"/>
  <c r="N40" i="14687"/>
  <c r="K40" i="14687"/>
  <c r="E40" i="14687"/>
  <c r="H40" i="14687"/>
  <c r="M40" i="14687"/>
  <c r="O30" i="14687"/>
  <c r="C40" i="14687"/>
  <c r="O34" i="14687"/>
  <c r="O33" i="14687"/>
  <c r="C31" i="14628" a="1"/>
  <c r="B7" i="14623" a="1"/>
  <c r="N17" i="7"/>
  <c r="B25" i="7"/>
  <c r="J48" i="14653" l="1"/>
  <c r="K48" i="14653"/>
  <c r="O49" i="14653"/>
  <c r="O62" i="14653" s="1"/>
  <c r="L36" i="14653"/>
  <c r="L49" i="14653" s="1"/>
  <c r="L62" i="14653" s="1"/>
  <c r="L75" i="14653" s="1"/>
  <c r="H36" i="14653"/>
  <c r="H49" i="14653" s="1"/>
  <c r="H62" i="14653" s="1"/>
  <c r="H75" i="14653" s="1"/>
  <c r="M36" i="14653"/>
  <c r="M49" i="14653" s="1"/>
  <c r="M62" i="14653" s="1"/>
  <c r="M75" i="14653" s="1"/>
  <c r="J36" i="14653"/>
  <c r="J49" i="14653" s="1"/>
  <c r="J62" i="14653" s="1"/>
  <c r="J75" i="14653" s="1"/>
  <c r="B36" i="14653"/>
  <c r="B49" i="14653" s="1"/>
  <c r="B62" i="14653" s="1"/>
  <c r="B75" i="14653" s="1"/>
  <c r="C36" i="14653"/>
  <c r="C49" i="14653" s="1"/>
  <c r="C62" i="14653" s="1"/>
  <c r="C75" i="14653" s="1"/>
  <c r="D36" i="14653"/>
  <c r="D49" i="14653" s="1"/>
  <c r="D62" i="14653" s="1"/>
  <c r="D75" i="14653" s="1"/>
  <c r="E36" i="14653"/>
  <c r="E49" i="14653" s="1"/>
  <c r="E62" i="14653" s="1"/>
  <c r="E75" i="14653" s="1"/>
  <c r="F36" i="14653"/>
  <c r="F49" i="14653" s="1"/>
  <c r="F62" i="14653" s="1"/>
  <c r="F75" i="14653" s="1"/>
  <c r="G36" i="14653"/>
  <c r="I36" i="14653"/>
  <c r="K36" i="14653"/>
  <c r="K49" i="14653" s="1"/>
  <c r="K62" i="14653" s="1"/>
  <c r="K75" i="14653" s="1"/>
  <c r="H48" i="14653"/>
  <c r="H61" i="14653" s="1"/>
  <c r="H74" i="14653" s="1"/>
  <c r="F48" i="14653"/>
  <c r="N35" i="14653"/>
  <c r="E48" i="14653"/>
  <c r="E61" i="14653" s="1"/>
  <c r="E74" i="14653" s="1"/>
  <c r="D48" i="14653"/>
  <c r="D61" i="14653" s="1"/>
  <c r="D74" i="14653" s="1"/>
  <c r="G48" i="14653"/>
  <c r="G61" i="14653" s="1"/>
  <c r="G74" i="14653" s="1"/>
  <c r="C48" i="14653"/>
  <c r="C61" i="14653" s="1"/>
  <c r="C74" i="14653" s="1"/>
  <c r="B48" i="14653"/>
  <c r="B61" i="14653" s="1"/>
  <c r="B74" i="14653" s="1"/>
  <c r="M48" i="14653"/>
  <c r="L48" i="14653"/>
  <c r="N15" i="14624"/>
  <c r="N19" i="14624"/>
  <c r="B16" i="14682" s="1" a="1"/>
  <c r="F24" i="14624"/>
  <c r="G24" i="14624"/>
  <c r="I23" i="14624"/>
  <c r="H24" i="14624"/>
  <c r="H25" i="14624" s="1"/>
  <c r="H27" i="14624" s="1"/>
  <c r="C24" i="14624"/>
  <c r="E23" i="14624"/>
  <c r="E24" i="14624"/>
  <c r="B23" i="14624"/>
  <c r="L23" i="14624"/>
  <c r="L25" i="14624" s="1"/>
  <c r="L27" i="14624" s="1"/>
  <c r="D24" i="14624"/>
  <c r="D25" i="14624" s="1"/>
  <c r="D27" i="14624" s="1"/>
  <c r="C23" i="14624"/>
  <c r="K24" i="14624"/>
  <c r="G23" i="14624"/>
  <c r="B24" i="14624"/>
  <c r="M24" i="14624"/>
  <c r="L41" i="14706"/>
  <c r="F23" i="14624"/>
  <c r="J24" i="14624"/>
  <c r="K23" i="14624"/>
  <c r="M23" i="14624"/>
  <c r="M25" i="14624" s="1"/>
  <c r="M27" i="14624" s="1"/>
  <c r="N73" i="14653"/>
  <c r="N60" i="14653"/>
  <c r="B17" i="14694" a="1"/>
  <c r="O61" i="14653"/>
  <c r="I61" i="14653" s="1"/>
  <c r="I74" i="14653" s="1"/>
  <c r="O52" i="14687"/>
  <c r="H59" i="14687"/>
  <c r="B44" i="14690" a="1"/>
  <c r="E44" i="14690" s="1"/>
  <c r="F19" i="14652"/>
  <c r="F26" i="14652"/>
  <c r="F24" i="14652"/>
  <c r="F20" i="14652"/>
  <c r="F22" i="14652"/>
  <c r="F23" i="14652"/>
  <c r="F25" i="14652"/>
  <c r="F21" i="14652"/>
  <c r="E12" i="14652"/>
  <c r="G11" i="14652"/>
  <c r="M22" i="14630"/>
  <c r="D14" i="14698"/>
  <c r="C13" i="14703"/>
  <c r="M11" i="14703"/>
  <c r="I22" i="14630"/>
  <c r="G8" i="14698"/>
  <c r="C14" i="14698"/>
  <c r="J11" i="14703"/>
  <c r="K12" i="14703"/>
  <c r="J18" i="14630"/>
  <c r="H11" i="14698"/>
  <c r="C8" i="14698"/>
  <c r="L8" i="14698"/>
  <c r="D11" i="14703"/>
  <c r="C11" i="14703"/>
  <c r="E12" i="14703"/>
  <c r="E15" i="14703"/>
  <c r="C22" i="14630"/>
  <c r="K23" i="14630"/>
  <c r="E18" i="14630"/>
  <c r="D15" i="14698"/>
  <c r="I10" i="14698"/>
  <c r="K13" i="14698"/>
  <c r="D8" i="14698"/>
  <c r="H8" i="14698"/>
  <c r="I12" i="14698"/>
  <c r="D15" i="14703"/>
  <c r="C10" i="14703"/>
  <c r="K14" i="14703"/>
  <c r="G9" i="14703"/>
  <c r="J13" i="14703"/>
  <c r="F8" i="14703"/>
  <c r="K9" i="14703"/>
  <c r="C23" i="14630"/>
  <c r="K21" i="14630"/>
  <c r="C18" i="14630"/>
  <c r="L17" i="14630"/>
  <c r="B17" i="14630"/>
  <c r="E21" i="14630"/>
  <c r="E8" i="14698"/>
  <c r="H13" i="14698"/>
  <c r="L11" i="14698"/>
  <c r="K11" i="14698"/>
  <c r="I15" i="14698"/>
  <c r="E10" i="14698"/>
  <c r="E14" i="14698"/>
  <c r="B12" i="14698"/>
  <c r="G12" i="14698"/>
  <c r="B8" i="14698"/>
  <c r="K12" i="14698"/>
  <c r="J8" i="14698"/>
  <c r="B13" i="14703"/>
  <c r="I13" i="14703"/>
  <c r="E8" i="14703"/>
  <c r="F11" i="14703"/>
  <c r="G11" i="14703"/>
  <c r="J9" i="14703"/>
  <c r="L14" i="14703"/>
  <c r="G8" i="14703"/>
  <c r="F15" i="14703"/>
  <c r="M8" i="14703"/>
  <c r="I14" i="14703"/>
  <c r="B12" i="14703"/>
  <c r="G13" i="14703"/>
  <c r="J12" i="14703"/>
  <c r="H18" i="14630"/>
  <c r="L23" i="14630"/>
  <c r="M18" i="14630"/>
  <c r="B23" i="14630"/>
  <c r="L22" i="14630"/>
  <c r="C17" i="14630"/>
  <c r="D19" i="14630"/>
  <c r="E19" i="14630"/>
  <c r="B18" i="14630"/>
  <c r="G23" i="14630"/>
  <c r="F23" i="14630"/>
  <c r="H20" i="14630"/>
  <c r="B14" i="14698"/>
  <c r="L9" i="14698"/>
  <c r="J15" i="14698"/>
  <c r="E9" i="14698"/>
  <c r="J9" i="14698"/>
  <c r="G14" i="14698"/>
  <c r="M14" i="14698"/>
  <c r="I8" i="14698"/>
  <c r="D10" i="14698"/>
  <c r="D12" i="14698"/>
  <c r="E11" i="14698"/>
  <c r="H10" i="14698"/>
  <c r="M13" i="14698"/>
  <c r="C10" i="14698"/>
  <c r="M15" i="14698"/>
  <c r="L12" i="14698"/>
  <c r="C15" i="14698"/>
  <c r="I11" i="14698"/>
  <c r="F11" i="14698"/>
  <c r="E15" i="14698"/>
  <c r="H12" i="14698"/>
  <c r="D11" i="14698"/>
  <c r="G10" i="14698"/>
  <c r="J11" i="14698"/>
  <c r="B8" i="14703"/>
  <c r="E14" i="14703"/>
  <c r="M15" i="14703"/>
  <c r="L8" i="14703"/>
  <c r="I11" i="14703"/>
  <c r="D12" i="14703"/>
  <c r="H13" i="14703"/>
  <c r="L9" i="14703"/>
  <c r="H8" i="14703"/>
  <c r="E10" i="14703"/>
  <c r="M14" i="14703"/>
  <c r="B11" i="14703"/>
  <c r="F12" i="14703"/>
  <c r="F13" i="14703"/>
  <c r="M10" i="14703"/>
  <c r="B14" i="14703"/>
  <c r="I10" i="14703"/>
  <c r="I8" i="14703"/>
  <c r="C9" i="14703"/>
  <c r="L11" i="14703"/>
  <c r="C14" i="14703"/>
  <c r="H12" i="14703"/>
  <c r="C8" i="14703"/>
  <c r="E9" i="14703"/>
  <c r="H15" i="14703"/>
  <c r="F10" i="14703"/>
  <c r="K8" i="14703"/>
  <c r="B9" i="14703"/>
  <c r="J15" i="14703"/>
  <c r="G18" i="14630"/>
  <c r="J24" i="14630"/>
  <c r="H21" i="14630"/>
  <c r="H19" i="14630"/>
  <c r="L19" i="14630"/>
  <c r="J23" i="14630"/>
  <c r="D20" i="14630"/>
  <c r="H24" i="14630"/>
  <c r="K24" i="14630"/>
  <c r="F17" i="14630"/>
  <c r="C20" i="14630"/>
  <c r="G17" i="14630"/>
  <c r="J20" i="14630"/>
  <c r="H17" i="14630"/>
  <c r="L20" i="14630"/>
  <c r="M19" i="14630"/>
  <c r="F18" i="14630"/>
  <c r="M21" i="14630"/>
  <c r="M20" i="14630"/>
  <c r="D21" i="14630"/>
  <c r="J17" i="14630"/>
  <c r="K18" i="14630"/>
  <c r="I19" i="14630"/>
  <c r="J19" i="14630"/>
  <c r="H23" i="14630"/>
  <c r="E20" i="14630"/>
  <c r="B21" i="14630"/>
  <c r="I17" i="14630"/>
  <c r="C19" i="14630"/>
  <c r="M24" i="14630"/>
  <c r="B19" i="14630"/>
  <c r="E24" i="14630"/>
  <c r="I18" i="14630"/>
  <c r="E23" i="14630"/>
  <c r="L24" i="14630"/>
  <c r="I21" i="14630"/>
  <c r="F22" i="14630"/>
  <c r="I24" i="14630"/>
  <c r="L18" i="14630"/>
  <c r="B22" i="14630"/>
  <c r="G19" i="14630"/>
  <c r="D17" i="14630"/>
  <c r="K19" i="14630"/>
  <c r="G20" i="14630"/>
  <c r="E17" i="14630"/>
  <c r="J21" i="14630"/>
  <c r="H22" i="14630"/>
  <c r="G22" i="14630"/>
  <c r="B20" i="14630"/>
  <c r="C24" i="14630"/>
  <c r="K20" i="14630"/>
  <c r="G24" i="14630"/>
  <c r="J22" i="14630"/>
  <c r="K17" i="14630"/>
  <c r="D24" i="14630"/>
  <c r="C21" i="14630"/>
  <c r="F24" i="14630"/>
  <c r="I20" i="14630"/>
  <c r="D23" i="14630"/>
  <c r="M23" i="14630"/>
  <c r="L21" i="14630"/>
  <c r="D22" i="14630"/>
  <c r="G21" i="14630"/>
  <c r="K22" i="14630"/>
  <c r="F19" i="14630"/>
  <c r="B24" i="14630"/>
  <c r="D18" i="14630"/>
  <c r="I23" i="14630"/>
  <c r="M17" i="14630"/>
  <c r="F20" i="14630"/>
  <c r="F21" i="14630"/>
  <c r="L13" i="14703"/>
  <c r="D10" i="14703"/>
  <c r="M9" i="14703"/>
  <c r="C12" i="14703"/>
  <c r="G14" i="14703"/>
  <c r="J14" i="14703"/>
  <c r="G10" i="14703"/>
  <c r="D14" i="14703"/>
  <c r="K15" i="14703"/>
  <c r="H9" i="14703"/>
  <c r="H11" i="14703"/>
  <c r="L10" i="14703"/>
  <c r="L15" i="14703"/>
  <c r="G12" i="14703"/>
  <c r="F14" i="14703"/>
  <c r="D9" i="14703"/>
  <c r="E13" i="14703"/>
  <c r="K13" i="14703"/>
  <c r="B15" i="14703"/>
  <c r="I12" i="14703"/>
  <c r="H10" i="14703"/>
  <c r="K11" i="14703"/>
  <c r="C15" i="14703"/>
  <c r="H14" i="14703"/>
  <c r="J8" i="14703"/>
  <c r="B10" i="14703"/>
  <c r="I15" i="14703"/>
  <c r="D8" i="14703"/>
  <c r="L12" i="14703"/>
  <c r="M13" i="14703"/>
  <c r="F9" i="14703"/>
  <c r="D13" i="14703"/>
  <c r="M12" i="14703"/>
  <c r="G15" i="14703"/>
  <c r="E11" i="14703"/>
  <c r="J10" i="14703"/>
  <c r="I9" i="14703"/>
  <c r="C6" i="14683" a="1"/>
  <c r="C6" i="14683" s="1"/>
  <c r="H9" i="14698"/>
  <c r="K9" i="14698"/>
  <c r="H15" i="14698"/>
  <c r="F10" i="14698"/>
  <c r="L14" i="14698"/>
  <c r="M10" i="14698"/>
  <c r="K8" i="14698"/>
  <c r="C12" i="14698"/>
  <c r="M9" i="14698"/>
  <c r="F12" i="14698"/>
  <c r="K15" i="14698"/>
  <c r="B13" i="14698"/>
  <c r="B11" i="14698"/>
  <c r="G11" i="14698"/>
  <c r="B10" i="14698"/>
  <c r="G9" i="14698"/>
  <c r="L13" i="14698"/>
  <c r="J12" i="14698"/>
  <c r="G15" i="14698"/>
  <c r="I14" i="14698"/>
  <c r="G13" i="14698"/>
  <c r="J13" i="14698"/>
  <c r="F9" i="14698"/>
  <c r="H14" i="14698"/>
  <c r="D9" i="14698"/>
  <c r="J10" i="14698"/>
  <c r="D13" i="14698"/>
  <c r="F8" i="14698"/>
  <c r="J14" i="14698"/>
  <c r="E13" i="14698"/>
  <c r="M8" i="14698"/>
  <c r="I13" i="14698"/>
  <c r="K10" i="14698"/>
  <c r="F15" i="14698"/>
  <c r="K14" i="14698"/>
  <c r="I9" i="14698"/>
  <c r="B9" i="14698"/>
  <c r="M12" i="14698"/>
  <c r="C11" i="14698"/>
  <c r="F13" i="14698"/>
  <c r="C9" i="14698"/>
  <c r="B15" i="14698"/>
  <c r="E12" i="14698"/>
  <c r="F14" i="14698"/>
  <c r="L15" i="14698"/>
  <c r="L10" i="14698"/>
  <c r="C13" i="14698"/>
  <c r="B6" i="14683" a="1"/>
  <c r="B13" i="14683" s="1"/>
  <c r="B16" i="14682"/>
  <c r="B17" i="14682"/>
  <c r="C25" i="14624"/>
  <c r="C27" i="14624" s="1"/>
  <c r="B85" i="14687"/>
  <c r="B87" i="14687"/>
  <c r="B89" i="14687"/>
  <c r="B91" i="14687"/>
  <c r="B88" i="14687"/>
  <c r="B92" i="14687"/>
  <c r="B90" i="14687"/>
  <c r="B86" i="14687"/>
  <c r="N72" i="14653"/>
  <c r="O40" i="14639"/>
  <c r="O73" i="14687"/>
  <c r="O48" i="14687"/>
  <c r="E58" i="14687"/>
  <c r="D18" i="14636" a="1"/>
  <c r="D18" i="14636" s="1"/>
  <c r="E55" i="14687"/>
  <c r="C18" i="14636" a="1"/>
  <c r="C18" i="14636" s="1"/>
  <c r="D58" i="14687"/>
  <c r="D55" i="14687"/>
  <c r="L18" i="14636" a="1"/>
  <c r="L18" i="14636" s="1"/>
  <c r="M58" i="14687"/>
  <c r="M55" i="14687"/>
  <c r="M18" i="14636" a="1"/>
  <c r="M18" i="14636" s="1"/>
  <c r="N55" i="14687"/>
  <c r="N58" i="14687"/>
  <c r="B7" i="14636" a="1"/>
  <c r="B18" i="14636" a="1"/>
  <c r="B18" i="14636" s="1"/>
  <c r="C55" i="14687"/>
  <c r="O47" i="14687"/>
  <c r="C58" i="14687"/>
  <c r="C61" i="14687" a="1"/>
  <c r="K18" i="14636" a="1"/>
  <c r="K18" i="14636" s="1"/>
  <c r="L55" i="14687"/>
  <c r="L58" i="14687"/>
  <c r="F55" i="14687"/>
  <c r="E18" i="14636" a="1"/>
  <c r="E18" i="14636" s="1"/>
  <c r="F58" i="14687"/>
  <c r="I59" i="14687"/>
  <c r="L59" i="14687"/>
  <c r="K59" i="14687"/>
  <c r="N59" i="14687"/>
  <c r="E59" i="14687"/>
  <c r="B66" i="14645"/>
  <c r="N66" i="14645" s="1"/>
  <c r="N65" i="14645"/>
  <c r="O40" i="14634"/>
  <c r="A200" i="14703"/>
  <c r="A211" i="14703"/>
  <c r="A207" i="14703"/>
  <c r="A203" i="14703"/>
  <c r="A212" i="14703"/>
  <c r="A208" i="14703"/>
  <c r="A204" i="14703"/>
  <c r="A209" i="14703"/>
  <c r="A201" i="14703"/>
  <c r="A206" i="14703"/>
  <c r="A205" i="14703"/>
  <c r="A202" i="14703"/>
  <c r="A210" i="14703"/>
  <c r="A213" i="14703"/>
  <c r="A236" i="14703"/>
  <c r="A247" i="14703"/>
  <c r="A243" i="14703"/>
  <c r="A239" i="14703"/>
  <c r="A248" i="14703"/>
  <c r="A244" i="14703"/>
  <c r="A240" i="14703"/>
  <c r="A249" i="14703"/>
  <c r="A241" i="14703"/>
  <c r="A246" i="14703"/>
  <c r="A238" i="14703"/>
  <c r="A237" i="14703"/>
  <c r="A242" i="14703"/>
  <c r="A245" i="14703"/>
  <c r="A195" i="14703"/>
  <c r="A191" i="14703"/>
  <c r="A187" i="14703"/>
  <c r="A183" i="14703"/>
  <c r="A192" i="14703"/>
  <c r="A188" i="14703"/>
  <c r="A184" i="14703"/>
  <c r="A182" i="14703"/>
  <c r="A189" i="14703"/>
  <c r="A194" i="14703"/>
  <c r="A186" i="14703"/>
  <c r="A185" i="14703"/>
  <c r="A193" i="14703"/>
  <c r="A190" i="14703"/>
  <c r="N6" i="14671"/>
  <c r="N29" i="14667" s="1"/>
  <c r="A231" i="14700"/>
  <c r="A227" i="14700"/>
  <c r="A223" i="14700"/>
  <c r="A219" i="14700"/>
  <c r="A228" i="14700"/>
  <c r="A224" i="14700"/>
  <c r="A220" i="14700"/>
  <c r="A229" i="14700"/>
  <c r="A221" i="14700"/>
  <c r="A226" i="14700"/>
  <c r="A218" i="14700"/>
  <c r="A230" i="14700"/>
  <c r="A222" i="14700"/>
  <c r="A225" i="14700"/>
  <c r="A195" i="14700"/>
  <c r="A191" i="14700"/>
  <c r="A187" i="14700"/>
  <c r="A183" i="14700"/>
  <c r="A192" i="14700"/>
  <c r="A188" i="14700"/>
  <c r="A184" i="14700"/>
  <c r="A182" i="14700"/>
  <c r="A189" i="14700"/>
  <c r="A194" i="14700"/>
  <c r="A186" i="14700"/>
  <c r="A185" i="14700"/>
  <c r="A190" i="14700"/>
  <c r="A193" i="14700"/>
  <c r="A164" i="14700"/>
  <c r="A175" i="14700"/>
  <c r="A171" i="14700"/>
  <c r="A167" i="14700"/>
  <c r="A176" i="14700"/>
  <c r="A172" i="14700"/>
  <c r="A168" i="14700"/>
  <c r="A177" i="14700"/>
  <c r="A169" i="14700"/>
  <c r="A174" i="14700"/>
  <c r="A166" i="14700"/>
  <c r="A165" i="14700"/>
  <c r="A173" i="14700"/>
  <c r="A170" i="14700"/>
  <c r="A236" i="14700"/>
  <c r="A247" i="14700"/>
  <c r="A243" i="14700"/>
  <c r="A239" i="14700"/>
  <c r="A248" i="14700"/>
  <c r="A244" i="14700"/>
  <c r="A240" i="14700"/>
  <c r="A249" i="14700"/>
  <c r="A241" i="14700"/>
  <c r="A246" i="14700"/>
  <c r="A238" i="14700"/>
  <c r="A245" i="14700"/>
  <c r="A242" i="14700"/>
  <c r="A237" i="14700"/>
  <c r="D32" i="14661"/>
  <c r="E32" i="14661" s="1"/>
  <c r="D31" i="14661"/>
  <c r="E31" i="14661" s="1"/>
  <c r="D37" i="14661"/>
  <c r="E37" i="14661" s="1"/>
  <c r="D36" i="14661"/>
  <c r="H36" i="14661" s="1"/>
  <c r="D30" i="14661"/>
  <c r="F30" i="14661" s="1"/>
  <c r="O40" i="14674"/>
  <c r="O40" i="14675"/>
  <c r="B57" i="14689" a="1"/>
  <c r="B52" i="14689" a="1"/>
  <c r="B33" i="14689" a="1"/>
  <c r="B45" i="14689" a="1"/>
  <c r="B22" i="14689" a="1"/>
  <c r="B12" i="14689" a="1"/>
  <c r="C24" i="14684" a="1"/>
  <c r="D27" i="14661" a="1"/>
  <c r="B28" i="14689" a="1"/>
  <c r="D3" i="4128" a="1"/>
  <c r="B39" i="14689" a="1"/>
  <c r="C32" i="14684" a="1"/>
  <c r="C12" i="14629"/>
  <c r="D13" i="14629"/>
  <c r="G8" i="14629"/>
  <c r="G12" i="14629"/>
  <c r="I13" i="14629"/>
  <c r="J11" i="14629"/>
  <c r="L13" i="14629"/>
  <c r="H12" i="14629"/>
  <c r="B11" i="14629"/>
  <c r="D10" i="14629"/>
  <c r="H10" i="14629"/>
  <c r="F13" i="14629"/>
  <c r="K14" i="14629"/>
  <c r="E12" i="14629"/>
  <c r="H13" i="14629"/>
  <c r="B9" i="14629"/>
  <c r="H8" i="14629"/>
  <c r="K10" i="14629"/>
  <c r="H11" i="14629"/>
  <c r="B13" i="14629"/>
  <c r="B14" i="14629"/>
  <c r="B10" i="14629"/>
  <c r="E8" i="14629"/>
  <c r="F8" i="14629"/>
  <c r="F10" i="14629"/>
  <c r="F12" i="14629"/>
  <c r="F14" i="14629"/>
  <c r="G11" i="14629"/>
  <c r="G13" i="14629"/>
  <c r="G10" i="14629"/>
  <c r="G14" i="14629"/>
  <c r="H9" i="14629"/>
  <c r="K9" i="14629"/>
  <c r="C11" i="14629"/>
  <c r="G9" i="14629"/>
  <c r="L8" i="14629"/>
  <c r="L10" i="14629"/>
  <c r="E11" i="14629"/>
  <c r="E14" i="14629"/>
  <c r="I12" i="14629"/>
  <c r="M14" i="14629"/>
  <c r="M13" i="14629"/>
  <c r="M12" i="14629"/>
  <c r="M11" i="14629"/>
  <c r="M10" i="14629"/>
  <c r="B12" i="14629"/>
  <c r="B8" i="14629"/>
  <c r="F11" i="14629"/>
  <c r="L12" i="14629"/>
  <c r="L11" i="14629"/>
  <c r="K11" i="14629"/>
  <c r="K8" i="14629"/>
  <c r="C8" i="14629"/>
  <c r="C9" i="14629"/>
  <c r="J8" i="14629"/>
  <c r="J13" i="14629"/>
  <c r="I14" i="14629"/>
  <c r="D8" i="14629"/>
  <c r="I8" i="14629"/>
  <c r="D12" i="14629"/>
  <c r="E13" i="14629"/>
  <c r="D11" i="14629"/>
  <c r="I10" i="14629"/>
  <c r="L14" i="14629"/>
  <c r="K12" i="14629"/>
  <c r="C14" i="14629"/>
  <c r="C10" i="14629"/>
  <c r="J14" i="14629"/>
  <c r="M8" i="14629"/>
  <c r="F9" i="14629"/>
  <c r="D14" i="14629"/>
  <c r="J9" i="14629"/>
  <c r="H14" i="14629"/>
  <c r="L9" i="14629"/>
  <c r="K13" i="14629"/>
  <c r="C13" i="14629"/>
  <c r="J10" i="14629"/>
  <c r="I11" i="14629"/>
  <c r="J12" i="14629"/>
  <c r="M9" i="14629"/>
  <c r="E10" i="14629"/>
  <c r="E9" i="14629"/>
  <c r="D9" i="14629"/>
  <c r="I9" i="14629"/>
  <c r="B23" i="14629" a="1"/>
  <c r="O39" i="14687"/>
  <c r="N18" i="14629"/>
  <c r="D78" i="14687"/>
  <c r="H78" i="14687"/>
  <c r="L78" i="14687"/>
  <c r="F78" i="14687"/>
  <c r="K78" i="14687"/>
  <c r="G78" i="14687"/>
  <c r="C18" i="14672" a="1"/>
  <c r="C18" i="14672" s="1"/>
  <c r="D77" i="14687"/>
  <c r="D74" i="14687"/>
  <c r="B7" i="14672" a="1"/>
  <c r="C80" i="14687" a="1"/>
  <c r="C74" i="14687"/>
  <c r="B18" i="14672" a="1"/>
  <c r="B18" i="14672" s="1"/>
  <c r="O66" i="14687"/>
  <c r="C77" i="14687"/>
  <c r="D18" i="14672" a="1"/>
  <c r="D18" i="14672" s="1"/>
  <c r="E74" i="14687"/>
  <c r="E77" i="14687"/>
  <c r="N74" i="14687"/>
  <c r="M18" i="14672" a="1"/>
  <c r="M18" i="14672" s="1"/>
  <c r="N77" i="14687"/>
  <c r="J18" i="14672" a="1"/>
  <c r="J18" i="14672" s="1"/>
  <c r="K74" i="14687"/>
  <c r="K77" i="14687"/>
  <c r="E18" i="14672" a="1"/>
  <c r="E18" i="14672" s="1"/>
  <c r="F74" i="14687"/>
  <c r="F77" i="14687"/>
  <c r="O70" i="14687"/>
  <c r="O54" i="14687"/>
  <c r="O51" i="14687"/>
  <c r="J5" i="14692"/>
  <c r="B23" i="11" s="1"/>
  <c r="C44" i="14690"/>
  <c r="H44" i="14690"/>
  <c r="B44" i="14690"/>
  <c r="D44" i="14690"/>
  <c r="O40" i="14687"/>
  <c r="F25" i="14624"/>
  <c r="F27" i="14624" s="1"/>
  <c r="I25" i="14624"/>
  <c r="I27" i="14624" s="1"/>
  <c r="J25" i="14624"/>
  <c r="J27" i="14624" s="1"/>
  <c r="N11" i="14645"/>
  <c r="B12" i="14645"/>
  <c r="N12" i="14645" s="1"/>
  <c r="W6" i="14655"/>
  <c r="H76" i="14665"/>
  <c r="D34" i="14652"/>
  <c r="D38" i="14652"/>
  <c r="D35" i="14652"/>
  <c r="D33" i="14652"/>
  <c r="D37" i="14652"/>
  <c r="D40" i="14652"/>
  <c r="D39" i="14652"/>
  <c r="D36" i="14652"/>
  <c r="B5" i="14682"/>
  <c r="B9" i="14682"/>
  <c r="B12" i="14682"/>
  <c r="B6" i="14682"/>
  <c r="B10" i="14682"/>
  <c r="B11" i="14682"/>
  <c r="B8" i="14682"/>
  <c r="B7" i="14682"/>
  <c r="O72" i="14687"/>
  <c r="O67" i="14687"/>
  <c r="O71" i="14687"/>
  <c r="G18" i="14636" a="1"/>
  <c r="G18" i="14636" s="1"/>
  <c r="H58" i="14687"/>
  <c r="H55" i="14687"/>
  <c r="H18" i="14636" a="1"/>
  <c r="H18" i="14636" s="1"/>
  <c r="I55" i="14687"/>
  <c r="I58" i="14687"/>
  <c r="I18" i="14636" a="1"/>
  <c r="I18" i="14636" s="1"/>
  <c r="J55" i="14687"/>
  <c r="J58" i="14687"/>
  <c r="J18" i="14636" a="1"/>
  <c r="J18" i="14636" s="1"/>
  <c r="K55" i="14687"/>
  <c r="K58" i="14687"/>
  <c r="F18" i="14636" a="1"/>
  <c r="F18" i="14636" s="1"/>
  <c r="G55" i="14687"/>
  <c r="G58" i="14687"/>
  <c r="O49" i="14687"/>
  <c r="C59" i="14687"/>
  <c r="M59" i="14687"/>
  <c r="F59" i="14687"/>
  <c r="D59" i="14687"/>
  <c r="J59" i="14687"/>
  <c r="G59" i="14687"/>
  <c r="L36" i="14706"/>
  <c r="O40" i="14628"/>
  <c r="A128" i="14703"/>
  <c r="A140" i="14703"/>
  <c r="A138" i="14703"/>
  <c r="A136" i="14703"/>
  <c r="A134" i="14703"/>
  <c r="A132" i="14703"/>
  <c r="A130" i="14703"/>
  <c r="A139" i="14703"/>
  <c r="A135" i="14703"/>
  <c r="A131" i="14703"/>
  <c r="A141" i="14703"/>
  <c r="A133" i="14703"/>
  <c r="A137" i="14703"/>
  <c r="A129" i="14703"/>
  <c r="A164" i="14703"/>
  <c r="A175" i="14703"/>
  <c r="A171" i="14703"/>
  <c r="A167" i="14703"/>
  <c r="A176" i="14703"/>
  <c r="A172" i="14703"/>
  <c r="A168" i="14703"/>
  <c r="A177" i="14703"/>
  <c r="A169" i="14703"/>
  <c r="A174" i="14703"/>
  <c r="A166" i="14703"/>
  <c r="A173" i="14703"/>
  <c r="A170" i="14703"/>
  <c r="A165" i="14703"/>
  <c r="A159" i="14703"/>
  <c r="A155" i="14703"/>
  <c r="A151" i="14703"/>
  <c r="A147" i="14703"/>
  <c r="A156" i="14703"/>
  <c r="A152" i="14703"/>
  <c r="A148" i="14703"/>
  <c r="A157" i="14703"/>
  <c r="A149" i="14703"/>
  <c r="A154" i="14703"/>
  <c r="A153" i="14703"/>
  <c r="A150" i="14703"/>
  <c r="A146" i="14703"/>
  <c r="A158" i="14703"/>
  <c r="A231" i="14703"/>
  <c r="A227" i="14703"/>
  <c r="A223" i="14703"/>
  <c r="A219" i="14703"/>
  <c r="A228" i="14703"/>
  <c r="A224" i="14703"/>
  <c r="A220" i="14703"/>
  <c r="A229" i="14703"/>
  <c r="A221" i="14703"/>
  <c r="A226" i="14703"/>
  <c r="A218" i="14703"/>
  <c r="A230" i="14703"/>
  <c r="A225" i="14703"/>
  <c r="A222" i="14703"/>
  <c r="A159" i="14700"/>
  <c r="A155" i="14700"/>
  <c r="A151" i="14700"/>
  <c r="A147" i="14700"/>
  <c r="A156" i="14700"/>
  <c r="A152" i="14700"/>
  <c r="A148" i="14700"/>
  <c r="A157" i="14700"/>
  <c r="A149" i="14700"/>
  <c r="A154" i="14700"/>
  <c r="A153" i="14700"/>
  <c r="A150" i="14700"/>
  <c r="A158" i="14700"/>
  <c r="A146" i="14700"/>
  <c r="A128" i="14700"/>
  <c r="A140" i="14700"/>
  <c r="A138" i="14700"/>
  <c r="A136" i="14700"/>
  <c r="A134" i="14700"/>
  <c r="A132" i="14700"/>
  <c r="A130" i="14700"/>
  <c r="A139" i="14700"/>
  <c r="A135" i="14700"/>
  <c r="A131" i="14700"/>
  <c r="A137" i="14700"/>
  <c r="A129" i="14700"/>
  <c r="A141" i="14700"/>
  <c r="A133" i="14700"/>
  <c r="A200" i="14700"/>
  <c r="A211" i="14700"/>
  <c r="A207" i="14700"/>
  <c r="A203" i="14700"/>
  <c r="A212" i="14700"/>
  <c r="A208" i="14700"/>
  <c r="A204" i="14700"/>
  <c r="A209" i="14700"/>
  <c r="A201" i="14700"/>
  <c r="A206" i="14700"/>
  <c r="A213" i="14700"/>
  <c r="A210" i="14700"/>
  <c r="A205" i="14700"/>
  <c r="A202" i="14700"/>
  <c r="B16" i="8" a="1"/>
  <c r="N20" i="14624"/>
  <c r="B16" i="14617" s="1"/>
  <c r="D6" i="14661"/>
  <c r="D33" i="14661"/>
  <c r="G33" i="14661" s="1"/>
  <c r="D35" i="14661"/>
  <c r="G35" i="14661" s="1"/>
  <c r="D34" i="14661"/>
  <c r="E34" i="14661" s="1"/>
  <c r="F6" i="14667"/>
  <c r="F27" i="14667"/>
  <c r="H27" i="14667" s="1"/>
  <c r="J27" i="14667" s="1"/>
  <c r="L27" i="14667" s="1"/>
  <c r="N27" i="14667" s="1"/>
  <c r="N7" i="14629"/>
  <c r="O36" i="14687"/>
  <c r="D32" i="4128" s="1"/>
  <c r="I42" i="14687"/>
  <c r="L42" i="14687"/>
  <c r="G42" i="14687"/>
  <c r="C42" i="14687"/>
  <c r="D42" i="14687"/>
  <c r="M42" i="14687"/>
  <c r="F42" i="14687"/>
  <c r="H42" i="14687"/>
  <c r="N42" i="14687"/>
  <c r="J42" i="14687"/>
  <c r="K42" i="14687"/>
  <c r="E42" i="14687"/>
  <c r="O69" i="14687"/>
  <c r="N78" i="14687"/>
  <c r="E78" i="14687"/>
  <c r="J78" i="14687"/>
  <c r="M78" i="14687"/>
  <c r="I78" i="14687"/>
  <c r="C78" i="14687"/>
  <c r="O68" i="14687"/>
  <c r="L18" i="14672" a="1"/>
  <c r="L18" i="14672" s="1"/>
  <c r="M74" i="14687"/>
  <c r="M77" i="14687"/>
  <c r="G74" i="14687"/>
  <c r="F18" i="14672" a="1"/>
  <c r="F18" i="14672" s="1"/>
  <c r="G77" i="14687"/>
  <c r="H18" i="14672" a="1"/>
  <c r="H18" i="14672" s="1"/>
  <c r="I77" i="14687"/>
  <c r="I74" i="14687"/>
  <c r="K18" i="14672" a="1"/>
  <c r="K18" i="14672" s="1"/>
  <c r="L77" i="14687"/>
  <c r="L74" i="14687"/>
  <c r="J77" i="14687"/>
  <c r="I18" i="14672" a="1"/>
  <c r="I18" i="14672" s="1"/>
  <c r="J74" i="14687"/>
  <c r="G18" i="14672" a="1"/>
  <c r="G18" i="14672" s="1"/>
  <c r="H77" i="14687"/>
  <c r="H74" i="14687"/>
  <c r="O50" i="14687"/>
  <c r="O53" i="14687"/>
  <c r="E17" i="14692" a="1"/>
  <c r="B17" i="14695" a="1"/>
  <c r="B5" i="8" a="1"/>
  <c r="B9" i="14681"/>
  <c r="N9" i="14681" s="1"/>
  <c r="C23" i="14657" s="1"/>
  <c r="N25" i="7"/>
  <c r="B19" i="14683" a="1"/>
  <c r="C40" i="14643" a="1"/>
  <c r="B32" i="7" a="1"/>
  <c r="L36" i="14628"/>
  <c r="F31" i="14628"/>
  <c r="D32" i="14628"/>
  <c r="M38" i="14628"/>
  <c r="I34" i="14628"/>
  <c r="N37" i="14628"/>
  <c r="L34" i="14628"/>
  <c r="I36" i="14628"/>
  <c r="G37" i="14628"/>
  <c r="L31" i="14628"/>
  <c r="J34" i="14628"/>
  <c r="L32" i="14628"/>
  <c r="J32" i="14628"/>
  <c r="D38" i="14628"/>
  <c r="C38" i="14628"/>
  <c r="F33" i="14628"/>
  <c r="F38" i="14628"/>
  <c r="I37" i="14628"/>
  <c r="L35" i="14628"/>
  <c r="H31" i="14628"/>
  <c r="J35" i="14628"/>
  <c r="F36" i="14628"/>
  <c r="H37" i="14628"/>
  <c r="H34" i="14628"/>
  <c r="I38" i="14628"/>
  <c r="C36" i="14628"/>
  <c r="F35" i="14628"/>
  <c r="N33" i="14628"/>
  <c r="G38" i="14628"/>
  <c r="E35" i="14628"/>
  <c r="M36" i="14628"/>
  <c r="I35" i="14628"/>
  <c r="I32" i="14628"/>
  <c r="G32" i="14628"/>
  <c r="M37" i="14628"/>
  <c r="J37" i="14628"/>
  <c r="M35" i="14628"/>
  <c r="K37" i="14628"/>
  <c r="C37" i="14628"/>
  <c r="L38" i="14628"/>
  <c r="L33" i="14628"/>
  <c r="G35" i="14628"/>
  <c r="C33" i="14628"/>
  <c r="H32" i="14628"/>
  <c r="I31" i="14628"/>
  <c r="H38" i="14628"/>
  <c r="D34" i="14628"/>
  <c r="N32" i="14628"/>
  <c r="D35" i="14628"/>
  <c r="G33" i="14628"/>
  <c r="E34" i="14628"/>
  <c r="J31" i="14628"/>
  <c r="G31" i="14628"/>
  <c r="E32" i="14628"/>
  <c r="C35" i="14628"/>
  <c r="N35" i="14628"/>
  <c r="D31" i="14628"/>
  <c r="K38" i="14628"/>
  <c r="H33" i="14628"/>
  <c r="N38" i="14628"/>
  <c r="K33" i="14628"/>
  <c r="D33" i="14628"/>
  <c r="N31" i="14628"/>
  <c r="L37" i="14628"/>
  <c r="J33" i="14628"/>
  <c r="J36" i="14628"/>
  <c r="K32" i="14628"/>
  <c r="I33" i="14628"/>
  <c r="F32" i="14628"/>
  <c r="K34" i="14628"/>
  <c r="K36" i="14628"/>
  <c r="E33" i="14628"/>
  <c r="C31" i="14628"/>
  <c r="C32" i="14628"/>
  <c r="F37" i="14628"/>
  <c r="C34" i="14628"/>
  <c r="E37" i="14628"/>
  <c r="H35" i="14628"/>
  <c r="E31" i="14628"/>
  <c r="E38" i="14628"/>
  <c r="D36" i="14628"/>
  <c r="K35" i="14628"/>
  <c r="M32" i="14628"/>
  <c r="H36" i="14628"/>
  <c r="N34" i="14628"/>
  <c r="D37" i="14628"/>
  <c r="M34" i="14628"/>
  <c r="J38" i="14628"/>
  <c r="M33" i="14628"/>
  <c r="N36" i="14628"/>
  <c r="E36" i="14628"/>
  <c r="G36" i="14628"/>
  <c r="G34" i="14628"/>
  <c r="M31" i="14628"/>
  <c r="K31" i="14628"/>
  <c r="F34" i="14628"/>
  <c r="I12" i="14623"/>
  <c r="H10" i="14623"/>
  <c r="I7" i="14623"/>
  <c r="H11" i="14623"/>
  <c r="I10" i="14623"/>
  <c r="F8" i="14623"/>
  <c r="K9" i="14623"/>
  <c r="H8" i="14623"/>
  <c r="G9" i="14623"/>
  <c r="E11" i="14623"/>
  <c r="L8" i="14623"/>
  <c r="D13" i="14623"/>
  <c r="C10" i="14623"/>
  <c r="D7" i="14623"/>
  <c r="B9" i="14623"/>
  <c r="L12" i="14623"/>
  <c r="M11" i="14623"/>
  <c r="I9" i="14623"/>
  <c r="I11" i="14623"/>
  <c r="C7" i="14623"/>
  <c r="M8" i="14623"/>
  <c r="E7" i="14623"/>
  <c r="M12" i="14623"/>
  <c r="G12" i="14623"/>
  <c r="M10" i="14623"/>
  <c r="E13" i="14623"/>
  <c r="F7" i="14623"/>
  <c r="J9" i="14623"/>
  <c r="F14" i="14623"/>
  <c r="M7" i="14623"/>
  <c r="G8" i="14623"/>
  <c r="K12" i="14623"/>
  <c r="K14" i="14623"/>
  <c r="E14" i="14623"/>
  <c r="C9" i="14623"/>
  <c r="J8" i="14623"/>
  <c r="D8" i="14623"/>
  <c r="D9" i="14623"/>
  <c r="B11" i="14623"/>
  <c r="G10" i="14623"/>
  <c r="H9" i="14623"/>
  <c r="B8" i="14623"/>
  <c r="L10" i="14623"/>
  <c r="C13" i="14623"/>
  <c r="G13" i="14623"/>
  <c r="K11" i="14623"/>
  <c r="L11" i="14623"/>
  <c r="D14" i="14623"/>
  <c r="C11" i="14623"/>
  <c r="I14" i="14623"/>
  <c r="L7" i="14623"/>
  <c r="J10" i="14623"/>
  <c r="J11" i="14623"/>
  <c r="B13" i="14623"/>
  <c r="D10" i="14623"/>
  <c r="K8" i="14623"/>
  <c r="L9" i="14623"/>
  <c r="I8" i="14623"/>
  <c r="M13" i="14623"/>
  <c r="C14" i="14623"/>
  <c r="E10" i="14623"/>
  <c r="H12" i="14623"/>
  <c r="G14" i="14623"/>
  <c r="F9" i="14623"/>
  <c r="C8" i="14623"/>
  <c r="B10" i="14623"/>
  <c r="F11" i="14623"/>
  <c r="C12" i="14623"/>
  <c r="K10" i="14623"/>
  <c r="F13" i="14623"/>
  <c r="M9" i="14623"/>
  <c r="J14" i="14623"/>
  <c r="M14" i="14623"/>
  <c r="J12" i="14623"/>
  <c r="B7" i="14623"/>
  <c r="E12" i="14623"/>
  <c r="H7" i="14623"/>
  <c r="D11" i="14623"/>
  <c r="I13" i="14623"/>
  <c r="B14" i="14623"/>
  <c r="B12" i="14623"/>
  <c r="J13" i="14623"/>
  <c r="K7" i="14623"/>
  <c r="E9" i="14623"/>
  <c r="H14" i="14623"/>
  <c r="L14" i="14623"/>
  <c r="D12" i="14623"/>
  <c r="F12" i="14623"/>
  <c r="E8" i="14623"/>
  <c r="G11" i="14623"/>
  <c r="F10" i="14623"/>
  <c r="G7" i="14623"/>
  <c r="J7" i="14623"/>
  <c r="K13" i="14623"/>
  <c r="H13" i="14623"/>
  <c r="L13" i="14623"/>
  <c r="I49" i="14653" l="1"/>
  <c r="I62" i="14653" s="1"/>
  <c r="I75" i="14653" s="1"/>
  <c r="G49" i="14653"/>
  <c r="G62" i="14653" s="1"/>
  <c r="G75" i="14653" s="1"/>
  <c r="N48" i="14653"/>
  <c r="F61" i="14653"/>
  <c r="F74" i="14653" s="1"/>
  <c r="O50" i="14653"/>
  <c r="O63" i="14653" s="1"/>
  <c r="L37" i="14653"/>
  <c r="G37" i="14653"/>
  <c r="G50" i="14653" s="1"/>
  <c r="G63" i="14653" s="1"/>
  <c r="G76" i="14653" s="1"/>
  <c r="M37" i="14653"/>
  <c r="M50" i="14653" s="1"/>
  <c r="M63" i="14653" s="1"/>
  <c r="M76" i="14653" s="1"/>
  <c r="B37" i="14653"/>
  <c r="B50" i="14653" s="1"/>
  <c r="B63" i="14653" s="1"/>
  <c r="B76" i="14653" s="1"/>
  <c r="I37" i="14653"/>
  <c r="I50" i="14653" s="1"/>
  <c r="I63" i="14653" s="1"/>
  <c r="I76" i="14653" s="1"/>
  <c r="C37" i="14653"/>
  <c r="C50" i="14653" s="1"/>
  <c r="C63" i="14653" s="1"/>
  <c r="C76" i="14653" s="1"/>
  <c r="D37" i="14653"/>
  <c r="D50" i="14653" s="1"/>
  <c r="D63" i="14653" s="1"/>
  <c r="D76" i="14653" s="1"/>
  <c r="E37" i="14653"/>
  <c r="E50" i="14653" s="1"/>
  <c r="E63" i="14653" s="1"/>
  <c r="E76" i="14653" s="1"/>
  <c r="F37" i="14653"/>
  <c r="F50" i="14653" s="1"/>
  <c r="F63" i="14653" s="1"/>
  <c r="F76" i="14653" s="1"/>
  <c r="J37" i="14653"/>
  <c r="J50" i="14653" s="1"/>
  <c r="J63" i="14653" s="1"/>
  <c r="J76" i="14653" s="1"/>
  <c r="K37" i="14653"/>
  <c r="H37" i="14653"/>
  <c r="H50" i="14653" s="1"/>
  <c r="H63" i="14653" s="1"/>
  <c r="H76" i="14653" s="1"/>
  <c r="N36" i="14653"/>
  <c r="K61" i="14653"/>
  <c r="K74" i="14653" s="1"/>
  <c r="L61" i="14653"/>
  <c r="L74" i="14653" s="1"/>
  <c r="J61" i="14653"/>
  <c r="J74" i="14653" s="1"/>
  <c r="M61" i="14653"/>
  <c r="M74" i="14653" s="1"/>
  <c r="G25" i="14624"/>
  <c r="G27" i="14624" s="1"/>
  <c r="B25" i="14624"/>
  <c r="N25" i="14624" s="1"/>
  <c r="E25" i="14624"/>
  <c r="E27" i="14624" s="1"/>
  <c r="N24" i="14624"/>
  <c r="K25" i="14624"/>
  <c r="K27" i="14624" s="1"/>
  <c r="N23" i="14624"/>
  <c r="B17" i="14694"/>
  <c r="C17" i="14694"/>
  <c r="H17" i="14694"/>
  <c r="F17" i="14694"/>
  <c r="E17" i="14694"/>
  <c r="G17" i="14694"/>
  <c r="D17" i="14694"/>
  <c r="G44" i="14690"/>
  <c r="F15" i="14629"/>
  <c r="N49" i="14653"/>
  <c r="F44" i="14690"/>
  <c r="J15" i="14629"/>
  <c r="H15" i="14629"/>
  <c r="B15" i="14629"/>
  <c r="M15" i="14629"/>
  <c r="G32" i="14661"/>
  <c r="H35" i="14661"/>
  <c r="F36" i="14661"/>
  <c r="F37" i="14661"/>
  <c r="G37" i="14661"/>
  <c r="F32" i="14661"/>
  <c r="E35" i="14661"/>
  <c r="I19" i="14629" a="1"/>
  <c r="I19" i="14629" s="1"/>
  <c r="I20" i="14629" s="1"/>
  <c r="E19" i="14629" a="1"/>
  <c r="E19" i="14629" s="1"/>
  <c r="E20" i="14629" s="1"/>
  <c r="M19" i="14629" a="1"/>
  <c r="M19" i="14629" s="1"/>
  <c r="M20" i="14629" s="1"/>
  <c r="L19" i="14629" a="1"/>
  <c r="L19" i="14629" s="1"/>
  <c r="L20" i="14629" s="1"/>
  <c r="J19" i="14629" a="1"/>
  <c r="J19" i="14629" s="1"/>
  <c r="J20" i="14629" s="1"/>
  <c r="F19" i="14629" a="1"/>
  <c r="F19" i="14629" s="1"/>
  <c r="F20" i="14629" s="1"/>
  <c r="D15" i="14629"/>
  <c r="K15" i="14629"/>
  <c r="L15" i="14629"/>
  <c r="H19" i="14629" a="1"/>
  <c r="H19" i="14629" s="1"/>
  <c r="H20" i="14629" s="1"/>
  <c r="G15" i="14629"/>
  <c r="G30" i="14661"/>
  <c r="H37" i="14661"/>
  <c r="H32" i="14661"/>
  <c r="I15" i="14629"/>
  <c r="E13" i="14652"/>
  <c r="G12" i="14652"/>
  <c r="H19" i="14652" a="1"/>
  <c r="F35" i="14661"/>
  <c r="G36" i="14661"/>
  <c r="B8" i="14683"/>
  <c r="C10" i="14683"/>
  <c r="L25" i="14630"/>
  <c r="L18" i="14681" s="1"/>
  <c r="C8" i="14683"/>
  <c r="B9" i="14683"/>
  <c r="C12" i="14683"/>
  <c r="C11" i="14683"/>
  <c r="N11" i="14703"/>
  <c r="N18" i="14630"/>
  <c r="B40" i="7" a="1"/>
  <c r="E40" i="7" s="1"/>
  <c r="C9" i="14657"/>
  <c r="N19" i="14630"/>
  <c r="C31" i="14634" a="1"/>
  <c r="N36" i="14634" s="1"/>
  <c r="K25" i="14630"/>
  <c r="K18" i="14681" s="1"/>
  <c r="N23" i="14630"/>
  <c r="M25" i="14630"/>
  <c r="M18" i="14681" s="1"/>
  <c r="H25" i="14630"/>
  <c r="H18" i="14681" s="1"/>
  <c r="N12" i="14703"/>
  <c r="B20" i="14703" a="1"/>
  <c r="J23" i="14703" s="1"/>
  <c r="N10" i="14703"/>
  <c r="C25" i="14630"/>
  <c r="C18" i="14681" s="1"/>
  <c r="D25" i="14630"/>
  <c r="D18" i="14681" s="1"/>
  <c r="B25" i="14630"/>
  <c r="B18" i="14681" s="1"/>
  <c r="E25" i="14630"/>
  <c r="E18" i="14681" s="1"/>
  <c r="N21" i="14630"/>
  <c r="N13" i="14698"/>
  <c r="N15" i="14703"/>
  <c r="N13" i="14703"/>
  <c r="N8" i="14703"/>
  <c r="N9" i="14703"/>
  <c r="N14" i="14703"/>
  <c r="F25" i="14630"/>
  <c r="F18" i="14681" s="1"/>
  <c r="N24" i="14630"/>
  <c r="J25" i="14630"/>
  <c r="J18" i="14681" s="1"/>
  <c r="N20" i="14630"/>
  <c r="N17" i="14630"/>
  <c r="G25" i="14630"/>
  <c r="G18" i="14681" s="1"/>
  <c r="N22" i="14630"/>
  <c r="I25" i="14630"/>
  <c r="I18" i="14681" s="1"/>
  <c r="B7" i="14632" a="1"/>
  <c r="G11" i="14632" s="1"/>
  <c r="B6" i="14683"/>
  <c r="B7" i="14683"/>
  <c r="C9" i="14683"/>
  <c r="C7" i="14683"/>
  <c r="C13" i="14683"/>
  <c r="N12" i="14698"/>
  <c r="N14" i="14698"/>
  <c r="N15" i="14698"/>
  <c r="N10" i="14698"/>
  <c r="N9" i="14698"/>
  <c r="N11" i="14698"/>
  <c r="B20" i="14698" a="1"/>
  <c r="F23" i="14698" s="1"/>
  <c r="N8" i="14698"/>
  <c r="B11" i="14683"/>
  <c r="B12" i="14683"/>
  <c r="B10" i="14683"/>
  <c r="C17" i="14695"/>
  <c r="G17" i="14695"/>
  <c r="H17" i="14695"/>
  <c r="B17" i="14695"/>
  <c r="D17" i="14695"/>
  <c r="E17" i="14695"/>
  <c r="F17" i="14695"/>
  <c r="G34" i="14661"/>
  <c r="H34" i="14661"/>
  <c r="E33" i="14661"/>
  <c r="F33" i="14661"/>
  <c r="N36" i="14706"/>
  <c r="O59" i="14687"/>
  <c r="X6" i="14655"/>
  <c r="B27" i="14624"/>
  <c r="O74" i="14687"/>
  <c r="F32" i="4128" s="1"/>
  <c r="L11" i="14672"/>
  <c r="B8" i="14672"/>
  <c r="I12" i="14672"/>
  <c r="L12" i="14672"/>
  <c r="G12" i="14672"/>
  <c r="B13" i="14672"/>
  <c r="D13" i="14672"/>
  <c r="J13" i="14672"/>
  <c r="L13" i="14672"/>
  <c r="M9" i="14672"/>
  <c r="B14" i="14672"/>
  <c r="G14" i="14672"/>
  <c r="F14" i="14672"/>
  <c r="F10" i="14672"/>
  <c r="H10" i="14672"/>
  <c r="C7" i="14672"/>
  <c r="D10" i="14672"/>
  <c r="D14" i="14672"/>
  <c r="E12" i="14672"/>
  <c r="G7" i="14672"/>
  <c r="H12" i="14672"/>
  <c r="I7" i="14672"/>
  <c r="J12" i="14672"/>
  <c r="L8" i="14672"/>
  <c r="M12" i="14672"/>
  <c r="B7" i="14672"/>
  <c r="D7" i="14672"/>
  <c r="E8" i="14672"/>
  <c r="E13" i="14672"/>
  <c r="H11" i="14672"/>
  <c r="J7" i="14672"/>
  <c r="J11" i="14672"/>
  <c r="M11" i="14672"/>
  <c r="I8" i="14672"/>
  <c r="F13" i="14672"/>
  <c r="F9" i="14672"/>
  <c r="E9" i="14672"/>
  <c r="C14" i="14672"/>
  <c r="J14" i="14672"/>
  <c r="I10" i="14672"/>
  <c r="C10" i="14672"/>
  <c r="D12" i="14672"/>
  <c r="E14" i="14672"/>
  <c r="H14" i="14672"/>
  <c r="K7" i="14672"/>
  <c r="M14" i="14672"/>
  <c r="D9" i="14672"/>
  <c r="G11" i="14672"/>
  <c r="J9" i="14672"/>
  <c r="M13" i="14672"/>
  <c r="H13" i="14672"/>
  <c r="L9" i="14672"/>
  <c r="K14" i="14672"/>
  <c r="K10" i="14672"/>
  <c r="E10" i="14672"/>
  <c r="I14" i="14672"/>
  <c r="B11" i="14672"/>
  <c r="I13" i="14672"/>
  <c r="K9" i="14672"/>
  <c r="B12" i="14672"/>
  <c r="I9" i="14672"/>
  <c r="K11" i="14672"/>
  <c r="K12" i="14672"/>
  <c r="K13" i="14672"/>
  <c r="G13" i="14672"/>
  <c r="C11" i="14672"/>
  <c r="C13" i="14672"/>
  <c r="G8" i="14672"/>
  <c r="L10" i="14672"/>
  <c r="F11" i="14672"/>
  <c r="H9" i="14672"/>
  <c r="M10" i="14672"/>
  <c r="D8" i="14672"/>
  <c r="M7" i="14672"/>
  <c r="M8" i="14672"/>
  <c r="B9" i="14672"/>
  <c r="B10" i="14672"/>
  <c r="J8" i="14672"/>
  <c r="J10" i="14672"/>
  <c r="F12" i="14672"/>
  <c r="C12" i="14672"/>
  <c r="C8" i="14672"/>
  <c r="K8" i="14672"/>
  <c r="L7" i="14672"/>
  <c r="F7" i="14672"/>
  <c r="E7" i="14672"/>
  <c r="E11" i="14672"/>
  <c r="D11" i="14672"/>
  <c r="F8" i="14672"/>
  <c r="C9" i="14672"/>
  <c r="G9" i="14672"/>
  <c r="I11" i="14672"/>
  <c r="H8" i="14672"/>
  <c r="G10" i="14672"/>
  <c r="L14" i="14672"/>
  <c r="H7" i="14672"/>
  <c r="C19" i="14629" a="1"/>
  <c r="C19" i="14629" s="1"/>
  <c r="C20" i="14629" s="1"/>
  <c r="N12" i="14629"/>
  <c r="N10" i="14629"/>
  <c r="N13" i="14629"/>
  <c r="B19" i="14629" a="1"/>
  <c r="B19" i="14629" s="1"/>
  <c r="N9" i="14629"/>
  <c r="E39" i="14689"/>
  <c r="D39" i="14689"/>
  <c r="F39" i="14689"/>
  <c r="C39" i="14689"/>
  <c r="B39" i="14689"/>
  <c r="C28" i="14689"/>
  <c r="D28" i="14689"/>
  <c r="F28" i="14689"/>
  <c r="B28" i="14689"/>
  <c r="E28" i="14689"/>
  <c r="F24" i="14684"/>
  <c r="G24" i="14684"/>
  <c r="E24" i="14684"/>
  <c r="D24" i="14684"/>
  <c r="C24" i="14684"/>
  <c r="D22" i="14689"/>
  <c r="B22" i="14689"/>
  <c r="C22" i="14689"/>
  <c r="F22" i="14689"/>
  <c r="E22" i="14689"/>
  <c r="E33" i="14689"/>
  <c r="F33" i="14689"/>
  <c r="D33" i="14689"/>
  <c r="C33" i="14689"/>
  <c r="B33" i="14689"/>
  <c r="E57" i="14689"/>
  <c r="F57" i="14689"/>
  <c r="D57" i="14689"/>
  <c r="C57" i="14689"/>
  <c r="B57" i="14689"/>
  <c r="F31" i="14661"/>
  <c r="H31" i="14661"/>
  <c r="B23" i="14636" a="1"/>
  <c r="O58" i="14687"/>
  <c r="O55" i="14687"/>
  <c r="E32" i="4128" s="1"/>
  <c r="F12" i="14636"/>
  <c r="M12" i="14636"/>
  <c r="K11" i="14636"/>
  <c r="I11" i="14636"/>
  <c r="M7" i="14636"/>
  <c r="H12" i="14636"/>
  <c r="J12" i="14636"/>
  <c r="G8" i="14636"/>
  <c r="J8" i="14636"/>
  <c r="C11" i="14636"/>
  <c r="D12" i="14636"/>
  <c r="G11" i="14636"/>
  <c r="J11" i="14636"/>
  <c r="C12" i="14636"/>
  <c r="E8" i="14636"/>
  <c r="H7" i="14636"/>
  <c r="I8" i="14636"/>
  <c r="B8" i="14636"/>
  <c r="B11" i="14636"/>
  <c r="D8" i="14636"/>
  <c r="I7" i="14636"/>
  <c r="D11" i="14636"/>
  <c r="H11" i="14636"/>
  <c r="B10" i="14636"/>
  <c r="C9" i="14636"/>
  <c r="D10" i="14636"/>
  <c r="E9" i="14636"/>
  <c r="F10" i="14636"/>
  <c r="G13" i="14636"/>
  <c r="H13" i="14636"/>
  <c r="I13" i="14636"/>
  <c r="J13" i="14636"/>
  <c r="K13" i="14636"/>
  <c r="M13" i="14636"/>
  <c r="B13" i="14636"/>
  <c r="D13" i="14636"/>
  <c r="F9" i="14636"/>
  <c r="H9" i="14636"/>
  <c r="I10" i="14636"/>
  <c r="I14" i="14636"/>
  <c r="M10" i="14636"/>
  <c r="I12" i="14636"/>
  <c r="C8" i="14636"/>
  <c r="E11" i="14636"/>
  <c r="E12" i="14636"/>
  <c r="C13" i="14636"/>
  <c r="E13" i="14636"/>
  <c r="H10" i="14636"/>
  <c r="J10" i="14636"/>
  <c r="M9" i="14636"/>
  <c r="D9" i="14636"/>
  <c r="E10" i="14636"/>
  <c r="J14" i="14636"/>
  <c r="L7" i="14636"/>
  <c r="J7" i="14636"/>
  <c r="H8" i="14636"/>
  <c r="D7" i="14636"/>
  <c r="K7" i="14636"/>
  <c r="C7" i="14636"/>
  <c r="L14" i="14636"/>
  <c r="L10" i="14636"/>
  <c r="K14" i="14636"/>
  <c r="K12" i="14636"/>
  <c r="G14" i="14636"/>
  <c r="G12" i="14636"/>
  <c r="C14" i="14636"/>
  <c r="G7" i="14636"/>
  <c r="F8" i="14636"/>
  <c r="L9" i="14636"/>
  <c r="F11" i="14636"/>
  <c r="E7" i="14636"/>
  <c r="M11" i="14636"/>
  <c r="B14" i="14636"/>
  <c r="F14" i="14636"/>
  <c r="K9" i="14636"/>
  <c r="H14" i="14636"/>
  <c r="M14" i="14636"/>
  <c r="L11" i="14636"/>
  <c r="G10" i="14636"/>
  <c r="K10" i="14636"/>
  <c r="B12" i="14636"/>
  <c r="D14" i="14636"/>
  <c r="B9" i="14636"/>
  <c r="J9" i="14636"/>
  <c r="M8" i="14636"/>
  <c r="C10" i="14636"/>
  <c r="G9" i="14636"/>
  <c r="L8" i="14636"/>
  <c r="L12" i="14636"/>
  <c r="I9" i="14636"/>
  <c r="E14" i="14636"/>
  <c r="B7" i="14636"/>
  <c r="F7" i="14636"/>
  <c r="F13" i="14636"/>
  <c r="L13" i="14636"/>
  <c r="K8" i="14636"/>
  <c r="C15" i="14629"/>
  <c r="I86" i="14687"/>
  <c r="N86" i="14687"/>
  <c r="H86" i="14687"/>
  <c r="G86" i="14687"/>
  <c r="M86" i="14687"/>
  <c r="F86" i="14687"/>
  <c r="E86" i="14687"/>
  <c r="J86" i="14687"/>
  <c r="C86" i="14687"/>
  <c r="K86" i="14687"/>
  <c r="L86" i="14687"/>
  <c r="D86" i="14687"/>
  <c r="D92" i="14687"/>
  <c r="E92" i="14687"/>
  <c r="G92" i="14687"/>
  <c r="J92" i="14687"/>
  <c r="L92" i="14687"/>
  <c r="C92" i="14687"/>
  <c r="M92" i="14687"/>
  <c r="F92" i="14687"/>
  <c r="K92" i="14687"/>
  <c r="N92" i="14687"/>
  <c r="H92" i="14687"/>
  <c r="I92" i="14687"/>
  <c r="C91" i="14687"/>
  <c r="F91" i="14687"/>
  <c r="H91" i="14687"/>
  <c r="K91" i="14687"/>
  <c r="D91" i="14687"/>
  <c r="N91" i="14687"/>
  <c r="E91" i="14687"/>
  <c r="J91" i="14687"/>
  <c r="I91" i="14687"/>
  <c r="M91" i="14687"/>
  <c r="L91" i="14687"/>
  <c r="G91" i="14687"/>
  <c r="C87" i="14687"/>
  <c r="E87" i="14687"/>
  <c r="G87" i="14687"/>
  <c r="M87" i="14687"/>
  <c r="I87" i="14687"/>
  <c r="L87" i="14687"/>
  <c r="F87" i="14687"/>
  <c r="K87" i="14687"/>
  <c r="J87" i="14687"/>
  <c r="N87" i="14687"/>
  <c r="H87" i="14687"/>
  <c r="D87" i="14687"/>
  <c r="H17" i="14692"/>
  <c r="E17" i="14692"/>
  <c r="G17" i="14692"/>
  <c r="F17" i="14692"/>
  <c r="O78" i="14687"/>
  <c r="O42" i="14687"/>
  <c r="L19" i="14657" s="1"/>
  <c r="H6" i="14667"/>
  <c r="F34" i="14661"/>
  <c r="H33" i="14661"/>
  <c r="C10" i="14696"/>
  <c r="B10" i="14696"/>
  <c r="B14" i="14696" s="1"/>
  <c r="B19" i="14661" a="1"/>
  <c r="E16" i="8"/>
  <c r="M16" i="8"/>
  <c r="L16" i="8"/>
  <c r="K16" i="8"/>
  <c r="I16" i="8"/>
  <c r="J16" i="8"/>
  <c r="F16" i="8"/>
  <c r="B16" i="8"/>
  <c r="H16" i="8"/>
  <c r="C16" i="8"/>
  <c r="D16" i="8"/>
  <c r="G16" i="8"/>
  <c r="B13" i="14682"/>
  <c r="E33" i="14652" a="1"/>
  <c r="I76" i="14665"/>
  <c r="B21" i="14682" a="1"/>
  <c r="H25" i="14705"/>
  <c r="B27" i="14706"/>
  <c r="B18" i="11"/>
  <c r="B38" i="14667"/>
  <c r="B22" i="11"/>
  <c r="B23" i="14672" a="1"/>
  <c r="O77" i="14687"/>
  <c r="N18" i="14672"/>
  <c r="N80" i="14687"/>
  <c r="K80" i="14687"/>
  <c r="F80" i="14687"/>
  <c r="C80" i="14687"/>
  <c r="G80" i="14687"/>
  <c r="D80" i="14687"/>
  <c r="H80" i="14687"/>
  <c r="L80" i="14687"/>
  <c r="M80" i="14687"/>
  <c r="I80" i="14687"/>
  <c r="J80" i="14687"/>
  <c r="E80" i="14687"/>
  <c r="E15" i="14629"/>
  <c r="B23" i="14629"/>
  <c r="C23" i="14629"/>
  <c r="L23" i="14629"/>
  <c r="G23" i="14629"/>
  <c r="C24" i="14629"/>
  <c r="L24" i="14629"/>
  <c r="F24" i="14629"/>
  <c r="M23" i="14629"/>
  <c r="J24" i="14629"/>
  <c r="K24" i="14629"/>
  <c r="E23" i="14629"/>
  <c r="I24" i="14629"/>
  <c r="I23" i="14629"/>
  <c r="B24" i="14629"/>
  <c r="H24" i="14629"/>
  <c r="G24" i="14629"/>
  <c r="E24" i="14629"/>
  <c r="D24" i="14629"/>
  <c r="K23" i="14629"/>
  <c r="H23" i="14629"/>
  <c r="F23" i="14629"/>
  <c r="M24" i="14629"/>
  <c r="J23" i="14629"/>
  <c r="D23" i="14629"/>
  <c r="D19" i="14629" a="1"/>
  <c r="D19" i="14629" s="1"/>
  <c r="D20" i="14629" s="1"/>
  <c r="N8" i="14629"/>
  <c r="G19" i="14629" a="1"/>
  <c r="G19" i="14629" s="1"/>
  <c r="K19" i="14629" a="1"/>
  <c r="K19" i="14629" s="1"/>
  <c r="K20" i="14629" s="1"/>
  <c r="N14" i="14629"/>
  <c r="N11" i="14629"/>
  <c r="C32" i="14684"/>
  <c r="G32" i="14684"/>
  <c r="D32" i="14684"/>
  <c r="E32" i="14684"/>
  <c r="F32" i="14684"/>
  <c r="F3" i="4128"/>
  <c r="G3" i="4128"/>
  <c r="D3" i="4128"/>
  <c r="E3" i="4128"/>
  <c r="G27" i="14661"/>
  <c r="F27" i="14661"/>
  <c r="H27" i="14661"/>
  <c r="E27" i="14661"/>
  <c r="D27" i="14661"/>
  <c r="C12" i="14689"/>
  <c r="B12" i="14689"/>
  <c r="E12" i="14689"/>
  <c r="F12" i="14689"/>
  <c r="D12" i="14689"/>
  <c r="D45" i="14689"/>
  <c r="B45" i="14689"/>
  <c r="C45" i="14689"/>
  <c r="E45" i="14689"/>
  <c r="F45" i="14689"/>
  <c r="E52" i="14689"/>
  <c r="B52" i="14689"/>
  <c r="C52" i="14689"/>
  <c r="F52" i="14689"/>
  <c r="D52" i="14689"/>
  <c r="D28" i="14661"/>
  <c r="H30" i="14661"/>
  <c r="E30" i="14661"/>
  <c r="E36" i="14661"/>
  <c r="G31" i="14661"/>
  <c r="F61" i="14687"/>
  <c r="E61" i="14687"/>
  <c r="N61" i="14687"/>
  <c r="I61" i="14687"/>
  <c r="C61" i="14687"/>
  <c r="K61" i="14687"/>
  <c r="G61" i="14687"/>
  <c r="M61" i="14687"/>
  <c r="J61" i="14687"/>
  <c r="H61" i="14687"/>
  <c r="D61" i="14687"/>
  <c r="L61" i="14687"/>
  <c r="N18" i="14636"/>
  <c r="N41" i="14706"/>
  <c r="N90" i="14687"/>
  <c r="E90" i="14687"/>
  <c r="G90" i="14687"/>
  <c r="K90" i="14687"/>
  <c r="C90" i="14687"/>
  <c r="J90" i="14687"/>
  <c r="I90" i="14687"/>
  <c r="L90" i="14687"/>
  <c r="M90" i="14687"/>
  <c r="F90" i="14687"/>
  <c r="H90" i="14687"/>
  <c r="D90" i="14687"/>
  <c r="I88" i="14687"/>
  <c r="L88" i="14687"/>
  <c r="E88" i="14687"/>
  <c r="G88" i="14687"/>
  <c r="N88" i="14687"/>
  <c r="J88" i="14687"/>
  <c r="F88" i="14687"/>
  <c r="K88" i="14687"/>
  <c r="M88" i="14687"/>
  <c r="D88" i="14687"/>
  <c r="H88" i="14687"/>
  <c r="C88" i="14687"/>
  <c r="E89" i="14687"/>
  <c r="H89" i="14687"/>
  <c r="K89" i="14687"/>
  <c r="I89" i="14687"/>
  <c r="C89" i="14687"/>
  <c r="J89" i="14687"/>
  <c r="N89" i="14687"/>
  <c r="M89" i="14687"/>
  <c r="D89" i="14687"/>
  <c r="F89" i="14687"/>
  <c r="G89" i="14687"/>
  <c r="L89" i="14687"/>
  <c r="G85" i="14687"/>
  <c r="C85" i="14687"/>
  <c r="K85" i="14687"/>
  <c r="F85" i="14687"/>
  <c r="J85" i="14687"/>
  <c r="N85" i="14687"/>
  <c r="I85" i="14687"/>
  <c r="E85" i="14687"/>
  <c r="B93" i="14687"/>
  <c r="M85" i="14687"/>
  <c r="L85" i="14687"/>
  <c r="D85" i="14687"/>
  <c r="H85" i="14687"/>
  <c r="B18" i="14682"/>
  <c r="O32" i="14628"/>
  <c r="N9" i="14623"/>
  <c r="O25" i="14623" a="1"/>
  <c r="O25" i="14623" s="1"/>
  <c r="N24" i="14623" a="1"/>
  <c r="N24" i="14623" s="1"/>
  <c r="L22" i="14623" a="1"/>
  <c r="L22" i="14623" s="1"/>
  <c r="P26" i="14623" a="1"/>
  <c r="P26" i="14623" s="1"/>
  <c r="M23" i="14623" a="1"/>
  <c r="M23" i="14623" s="1"/>
  <c r="K21" i="14623" a="1"/>
  <c r="K21" i="14623" s="1"/>
  <c r="J20" i="14623" a="1"/>
  <c r="J20" i="14623" s="1"/>
  <c r="J15" i="14623"/>
  <c r="N23" i="14623" a="1"/>
  <c r="N23" i="14623" s="1"/>
  <c r="Q26" i="14623" a="1"/>
  <c r="Q26" i="14623" s="1"/>
  <c r="K20" i="14623" a="1"/>
  <c r="K20" i="14623" s="1"/>
  <c r="O24" i="14623" a="1"/>
  <c r="O24" i="14623" s="1"/>
  <c r="L21" i="14623" a="1"/>
  <c r="L21" i="14623" s="1"/>
  <c r="M22" i="14623" a="1"/>
  <c r="M22" i="14623" s="1"/>
  <c r="P25" i="14623" a="1"/>
  <c r="P25" i="14623" s="1"/>
  <c r="K15" i="14623"/>
  <c r="N12" i="14623"/>
  <c r="L24" i="14623" a="1"/>
  <c r="L24" i="14623" s="1"/>
  <c r="K23" i="14623" a="1"/>
  <c r="K23" i="14623" s="1"/>
  <c r="I21" i="14623" a="1"/>
  <c r="I21" i="14623" s="1"/>
  <c r="M25" i="14623" a="1"/>
  <c r="M25" i="14623" s="1"/>
  <c r="H20" i="14623" a="1"/>
  <c r="H20" i="14623" s="1"/>
  <c r="J22" i="14623" a="1"/>
  <c r="J22" i="14623" s="1"/>
  <c r="N26" i="14623" a="1"/>
  <c r="N26" i="14623" s="1"/>
  <c r="H15" i="14623"/>
  <c r="C21" i="14623" a="1"/>
  <c r="C21" i="14623" s="1"/>
  <c r="G25" i="14623" a="1"/>
  <c r="G25" i="14623" s="1"/>
  <c r="E23" i="14623" a="1"/>
  <c r="E23" i="14623" s="1"/>
  <c r="B15" i="14623"/>
  <c r="B20" i="14623" a="1"/>
  <c r="B20" i="14623" s="1"/>
  <c r="N7" i="14623"/>
  <c r="F24" i="14623" a="1"/>
  <c r="F24" i="14623" s="1"/>
  <c r="H26" i="14623" a="1"/>
  <c r="H26" i="14623" s="1"/>
  <c r="D22" i="14623" a="1"/>
  <c r="D22" i="14623" s="1"/>
  <c r="M21" i="14623" a="1"/>
  <c r="M21" i="14623" s="1"/>
  <c r="O23" i="14623" a="1"/>
  <c r="O23" i="14623" s="1"/>
  <c r="P24" i="14623" a="1"/>
  <c r="P24" i="14623" s="1"/>
  <c r="Q25" i="14623" a="1"/>
  <c r="Q25" i="14623" s="1"/>
  <c r="L20" i="14623" a="1"/>
  <c r="L20" i="14623" s="1"/>
  <c r="R26" i="14623" a="1"/>
  <c r="R26" i="14623" s="1"/>
  <c r="N22" i="14623" a="1"/>
  <c r="N22" i="14623" s="1"/>
  <c r="L15" i="14623"/>
  <c r="N11" i="14623"/>
  <c r="H22" i="14623" a="1"/>
  <c r="H22" i="14623" s="1"/>
  <c r="F20" i="14623" a="1"/>
  <c r="F20" i="14623" s="1"/>
  <c r="J24" i="14623" a="1"/>
  <c r="J24" i="14623" s="1"/>
  <c r="L26" i="14623" a="1"/>
  <c r="L26" i="14623" s="1"/>
  <c r="G21" i="14623" a="1"/>
  <c r="G21" i="14623" s="1"/>
  <c r="K25" i="14623" a="1"/>
  <c r="K25" i="14623" s="1"/>
  <c r="I23" i="14623" a="1"/>
  <c r="I23" i="14623" s="1"/>
  <c r="F15" i="14623"/>
  <c r="O26" i="14623" a="1"/>
  <c r="O26" i="14623" s="1"/>
  <c r="M24" i="14623" a="1"/>
  <c r="M24" i="14623" s="1"/>
  <c r="J21" i="14623" a="1"/>
  <c r="J21" i="14623" s="1"/>
  <c r="K22" i="14623" a="1"/>
  <c r="K22" i="14623" s="1"/>
  <c r="N25" i="14623" a="1"/>
  <c r="N25" i="14623" s="1"/>
  <c r="I20" i="14623" a="1"/>
  <c r="I20" i="14623" s="1"/>
  <c r="I15" i="14623"/>
  <c r="L23" i="14623" a="1"/>
  <c r="L23" i="14623" s="1"/>
  <c r="J23" i="14623" a="1"/>
  <c r="J23" i="14623" s="1"/>
  <c r="M26" i="14623" a="1"/>
  <c r="M26" i="14623" s="1"/>
  <c r="I22" i="14623" a="1"/>
  <c r="I22" i="14623" s="1"/>
  <c r="G15" i="14623"/>
  <c r="G20" i="14623" a="1"/>
  <c r="G20" i="14623" s="1"/>
  <c r="L25" i="14623" a="1"/>
  <c r="L25" i="14623" s="1"/>
  <c r="H21" i="14623" a="1"/>
  <c r="H21" i="14623" s="1"/>
  <c r="K24" i="14623" a="1"/>
  <c r="K24" i="14623" s="1"/>
  <c r="N14" i="14623"/>
  <c r="N10" i="14623"/>
  <c r="N13" i="14623"/>
  <c r="N8" i="14623"/>
  <c r="S26" i="14623" a="1"/>
  <c r="S26" i="14623" s="1"/>
  <c r="M15" i="14623"/>
  <c r="P23" i="14623" a="1"/>
  <c r="P23" i="14623" s="1"/>
  <c r="R25" i="14623" a="1"/>
  <c r="R25" i="14623" s="1"/>
  <c r="Q24" i="14623" a="1"/>
  <c r="Q24" i="14623" s="1"/>
  <c r="M20" i="14623" a="1"/>
  <c r="M20" i="14623" s="1"/>
  <c r="O22" i="14623" a="1"/>
  <c r="O22" i="14623" s="1"/>
  <c r="N21" i="14623" a="1"/>
  <c r="N21" i="14623" s="1"/>
  <c r="K26" i="14623" a="1"/>
  <c r="K26" i="14623" s="1"/>
  <c r="H23" i="14623" a="1"/>
  <c r="H23" i="14623" s="1"/>
  <c r="E15" i="14623"/>
  <c r="E20" i="14623" a="1"/>
  <c r="E20" i="14623" s="1"/>
  <c r="J25" i="14623" a="1"/>
  <c r="J25" i="14623" s="1"/>
  <c r="I24" i="14623" a="1"/>
  <c r="I24" i="14623" s="1"/>
  <c r="F21" i="14623" a="1"/>
  <c r="F21" i="14623" s="1"/>
  <c r="G22" i="14623" a="1"/>
  <c r="G22" i="14623" s="1"/>
  <c r="C20" i="14623" a="1"/>
  <c r="C20" i="14623" s="1"/>
  <c r="E22" i="14623" a="1"/>
  <c r="E22" i="14623" s="1"/>
  <c r="I26" i="14623" a="1"/>
  <c r="I26" i="14623" s="1"/>
  <c r="D21" i="14623" a="1"/>
  <c r="D21" i="14623" s="1"/>
  <c r="G24" i="14623" a="1"/>
  <c r="G24" i="14623" s="1"/>
  <c r="F23" i="14623" a="1"/>
  <c r="F23" i="14623" s="1"/>
  <c r="H25" i="14623" a="1"/>
  <c r="H25" i="14623" s="1"/>
  <c r="C15" i="14623"/>
  <c r="J26" i="14623" a="1"/>
  <c r="J26" i="14623" s="1"/>
  <c r="F22" i="14623" a="1"/>
  <c r="F22" i="14623" s="1"/>
  <c r="E21" i="14623" a="1"/>
  <c r="E21" i="14623" s="1"/>
  <c r="I25" i="14623" a="1"/>
  <c r="I25" i="14623" s="1"/>
  <c r="D20" i="14623" a="1"/>
  <c r="D20" i="14623" s="1"/>
  <c r="G23" i="14623" a="1"/>
  <c r="G23" i="14623" s="1"/>
  <c r="H24" i="14623" a="1"/>
  <c r="H24" i="14623" s="1"/>
  <c r="D15" i="14623"/>
  <c r="K19" i="14628" a="1"/>
  <c r="K19" i="14628" s="1"/>
  <c r="K39" i="14628"/>
  <c r="E19" i="14628" a="1"/>
  <c r="E19" i="14628" s="1"/>
  <c r="E39" i="14628"/>
  <c r="C19" i="14628" a="1"/>
  <c r="C19" i="14628" s="1"/>
  <c r="O31" i="14628"/>
  <c r="C39" i="14628"/>
  <c r="N19" i="14628" a="1"/>
  <c r="N19" i="14628" s="1"/>
  <c r="N39" i="14628"/>
  <c r="D19" i="14628" a="1"/>
  <c r="D19" i="14628" s="1"/>
  <c r="D39" i="14628"/>
  <c r="O35" i="14628"/>
  <c r="G19" i="14628" a="1"/>
  <c r="G19" i="14628" s="1"/>
  <c r="G39" i="14628"/>
  <c r="I19" i="14628" a="1"/>
  <c r="I19" i="14628" s="1"/>
  <c r="I39" i="14628"/>
  <c r="O33" i="14628"/>
  <c r="O37" i="14628"/>
  <c r="O38" i="14628"/>
  <c r="C42" i="14643"/>
  <c r="C47" i="14643"/>
  <c r="C41" i="14643"/>
  <c r="C43" i="14643"/>
  <c r="C44" i="14643"/>
  <c r="C45" i="14643"/>
  <c r="C46" i="14643"/>
  <c r="C40" i="14643"/>
  <c r="J5" i="8"/>
  <c r="M5" i="8"/>
  <c r="K5" i="8"/>
  <c r="L5" i="8"/>
  <c r="D5" i="8"/>
  <c r="I5" i="8"/>
  <c r="H5" i="8"/>
  <c r="E5" i="8"/>
  <c r="G5" i="8"/>
  <c r="F5" i="8"/>
  <c r="B5" i="8"/>
  <c r="C5" i="8"/>
  <c r="M19" i="14628" a="1"/>
  <c r="M19" i="14628" s="1"/>
  <c r="M39" i="14628"/>
  <c r="O34" i="14628"/>
  <c r="J39" i="14628"/>
  <c r="J19" i="14628" a="1"/>
  <c r="J19" i="14628" s="1"/>
  <c r="O36" i="14628"/>
  <c r="H19" i="14628" a="1"/>
  <c r="H19" i="14628" s="1"/>
  <c r="H39" i="14628"/>
  <c r="L19" i="14628" a="1"/>
  <c r="L19" i="14628" s="1"/>
  <c r="L39" i="14628"/>
  <c r="F19" i="14628" a="1"/>
  <c r="F19" i="14628" s="1"/>
  <c r="F39" i="14628"/>
  <c r="F34" i="7"/>
  <c r="G33" i="7"/>
  <c r="I34" i="7"/>
  <c r="B38" i="7"/>
  <c r="I38" i="7"/>
  <c r="D33" i="7"/>
  <c r="G37" i="7"/>
  <c r="G35" i="7"/>
  <c r="M35" i="7"/>
  <c r="M32" i="7"/>
  <c r="G34" i="7"/>
  <c r="G39" i="7"/>
  <c r="G38" i="7"/>
  <c r="I35" i="7"/>
  <c r="B32" i="7"/>
  <c r="K37" i="7"/>
  <c r="K35" i="7"/>
  <c r="L39" i="7"/>
  <c r="J34" i="7"/>
  <c r="D32" i="7"/>
  <c r="E34" i="7"/>
  <c r="M37" i="7"/>
  <c r="C33" i="7"/>
  <c r="F32" i="7"/>
  <c r="H34" i="7"/>
  <c r="K39" i="7"/>
  <c r="G32" i="7"/>
  <c r="F33" i="7"/>
  <c r="H32" i="7"/>
  <c r="H37" i="7"/>
  <c r="L37" i="7"/>
  <c r="M38" i="7"/>
  <c r="C37" i="7"/>
  <c r="M39" i="7"/>
  <c r="M34" i="7"/>
  <c r="C36" i="7"/>
  <c r="L35" i="7"/>
  <c r="H33" i="7"/>
  <c r="H35" i="7"/>
  <c r="K32" i="7"/>
  <c r="E36" i="7"/>
  <c r="E33" i="7"/>
  <c r="I37" i="7"/>
  <c r="K33" i="7"/>
  <c r="B34" i="7"/>
  <c r="J37" i="7"/>
  <c r="E39" i="7"/>
  <c r="F35" i="7"/>
  <c r="L33" i="7"/>
  <c r="L32" i="7"/>
  <c r="M33" i="7"/>
  <c r="C38" i="7"/>
  <c r="M36" i="7"/>
  <c r="J32" i="7"/>
  <c r="D37" i="7"/>
  <c r="C35" i="7"/>
  <c r="B37" i="7"/>
  <c r="H36" i="7"/>
  <c r="I39" i="7"/>
  <c r="I32" i="7"/>
  <c r="J33" i="7"/>
  <c r="C34" i="7"/>
  <c r="K38" i="7"/>
  <c r="B36" i="7"/>
  <c r="J36" i="7"/>
  <c r="E38" i="7"/>
  <c r="F37" i="7"/>
  <c r="C32" i="7"/>
  <c r="L38" i="7"/>
  <c r="L36" i="7"/>
  <c r="L34" i="7"/>
  <c r="K36" i="7"/>
  <c r="F39" i="7"/>
  <c r="H38" i="7"/>
  <c r="J38" i="7"/>
  <c r="K34" i="7"/>
  <c r="D35" i="7"/>
  <c r="F38" i="7"/>
  <c r="G36" i="7"/>
  <c r="B33" i="7"/>
  <c r="H39" i="7"/>
  <c r="B35" i="7"/>
  <c r="J39" i="7"/>
  <c r="B39" i="7"/>
  <c r="D34" i="7"/>
  <c r="I33" i="7"/>
  <c r="J35" i="7"/>
  <c r="D36" i="7"/>
  <c r="E35" i="7"/>
  <c r="F36" i="7"/>
  <c r="E32" i="7"/>
  <c r="C39" i="7"/>
  <c r="I36" i="7"/>
  <c r="E37" i="7"/>
  <c r="D38" i="7"/>
  <c r="D39" i="7"/>
  <c r="B24" i="14683"/>
  <c r="B26" i="14683"/>
  <c r="B21" i="14683"/>
  <c r="B20" i="14683"/>
  <c r="B22" i="14683"/>
  <c r="B19" i="14683"/>
  <c r="B23" i="14683"/>
  <c r="B25" i="14683"/>
  <c r="N61" i="14653" l="1"/>
  <c r="L50" i="14653"/>
  <c r="L63" i="14653" s="1"/>
  <c r="L76" i="14653" s="1"/>
  <c r="O51" i="14653"/>
  <c r="O64" i="14653" s="1"/>
  <c r="L38" i="14653"/>
  <c r="L51" i="14653" s="1"/>
  <c r="L64" i="14653" s="1"/>
  <c r="L77" i="14653" s="1"/>
  <c r="M38" i="14653"/>
  <c r="M51" i="14653" s="1"/>
  <c r="M64" i="14653" s="1"/>
  <c r="M77" i="14653" s="1"/>
  <c r="B38" i="14653"/>
  <c r="B51" i="14653" s="1"/>
  <c r="B64" i="14653" s="1"/>
  <c r="B77" i="14653" s="1"/>
  <c r="J38" i="14653"/>
  <c r="J51" i="14653" s="1"/>
  <c r="J64" i="14653" s="1"/>
  <c r="J77" i="14653" s="1"/>
  <c r="C38" i="14653"/>
  <c r="C51" i="14653" s="1"/>
  <c r="C64" i="14653" s="1"/>
  <c r="C77" i="14653" s="1"/>
  <c r="D38" i="14653"/>
  <c r="D51" i="14653" s="1"/>
  <c r="D64" i="14653" s="1"/>
  <c r="D77" i="14653" s="1"/>
  <c r="H38" i="14653"/>
  <c r="H51" i="14653" s="1"/>
  <c r="H64" i="14653" s="1"/>
  <c r="H77" i="14653" s="1"/>
  <c r="E38" i="14653"/>
  <c r="E51" i="14653" s="1"/>
  <c r="E64" i="14653" s="1"/>
  <c r="E77" i="14653" s="1"/>
  <c r="G38" i="14653"/>
  <c r="G51" i="14653" s="1"/>
  <c r="G64" i="14653" s="1"/>
  <c r="G77" i="14653" s="1"/>
  <c r="I38" i="14653"/>
  <c r="F38" i="14653"/>
  <c r="F51" i="14653" s="1"/>
  <c r="F64" i="14653" s="1"/>
  <c r="F77" i="14653" s="1"/>
  <c r="K38" i="14653"/>
  <c r="K51" i="14653" s="1"/>
  <c r="K64" i="14653" s="1"/>
  <c r="K77" i="14653" s="1"/>
  <c r="N37" i="14653"/>
  <c r="K50" i="14653"/>
  <c r="K63" i="14653" s="1"/>
  <c r="K76" i="14653" s="1"/>
  <c r="F25" i="14629"/>
  <c r="D46" i="14694"/>
  <c r="K46" i="14694"/>
  <c r="H46" i="14694"/>
  <c r="E46" i="14694"/>
  <c r="J46" i="14694"/>
  <c r="L46" i="14694"/>
  <c r="B46" i="14694"/>
  <c r="C46" i="14694"/>
  <c r="G46" i="14694"/>
  <c r="F46" i="14694"/>
  <c r="I46" i="14694"/>
  <c r="M46" i="14694"/>
  <c r="E30" i="14694"/>
  <c r="H30" i="14694"/>
  <c r="J30" i="14694"/>
  <c r="M30" i="14694"/>
  <c r="L30" i="14694"/>
  <c r="G30" i="14694"/>
  <c r="C30" i="14694"/>
  <c r="I30" i="14694"/>
  <c r="F30" i="14694"/>
  <c r="D30" i="14694"/>
  <c r="K30" i="14694"/>
  <c r="B30" i="14694"/>
  <c r="C38" i="14694"/>
  <c r="F38" i="14694"/>
  <c r="H38" i="14694"/>
  <c r="E38" i="14694"/>
  <c r="L38" i="14694"/>
  <c r="J38" i="14694"/>
  <c r="M38" i="14694"/>
  <c r="D38" i="14694"/>
  <c r="I38" i="14694"/>
  <c r="G38" i="14694"/>
  <c r="B38" i="14694"/>
  <c r="K38" i="14694"/>
  <c r="B54" i="14694"/>
  <c r="C54" i="14694"/>
  <c r="I54" i="14694"/>
  <c r="E54" i="14694"/>
  <c r="J54" i="14694"/>
  <c r="K54" i="14694"/>
  <c r="H54" i="14694"/>
  <c r="D54" i="14694"/>
  <c r="M54" i="14694"/>
  <c r="L54" i="14694"/>
  <c r="G54" i="14694"/>
  <c r="F54" i="14694"/>
  <c r="N62" i="14653"/>
  <c r="J31" i="14694"/>
  <c r="F47" i="14694"/>
  <c r="G39" i="14694"/>
  <c r="I31" i="14694"/>
  <c r="B22" i="14694" a="1"/>
  <c r="I23" i="14694"/>
  <c r="C31" i="14694"/>
  <c r="E62" i="14694"/>
  <c r="J55" i="14694"/>
  <c r="B47" i="14694"/>
  <c r="F23" i="14694"/>
  <c r="D31" i="14694"/>
  <c r="L31" i="14694"/>
  <c r="F31" i="14694"/>
  <c r="D47" i="14694"/>
  <c r="K39" i="14694"/>
  <c r="I47" i="14694"/>
  <c r="C39" i="14694"/>
  <c r="E31" i="14694"/>
  <c r="K47" i="14694"/>
  <c r="J23" i="14694"/>
  <c r="H55" i="14694"/>
  <c r="C62" i="14694"/>
  <c r="D39" i="14694"/>
  <c r="C23" i="14694"/>
  <c r="J39" i="14694"/>
  <c r="H62" i="14694"/>
  <c r="H39" i="14694"/>
  <c r="G55" i="14694"/>
  <c r="H47" i="14694"/>
  <c r="D23" i="14694"/>
  <c r="E23" i="14694"/>
  <c r="M55" i="14694"/>
  <c r="I55" i="14694"/>
  <c r="G23" i="14694"/>
  <c r="B62" i="14694"/>
  <c r="B31" i="14694"/>
  <c r="K55" i="14694"/>
  <c r="H23" i="14694"/>
  <c r="L55" i="14694"/>
  <c r="H31" i="14694"/>
  <c r="K62" i="14694"/>
  <c r="M39" i="14694"/>
  <c r="G31" i="14694"/>
  <c r="B55" i="14694"/>
  <c r="B29" i="14694" a="1"/>
  <c r="M31" i="14694"/>
  <c r="L62" i="14694"/>
  <c r="E47" i="14694"/>
  <c r="E39" i="14694"/>
  <c r="J62" i="14694"/>
  <c r="L47" i="14694"/>
  <c r="B45" i="14694" a="1"/>
  <c r="L23" i="14694"/>
  <c r="F62" i="14694"/>
  <c r="D62" i="14694"/>
  <c r="B39" i="14694"/>
  <c r="C55" i="14694"/>
  <c r="I62" i="14694"/>
  <c r="B61" i="14694" a="1"/>
  <c r="C47" i="14694"/>
  <c r="G62" i="14694"/>
  <c r="M47" i="14694"/>
  <c r="L39" i="14694"/>
  <c r="K23" i="14694"/>
  <c r="I39" i="14694"/>
  <c r="F55" i="14694"/>
  <c r="K31" i="14694"/>
  <c r="D55" i="14694"/>
  <c r="M62" i="14694"/>
  <c r="G47" i="14694"/>
  <c r="E55" i="14694"/>
  <c r="B53" i="14694" a="1"/>
  <c r="J47" i="14694"/>
  <c r="B23" i="14694"/>
  <c r="F39" i="14694"/>
  <c r="M23" i="14694"/>
  <c r="B37" i="14694" a="1"/>
  <c r="D25" i="14629"/>
  <c r="D27" i="14629" s="1"/>
  <c r="J25" i="14629"/>
  <c r="J27" i="14629" s="1"/>
  <c r="N74" i="14653"/>
  <c r="G19" i="14672" a="1"/>
  <c r="G19" i="14672" s="1"/>
  <c r="H19" i="14672" a="1"/>
  <c r="H19" i="14672" s="1"/>
  <c r="H20" i="14672" s="1"/>
  <c r="I19" i="14672" a="1"/>
  <c r="F27" i="14629"/>
  <c r="G28" i="14661"/>
  <c r="I19" i="14672"/>
  <c r="I20" i="14672" s="1"/>
  <c r="O88" i="14687"/>
  <c r="K25" i="14629"/>
  <c r="K27" i="14629" s="1"/>
  <c r="I25" i="14629"/>
  <c r="I27" i="14629" s="1"/>
  <c r="L25" i="14629"/>
  <c r="L27" i="14629" s="1"/>
  <c r="F15" i="14636"/>
  <c r="G19" i="14636" a="1"/>
  <c r="G19" i="14636" s="1"/>
  <c r="K19" i="14636" a="1"/>
  <c r="K19" i="14636" s="1"/>
  <c r="K20" i="14636" s="1"/>
  <c r="C15" i="14636"/>
  <c r="D15" i="14636"/>
  <c r="J15" i="14636"/>
  <c r="D19" i="14636" a="1"/>
  <c r="D19" i="14636" s="1"/>
  <c r="D20" i="14636" s="1"/>
  <c r="F19" i="14636" a="1"/>
  <c r="F19" i="14636" s="1"/>
  <c r="F20" i="14636" s="1"/>
  <c r="C19" i="14636" a="1"/>
  <c r="C19" i="14636" s="1"/>
  <c r="C20" i="14636" s="1"/>
  <c r="H25" i="14652"/>
  <c r="H26" i="14652"/>
  <c r="H20" i="14652"/>
  <c r="H23" i="14652"/>
  <c r="H21" i="14652"/>
  <c r="H22" i="14652"/>
  <c r="H19" i="14652"/>
  <c r="H24" i="14652"/>
  <c r="C5" i="14682" a="1"/>
  <c r="E14" i="14652"/>
  <c r="G13" i="14652"/>
  <c r="G14" i="14632"/>
  <c r="M40" i="7"/>
  <c r="M34" i="14634"/>
  <c r="N15" i="14629"/>
  <c r="H28" i="14661"/>
  <c r="F21" i="14698"/>
  <c r="J26" i="14703"/>
  <c r="J26" i="14698"/>
  <c r="G20" i="14698"/>
  <c r="F27" i="14698"/>
  <c r="E26" i="14698"/>
  <c r="C26" i="14698"/>
  <c r="D14" i="14632"/>
  <c r="H8" i="14632"/>
  <c r="K40" i="7"/>
  <c r="I26" i="14703"/>
  <c r="J36" i="14634"/>
  <c r="D26" i="14698"/>
  <c r="K20" i="14698"/>
  <c r="D22" i="14698"/>
  <c r="E20" i="14698"/>
  <c r="L27" i="14698"/>
  <c r="I25" i="14698"/>
  <c r="E8" i="14632"/>
  <c r="K8" i="14632"/>
  <c r="M14" i="14632"/>
  <c r="C40" i="7"/>
  <c r="G24" i="14698"/>
  <c r="C23" i="14698"/>
  <c r="H24" i="14698"/>
  <c r="M21" i="14698"/>
  <c r="J23" i="14698"/>
  <c r="H26" i="14698"/>
  <c r="B20" i="14698"/>
  <c r="D23" i="14698"/>
  <c r="I20" i="14698"/>
  <c r="K24" i="14698"/>
  <c r="H23" i="14698"/>
  <c r="E21" i="14698"/>
  <c r="E10" i="14632"/>
  <c r="F9" i="14632"/>
  <c r="I13" i="14632"/>
  <c r="H12" i="14632"/>
  <c r="L12" i="14632"/>
  <c r="K9" i="14632"/>
  <c r="G40" i="7"/>
  <c r="F40" i="7"/>
  <c r="B40" i="7"/>
  <c r="I20" i="14703"/>
  <c r="N37" i="14634"/>
  <c r="F32" i="14634"/>
  <c r="I27" i="14703"/>
  <c r="J22" i="14703"/>
  <c r="I24" i="14703"/>
  <c r="D38" i="14634"/>
  <c r="H37" i="14634"/>
  <c r="N32" i="14634"/>
  <c r="N38" i="14634"/>
  <c r="H38" i="14634"/>
  <c r="D22" i="14703"/>
  <c r="M23" i="14703"/>
  <c r="K24" i="14703"/>
  <c r="H21" i="14703"/>
  <c r="C27" i="14703"/>
  <c r="I22" i="14703"/>
  <c r="C37" i="14634"/>
  <c r="M36" i="14634"/>
  <c r="L34" i="14634"/>
  <c r="I37" i="14634"/>
  <c r="G32" i="14634"/>
  <c r="N33" i="14634"/>
  <c r="E32" i="14634"/>
  <c r="I36" i="14634"/>
  <c r="K37" i="14634"/>
  <c r="C25" i="14698"/>
  <c r="L24" i="14698"/>
  <c r="L20" i="14698"/>
  <c r="D24" i="14698"/>
  <c r="I22" i="14698"/>
  <c r="H22" i="14698"/>
  <c r="F24" i="14698"/>
  <c r="C24" i="14698"/>
  <c r="K23" i="14698"/>
  <c r="B22" i="14698"/>
  <c r="G26" i="14698"/>
  <c r="M23" i="14698"/>
  <c r="L21" i="14698"/>
  <c r="G22" i="14698"/>
  <c r="B23" i="14698"/>
  <c r="M25" i="14698"/>
  <c r="I27" i="14698"/>
  <c r="D20" i="14698"/>
  <c r="K22" i="14698"/>
  <c r="H27" i="14698"/>
  <c r="K21" i="14698"/>
  <c r="F26" i="14698"/>
  <c r="B24" i="14698"/>
  <c r="E25" i="14698"/>
  <c r="B9" i="14632"/>
  <c r="L7" i="14632"/>
  <c r="G9" i="14632"/>
  <c r="E7" i="14632"/>
  <c r="D8" i="14632"/>
  <c r="D12" i="14632"/>
  <c r="M9" i="14632"/>
  <c r="B8" i="14632"/>
  <c r="J14" i="14632"/>
  <c r="C7" i="14632"/>
  <c r="D13" i="14632"/>
  <c r="J12" i="14632"/>
  <c r="J40" i="7"/>
  <c r="D40" i="7"/>
  <c r="L40" i="7"/>
  <c r="I40" i="7"/>
  <c r="H40" i="7"/>
  <c r="E26" i="14703"/>
  <c r="B21" i="14703"/>
  <c r="E24" i="14703"/>
  <c r="G25" i="14703"/>
  <c r="K27" i="14703"/>
  <c r="K25" i="14703"/>
  <c r="H26" i="14703"/>
  <c r="B20" i="14703"/>
  <c r="G23" i="14703"/>
  <c r="L23" i="14703"/>
  <c r="H23" i="14703"/>
  <c r="C26" i="14703"/>
  <c r="I33" i="14634"/>
  <c r="G33" i="14634"/>
  <c r="C38" i="14634"/>
  <c r="K38" i="14634"/>
  <c r="C34" i="14634"/>
  <c r="H35" i="14634"/>
  <c r="D32" i="14634"/>
  <c r="H34" i="14634"/>
  <c r="E33" i="14634"/>
  <c r="L38" i="14634"/>
  <c r="L32" i="14634"/>
  <c r="D36" i="14634"/>
  <c r="C36" i="14634"/>
  <c r="K36" i="14634"/>
  <c r="D34" i="14634"/>
  <c r="M32" i="14634"/>
  <c r="H33" i="14634"/>
  <c r="F36" i="14634"/>
  <c r="N25" i="14630"/>
  <c r="B40" i="14630" s="1" a="1"/>
  <c r="N31" i="14634"/>
  <c r="E35" i="14634"/>
  <c r="C31" i="14634"/>
  <c r="G34" i="14634"/>
  <c r="E31" i="14634"/>
  <c r="J35" i="14634"/>
  <c r="D31" i="14634"/>
  <c r="J31" i="14634"/>
  <c r="I35" i="14634"/>
  <c r="F37" i="14634"/>
  <c r="G38" i="14634"/>
  <c r="L33" i="14634"/>
  <c r="J27" i="14703"/>
  <c r="B24" i="14703"/>
  <c r="L24" i="14703"/>
  <c r="J20" i="14703"/>
  <c r="G24" i="14703"/>
  <c r="M20" i="14703"/>
  <c r="I21" i="14703"/>
  <c r="C21" i="14703"/>
  <c r="H24" i="14703"/>
  <c r="F20" i="14703"/>
  <c r="C23" i="14703"/>
  <c r="M21" i="14703"/>
  <c r="L25" i="14703"/>
  <c r="D24" i="14703"/>
  <c r="L27" i="14703"/>
  <c r="G27" i="14703"/>
  <c r="G20" i="14703"/>
  <c r="E21" i="14703"/>
  <c r="H20" i="14703"/>
  <c r="J25" i="14703"/>
  <c r="J21" i="14703"/>
  <c r="K20" i="14703"/>
  <c r="F23" i="14703"/>
  <c r="F26" i="14703"/>
  <c r="K32" i="14634"/>
  <c r="L37" i="14634"/>
  <c r="L36" i="14634"/>
  <c r="K33" i="14634"/>
  <c r="J38" i="14634"/>
  <c r="F38" i="14634"/>
  <c r="J34" i="14634"/>
  <c r="E37" i="14634"/>
  <c r="F31" i="14634"/>
  <c r="I32" i="14634"/>
  <c r="H32" i="14634"/>
  <c r="C35" i="14634"/>
  <c r="K35" i="14634"/>
  <c r="M31" i="14634"/>
  <c r="H31" i="14634"/>
  <c r="F33" i="14634"/>
  <c r="F35" i="14634"/>
  <c r="L35" i="14634"/>
  <c r="I38" i="14634"/>
  <c r="D37" i="14634"/>
  <c r="J32" i="14634"/>
  <c r="C32" i="14634"/>
  <c r="I31" i="14634"/>
  <c r="E36" i="14634"/>
  <c r="D33" i="14634"/>
  <c r="N35" i="14634"/>
  <c r="M33" i="14634"/>
  <c r="G36" i="14634"/>
  <c r="I34" i="14634"/>
  <c r="G31" i="14634"/>
  <c r="K34" i="14634"/>
  <c r="H36" i="14634"/>
  <c r="D35" i="14634"/>
  <c r="E38" i="14634"/>
  <c r="J37" i="14634"/>
  <c r="G37" i="14634"/>
  <c r="L31" i="14634"/>
  <c r="K31" i="14634"/>
  <c r="C33" i="14634"/>
  <c r="M37" i="14634"/>
  <c r="G35" i="14634"/>
  <c r="N34" i="14634"/>
  <c r="M35" i="14634"/>
  <c r="M38" i="14634"/>
  <c r="E34" i="14634"/>
  <c r="J33" i="14634"/>
  <c r="F34" i="14634"/>
  <c r="C11" i="14657"/>
  <c r="G27" i="14698"/>
  <c r="C21" i="14698"/>
  <c r="I26" i="14698"/>
  <c r="I21" i="14698"/>
  <c r="K26" i="14698"/>
  <c r="D27" i="14698"/>
  <c r="C22" i="14698"/>
  <c r="L25" i="14698"/>
  <c r="I24" i="14698"/>
  <c r="J21" i="14698"/>
  <c r="D21" i="14698"/>
  <c r="K25" i="14698"/>
  <c r="I23" i="14698"/>
  <c r="H25" i="14698"/>
  <c r="E22" i="14698"/>
  <c r="B27" i="14698"/>
  <c r="K27" i="14698"/>
  <c r="J27" i="14698"/>
  <c r="J24" i="14698"/>
  <c r="B21" i="14698"/>
  <c r="H20" i="14698"/>
  <c r="F25" i="14698"/>
  <c r="M20" i="14698"/>
  <c r="G23" i="14698"/>
  <c r="F20" i="14698"/>
  <c r="L22" i="14698"/>
  <c r="M24" i="14698"/>
  <c r="M26" i="14698"/>
  <c r="J25" i="14698"/>
  <c r="J20" i="14698"/>
  <c r="H21" i="14698"/>
  <c r="E23" i="14698"/>
  <c r="E27" i="14698"/>
  <c r="M27" i="14698"/>
  <c r="M22" i="14698"/>
  <c r="L26" i="14698"/>
  <c r="G21" i="14698"/>
  <c r="C20" i="14698"/>
  <c r="D25" i="14698"/>
  <c r="C27" i="14698"/>
  <c r="B25" i="14698"/>
  <c r="E24" i="14698"/>
  <c r="F22" i="14698"/>
  <c r="L23" i="14698"/>
  <c r="G25" i="14698"/>
  <c r="J22" i="14698"/>
  <c r="B26" i="14698"/>
  <c r="N18" i="14681"/>
  <c r="D23" i="14657" s="1"/>
  <c r="D10" i="14632"/>
  <c r="K12" i="14632"/>
  <c r="L10" i="14632"/>
  <c r="G7" i="14632"/>
  <c r="F8" i="14632"/>
  <c r="K11" i="14632"/>
  <c r="L8" i="14632"/>
  <c r="D7" i="14632"/>
  <c r="D11" i="14632"/>
  <c r="I12" i="14632"/>
  <c r="M7" i="14632"/>
  <c r="K10" i="14632"/>
  <c r="E11" i="14632"/>
  <c r="M11" i="14632"/>
  <c r="B10" i="14632"/>
  <c r="B14" i="14632"/>
  <c r="M12" i="14632"/>
  <c r="E14" i="14632"/>
  <c r="L9" i="14632"/>
  <c r="H10" i="14632"/>
  <c r="F7" i="14632"/>
  <c r="I7" i="14632"/>
  <c r="G10" i="14632"/>
  <c r="L11" i="14632"/>
  <c r="I11" i="14632"/>
  <c r="F14" i="14632"/>
  <c r="H7" i="14632"/>
  <c r="J9" i="14632"/>
  <c r="E12" i="14632"/>
  <c r="I8" i="14632"/>
  <c r="F13" i="14632"/>
  <c r="H14" i="14632"/>
  <c r="J8" i="14632"/>
  <c r="C12" i="14632"/>
  <c r="H11" i="14632"/>
  <c r="B7" i="14632"/>
  <c r="K13" i="14632"/>
  <c r="F12" i="14632"/>
  <c r="G8" i="14632"/>
  <c r="K7" i="14632"/>
  <c r="B11" i="14632"/>
  <c r="L13" i="14632"/>
  <c r="K14" i="14632"/>
  <c r="L14" i="14632"/>
  <c r="M10" i="14632"/>
  <c r="J10" i="14632"/>
  <c r="B12" i="14632"/>
  <c r="C13" i="14632"/>
  <c r="G13" i="14632"/>
  <c r="C11" i="14632"/>
  <c r="C14" i="14632"/>
  <c r="J13" i="14632"/>
  <c r="J11" i="14632"/>
  <c r="F10" i="14632"/>
  <c r="C8" i="14632"/>
  <c r="E9" i="14632"/>
  <c r="C10" i="14632"/>
  <c r="I9" i="14632"/>
  <c r="J7" i="14632"/>
  <c r="M8" i="14632"/>
  <c r="D9" i="14632"/>
  <c r="G12" i="14632"/>
  <c r="H13" i="14632"/>
  <c r="H9" i="14632"/>
  <c r="I10" i="14632"/>
  <c r="B13" i="14632"/>
  <c r="I14" i="14632"/>
  <c r="F11" i="14632"/>
  <c r="M13" i="14632"/>
  <c r="C9" i="14632"/>
  <c r="E13" i="14632"/>
  <c r="C53" i="14643" a="1"/>
  <c r="C60" i="14643" s="1"/>
  <c r="D26" i="14703"/>
  <c r="C24" i="14703"/>
  <c r="E22" i="14703"/>
  <c r="H27" i="14703"/>
  <c r="L22" i="14703"/>
  <c r="L26" i="14703"/>
  <c r="D20" i="14703"/>
  <c r="M27" i="14703"/>
  <c r="K22" i="14703"/>
  <c r="F27" i="14703"/>
  <c r="B23" i="14703"/>
  <c r="G22" i="14703"/>
  <c r="I23" i="14703"/>
  <c r="E27" i="14703"/>
  <c r="M25" i="14703"/>
  <c r="E25" i="14703"/>
  <c r="F22" i="14703"/>
  <c r="L21" i="14703"/>
  <c r="E23" i="14703"/>
  <c r="F24" i="14703"/>
  <c r="C20" i="14703"/>
  <c r="D23" i="14703"/>
  <c r="C25" i="14703"/>
  <c r="H22" i="14703"/>
  <c r="K21" i="14703"/>
  <c r="L20" i="14703"/>
  <c r="H25" i="14703"/>
  <c r="B26" i="14703"/>
  <c r="M26" i="14703"/>
  <c r="D21" i="14703"/>
  <c r="F21" i="14703"/>
  <c r="I25" i="14703"/>
  <c r="K23" i="14703"/>
  <c r="M22" i="14703"/>
  <c r="D27" i="14703"/>
  <c r="M24" i="14703"/>
  <c r="J24" i="14703"/>
  <c r="B22" i="14703"/>
  <c r="D25" i="14703"/>
  <c r="G21" i="14703"/>
  <c r="B27" i="14703"/>
  <c r="K26" i="14703"/>
  <c r="G26" i="14703"/>
  <c r="B25" i="14703"/>
  <c r="F25" i="14703"/>
  <c r="E20" i="14703"/>
  <c r="C22" i="14703"/>
  <c r="B32" i="14630" a="1"/>
  <c r="I35" i="14630" s="1"/>
  <c r="C19" i="14683" a="1"/>
  <c r="C22" i="14683" s="1"/>
  <c r="B5" i="14631" a="1"/>
  <c r="G5" i="14631" s="1"/>
  <c r="D6" i="14683" a="1"/>
  <c r="D12" i="14683" s="1"/>
  <c r="C9" i="14682"/>
  <c r="C11" i="14682"/>
  <c r="C8" i="14682"/>
  <c r="C5" i="14682"/>
  <c r="C6" i="14682"/>
  <c r="C12" i="14682"/>
  <c r="C7" i="14682"/>
  <c r="C10" i="14682"/>
  <c r="C18" i="14673" a="1"/>
  <c r="C18" i="14673" s="1"/>
  <c r="D93" i="14687"/>
  <c r="D96" i="14687"/>
  <c r="L18" i="14673" a="1"/>
  <c r="L18" i="14673" s="1"/>
  <c r="M96" i="14687"/>
  <c r="M93" i="14687"/>
  <c r="D18" i="14673" a="1"/>
  <c r="D18" i="14673" s="1"/>
  <c r="E93" i="14687"/>
  <c r="E96" i="14687"/>
  <c r="N93" i="14687"/>
  <c r="M18" i="14673" a="1"/>
  <c r="M18" i="14673" s="1"/>
  <c r="N96" i="14687"/>
  <c r="E18" i="14673" a="1"/>
  <c r="E18" i="14673" s="1"/>
  <c r="F96" i="14687"/>
  <c r="F93" i="14687"/>
  <c r="B18" i="14673" a="1"/>
  <c r="B18" i="14673" s="1"/>
  <c r="B7" i="14673" a="1"/>
  <c r="C99" i="14687" a="1"/>
  <c r="C96" i="14687"/>
  <c r="O85" i="14687"/>
  <c r="C93" i="14687"/>
  <c r="O61" i="14687"/>
  <c r="M19" i="14657" s="1"/>
  <c r="F18" i="14706"/>
  <c r="F8" i="14667"/>
  <c r="E25" i="14629"/>
  <c r="E27" i="14629" s="1"/>
  <c r="B25" i="14629"/>
  <c r="N23" i="14629"/>
  <c r="I23" i="14672"/>
  <c r="E23" i="14672"/>
  <c r="J23" i="14672"/>
  <c r="E24" i="14672"/>
  <c r="J24" i="14672"/>
  <c r="I24" i="14672"/>
  <c r="K23" i="14672"/>
  <c r="B23" i="14672"/>
  <c r="D23" i="14672"/>
  <c r="G24" i="14672"/>
  <c r="H24" i="14672"/>
  <c r="M23" i="14672"/>
  <c r="L23" i="14672"/>
  <c r="H23" i="14672"/>
  <c r="K24" i="14672"/>
  <c r="C24" i="14672"/>
  <c r="L24" i="14672"/>
  <c r="F24" i="14672"/>
  <c r="C23" i="14672"/>
  <c r="M24" i="14672"/>
  <c r="D24" i="14672"/>
  <c r="G23" i="14672"/>
  <c r="G25" i="14672" s="1"/>
  <c r="B24" i="14672"/>
  <c r="F23" i="14672"/>
  <c r="B35" i="14706"/>
  <c r="B17" i="11"/>
  <c r="B33" i="14667"/>
  <c r="B26" i="14706"/>
  <c r="B22" i="14682"/>
  <c r="B21" i="14682"/>
  <c r="H19" i="14661"/>
  <c r="H21" i="14661" s="1" a="1"/>
  <c r="H21" i="14661" s="1"/>
  <c r="G39" i="4128" s="1"/>
  <c r="B19" i="14661"/>
  <c r="E19" i="14661"/>
  <c r="D19" i="14661"/>
  <c r="D21" i="14661" s="1" a="1"/>
  <c r="D21" i="14661" s="1"/>
  <c r="C39" i="4128" s="1"/>
  <c r="C19" i="14661"/>
  <c r="F19" i="14661"/>
  <c r="F21" i="14661" s="1" a="1"/>
  <c r="F21" i="14661" s="1"/>
  <c r="E39" i="4128" s="1"/>
  <c r="G19" i="14661"/>
  <c r="G21" i="14661" s="1" a="1"/>
  <c r="G21" i="14661" s="1"/>
  <c r="F39" i="4128" s="1"/>
  <c r="J6" i="14667"/>
  <c r="B18" i="14692" a="1"/>
  <c r="D97" i="14687"/>
  <c r="N97" i="14687"/>
  <c r="K97" i="14687"/>
  <c r="L97" i="14687"/>
  <c r="M97" i="14687"/>
  <c r="E97" i="14687"/>
  <c r="O92" i="14687"/>
  <c r="B19" i="14636" a="1"/>
  <c r="B19" i="14636" s="1"/>
  <c r="N9" i="14636"/>
  <c r="N12" i="14636"/>
  <c r="N14" i="14636"/>
  <c r="E15" i="14636"/>
  <c r="L19" i="14636" a="1"/>
  <c r="L19" i="14636" s="1"/>
  <c r="L20" i="14636" s="1"/>
  <c r="G15" i="14636"/>
  <c r="N13" i="14636"/>
  <c r="E19" i="14636" a="1"/>
  <c r="E19" i="14636" s="1"/>
  <c r="E20" i="14636" s="1"/>
  <c r="I15" i="14636"/>
  <c r="N11" i="14636"/>
  <c r="M15" i="14636"/>
  <c r="F28" i="14661"/>
  <c r="F15" i="14672"/>
  <c r="N10" i="14672"/>
  <c r="K19" i="14672" a="1"/>
  <c r="K19" i="14672" s="1"/>
  <c r="K20" i="14672" s="1"/>
  <c r="N11" i="14672"/>
  <c r="J19" i="14672" a="1"/>
  <c r="J19" i="14672" s="1"/>
  <c r="J20" i="14672" s="1"/>
  <c r="D19" i="14672" a="1"/>
  <c r="D19" i="14672" s="1"/>
  <c r="D20" i="14672" s="1"/>
  <c r="K15" i="14672"/>
  <c r="E19" i="14672" a="1"/>
  <c r="E19" i="14672" s="1"/>
  <c r="E20" i="14672" s="1"/>
  <c r="J15" i="14672"/>
  <c r="D15" i="14672"/>
  <c r="N14" i="14672"/>
  <c r="B15" i="8" a="1"/>
  <c r="E28" i="14661"/>
  <c r="F44" i="14695"/>
  <c r="D51" i="14695"/>
  <c r="F37" i="14695"/>
  <c r="J44" i="14695"/>
  <c r="I51" i="14695"/>
  <c r="E51" i="14695"/>
  <c r="E44" i="14695"/>
  <c r="C37" i="14695"/>
  <c r="L37" i="14695"/>
  <c r="B51" i="14695"/>
  <c r="H51" i="14695"/>
  <c r="J51" i="14695"/>
  <c r="F30" i="14695"/>
  <c r="K23" i="14695"/>
  <c r="J37" i="14695"/>
  <c r="E23" i="14695"/>
  <c r="H23" i="14695"/>
  <c r="F23" i="14695"/>
  <c r="E58" i="14695"/>
  <c r="D58" i="14695"/>
  <c r="M37" i="14695"/>
  <c r="I58" i="14695"/>
  <c r="B44" i="14695"/>
  <c r="F58" i="14695"/>
  <c r="I37" i="14695"/>
  <c r="M44" i="14695"/>
  <c r="L58" i="14695"/>
  <c r="J30" i="14695"/>
  <c r="G58" i="14695"/>
  <c r="K44" i="14695"/>
  <c r="I23" i="14695"/>
  <c r="D23" i="14695"/>
  <c r="I44" i="14695"/>
  <c r="H30" i="14695"/>
  <c r="C51" i="14695"/>
  <c r="C23" i="14695"/>
  <c r="G23" i="14695"/>
  <c r="B58" i="14695"/>
  <c r="B37" i="14695"/>
  <c r="K51" i="14695"/>
  <c r="D44" i="14695"/>
  <c r="M23" i="14695"/>
  <c r="J58" i="14695"/>
  <c r="M58" i="14695"/>
  <c r="E37" i="14695"/>
  <c r="G30" i="14695"/>
  <c r="H44" i="14695"/>
  <c r="K58" i="14695"/>
  <c r="G51" i="14695"/>
  <c r="L23" i="14695"/>
  <c r="C44" i="14695"/>
  <c r="K37" i="14695"/>
  <c r="B30" i="14695"/>
  <c r="I30" i="14695"/>
  <c r="L44" i="14695"/>
  <c r="M30" i="14695"/>
  <c r="H37" i="14695"/>
  <c r="C58" i="14695"/>
  <c r="H58" i="14695"/>
  <c r="D30" i="14695"/>
  <c r="G44" i="14695"/>
  <c r="K30" i="14695"/>
  <c r="F51" i="14695"/>
  <c r="G37" i="14695"/>
  <c r="M51" i="14695"/>
  <c r="L51" i="14695"/>
  <c r="J23" i="14695"/>
  <c r="D37" i="14695"/>
  <c r="B23" i="14695"/>
  <c r="C30" i="14695"/>
  <c r="E30" i="14695"/>
  <c r="L30" i="14695"/>
  <c r="B50" i="14695" a="1"/>
  <c r="B43" i="14695" a="1"/>
  <c r="B29" i="14695" a="1"/>
  <c r="B36" i="14695" a="1"/>
  <c r="B22" i="14695" a="1"/>
  <c r="B57" i="14695" a="1"/>
  <c r="G18" i="14673" a="1"/>
  <c r="G18" i="14673" s="1"/>
  <c r="H93" i="14687"/>
  <c r="H96" i="14687"/>
  <c r="K18" i="14673" a="1"/>
  <c r="K18" i="14673" s="1"/>
  <c r="L96" i="14687"/>
  <c r="L93" i="14687"/>
  <c r="H18" i="14673" a="1"/>
  <c r="H18" i="14673" s="1"/>
  <c r="I96" i="14687"/>
  <c r="I93" i="14687"/>
  <c r="I18" i="14673" a="1"/>
  <c r="I18" i="14673" s="1"/>
  <c r="J93" i="14687"/>
  <c r="J96" i="14687"/>
  <c r="K96" i="14687"/>
  <c r="J18" i="14673" a="1"/>
  <c r="J18" i="14673" s="1"/>
  <c r="K93" i="14687"/>
  <c r="F18" i="14673" a="1"/>
  <c r="F18" i="14673" s="1"/>
  <c r="G96" i="14687"/>
  <c r="G93" i="14687"/>
  <c r="O89" i="14687"/>
  <c r="O90" i="14687"/>
  <c r="C29" i="4128" a="1"/>
  <c r="C13" i="4128" a="1"/>
  <c r="C17" i="4128" a="1"/>
  <c r="H25" i="14629"/>
  <c r="H27" i="14629" s="1"/>
  <c r="N24" i="14629"/>
  <c r="M25" i="14629"/>
  <c r="M27" i="14629" s="1"/>
  <c r="G25" i="14629"/>
  <c r="C25" i="14629"/>
  <c r="C27" i="14629" s="1"/>
  <c r="O80" i="14687"/>
  <c r="N19" i="14657" s="1"/>
  <c r="B37" i="14667"/>
  <c r="H18" i="14705"/>
  <c r="H17" i="14705" s="1"/>
  <c r="H24" i="14705"/>
  <c r="J76" i="14665"/>
  <c r="E35" i="14652"/>
  <c r="E39" i="14652"/>
  <c r="E36" i="14652"/>
  <c r="E38" i="14652"/>
  <c r="E33" i="14652"/>
  <c r="E34" i="14652"/>
  <c r="E40" i="14652"/>
  <c r="E37" i="14652"/>
  <c r="N16" i="8"/>
  <c r="B16" i="14696"/>
  <c r="L10" i="14696"/>
  <c r="M10" i="14696" s="1"/>
  <c r="H97" i="14687"/>
  <c r="J97" i="14687"/>
  <c r="F97" i="14687"/>
  <c r="I97" i="14687"/>
  <c r="G97" i="14687"/>
  <c r="O87" i="14687"/>
  <c r="C97" i="14687"/>
  <c r="O91" i="14687"/>
  <c r="O86" i="14687"/>
  <c r="B15" i="14636"/>
  <c r="N7" i="14636"/>
  <c r="I19" i="14636" a="1"/>
  <c r="I19" i="14636" s="1"/>
  <c r="I20" i="14636" s="1"/>
  <c r="J19" i="14636" a="1"/>
  <c r="J19" i="14636" s="1"/>
  <c r="J20" i="14636" s="1"/>
  <c r="K15" i="14636"/>
  <c r="L15" i="14636"/>
  <c r="M19" i="14636" a="1"/>
  <c r="M19" i="14636" s="1"/>
  <c r="M20" i="14636" s="1"/>
  <c r="H19" i="14636" a="1"/>
  <c r="H19" i="14636" s="1"/>
  <c r="H20" i="14636" s="1"/>
  <c r="N10" i="14636"/>
  <c r="N8" i="14636"/>
  <c r="H15" i="14636"/>
  <c r="I24" i="14636"/>
  <c r="J24" i="14636"/>
  <c r="D23" i="14636"/>
  <c r="E24" i="14636"/>
  <c r="J23" i="14636"/>
  <c r="I23" i="14636"/>
  <c r="H24" i="14636"/>
  <c r="F23" i="14636"/>
  <c r="M23" i="14636"/>
  <c r="D24" i="14636"/>
  <c r="G24" i="14636"/>
  <c r="L23" i="14636"/>
  <c r="C24" i="14636"/>
  <c r="E23" i="14636"/>
  <c r="C23" i="14636"/>
  <c r="C25" i="14636" s="1"/>
  <c r="H23" i="14636"/>
  <c r="M24" i="14636"/>
  <c r="K23" i="14636"/>
  <c r="B24" i="14636"/>
  <c r="L24" i="14636"/>
  <c r="B23" i="14636"/>
  <c r="G23" i="14636"/>
  <c r="F24" i="14636"/>
  <c r="K24" i="14636"/>
  <c r="N19" i="14629"/>
  <c r="C16" i="14682" s="1" a="1"/>
  <c r="B20" i="14629"/>
  <c r="H15" i="14672"/>
  <c r="C19" i="14672" a="1"/>
  <c r="C19" i="14672" s="1"/>
  <c r="C20" i="14672" s="1"/>
  <c r="E15" i="14672"/>
  <c r="L15" i="14672"/>
  <c r="N9" i="14672"/>
  <c r="B19" i="14672" a="1"/>
  <c r="B19" i="14672" s="1"/>
  <c r="M15" i="14672"/>
  <c r="N12" i="14672"/>
  <c r="L19" i="14672" a="1"/>
  <c r="L19" i="14672" s="1"/>
  <c r="L20" i="14672" s="1"/>
  <c r="F19" i="14672" a="1"/>
  <c r="F19" i="14672" s="1"/>
  <c r="F20" i="14672" s="1"/>
  <c r="B15" i="14672"/>
  <c r="N7" i="14672"/>
  <c r="I15" i="14672"/>
  <c r="G15" i="14672"/>
  <c r="C15" i="14672"/>
  <c r="M19" i="14672" a="1"/>
  <c r="M19" i="14672" s="1"/>
  <c r="M20" i="14672" s="1"/>
  <c r="N13" i="14672"/>
  <c r="N8" i="14672"/>
  <c r="N27" i="14624"/>
  <c r="C14" i="14657" s="1"/>
  <c r="B15" i="14617"/>
  <c r="N35" i="7"/>
  <c r="B27" i="14683"/>
  <c r="N39" i="7"/>
  <c r="N33" i="7"/>
  <c r="N36" i="7"/>
  <c r="N38" i="7"/>
  <c r="D27" i="14623"/>
  <c r="D10" i="14631" s="1"/>
  <c r="C27" i="14623"/>
  <c r="C10" i="14631" s="1"/>
  <c r="O28" i="14623"/>
  <c r="C22" i="14632" a="1"/>
  <c r="Q28" i="14623"/>
  <c r="E24" i="14632" a="1"/>
  <c r="P28" i="14623"/>
  <c r="D23" i="14632" a="1"/>
  <c r="G26" i="14632"/>
  <c r="S28" i="14623"/>
  <c r="G27" i="14623"/>
  <c r="G10" i="14631" s="1"/>
  <c r="B27" i="14623"/>
  <c r="B28" i="14623" s="1"/>
  <c r="H27" i="14623"/>
  <c r="H10" i="14631" s="1"/>
  <c r="N37" i="7"/>
  <c r="N34" i="7"/>
  <c r="N32" i="7"/>
  <c r="B7" i="8" a="1"/>
  <c r="N5" i="8"/>
  <c r="B5" i="14617" s="1" a="1"/>
  <c r="B6" i="14617" s="1"/>
  <c r="C48" i="14643"/>
  <c r="C41" i="14628" a="1"/>
  <c r="O39" i="14628"/>
  <c r="O19" i="14628"/>
  <c r="E27" i="14623"/>
  <c r="E10" i="14631" s="1"/>
  <c r="N28" i="14623"/>
  <c r="B21" i="14632" a="1"/>
  <c r="M27" i="14623"/>
  <c r="R28" i="14623"/>
  <c r="F25" i="14632" a="1"/>
  <c r="I27" i="14623"/>
  <c r="I10" i="14631" s="1"/>
  <c r="F27" i="14623"/>
  <c r="F10" i="14631" s="1"/>
  <c r="L27" i="14623"/>
  <c r="L10" i="14631" s="1"/>
  <c r="N15" i="14623"/>
  <c r="K27" i="14623"/>
  <c r="K10" i="14631" s="1"/>
  <c r="J27" i="14623"/>
  <c r="J10" i="14631" s="1"/>
  <c r="D9" i="14657" l="1"/>
  <c r="N38" i="14653"/>
  <c r="O52" i="14653"/>
  <c r="O65" i="14653" s="1"/>
  <c r="L39" i="14653"/>
  <c r="L52" i="14653" s="1"/>
  <c r="L65" i="14653" s="1"/>
  <c r="L78" i="14653" s="1"/>
  <c r="L79" i="14653" s="1"/>
  <c r="M39" i="14653"/>
  <c r="M52" i="14653" s="1"/>
  <c r="M65" i="14653" s="1"/>
  <c r="M78" i="14653" s="1"/>
  <c r="I39" i="14653"/>
  <c r="I52" i="14653" s="1"/>
  <c r="I65" i="14653" s="1"/>
  <c r="I78" i="14653" s="1"/>
  <c r="B39" i="14653"/>
  <c r="H39" i="14653"/>
  <c r="H52" i="14653" s="1"/>
  <c r="H65" i="14653" s="1"/>
  <c r="H78" i="14653" s="1"/>
  <c r="C39" i="14653"/>
  <c r="D39" i="14653"/>
  <c r="D52" i="14653" s="1"/>
  <c r="D65" i="14653" s="1"/>
  <c r="D78" i="14653" s="1"/>
  <c r="J39" i="14653"/>
  <c r="E39" i="14653"/>
  <c r="E52" i="14653" s="1"/>
  <c r="E65" i="14653" s="1"/>
  <c r="E78" i="14653" s="1"/>
  <c r="E79" i="14653" s="1"/>
  <c r="F39" i="14653"/>
  <c r="G39" i="14653"/>
  <c r="G52" i="14653" s="1"/>
  <c r="G65" i="14653" s="1"/>
  <c r="G78" i="14653" s="1"/>
  <c r="G79" i="14653" s="1"/>
  <c r="K39" i="14653"/>
  <c r="K52" i="14653" s="1"/>
  <c r="K65" i="14653" s="1"/>
  <c r="K78" i="14653" s="1"/>
  <c r="N50" i="14653"/>
  <c r="I51" i="14653"/>
  <c r="I64" i="14653" s="1"/>
  <c r="I77" i="14653" s="1"/>
  <c r="H16" i="14705"/>
  <c r="H33" i="14705" s="1"/>
  <c r="E25" i="14636"/>
  <c r="N23" i="14694"/>
  <c r="C24" i="11" s="1"/>
  <c r="N46" i="14694"/>
  <c r="L66" i="14653"/>
  <c r="N54" i="14694"/>
  <c r="B53" i="14694"/>
  <c r="H53" i="14694"/>
  <c r="J53" i="14694"/>
  <c r="K53" i="14694"/>
  <c r="L53" i="14694"/>
  <c r="E53" i="14694"/>
  <c r="G53" i="14694"/>
  <c r="D53" i="14694"/>
  <c r="I53" i="14694"/>
  <c r="M53" i="14694"/>
  <c r="F53" i="14694"/>
  <c r="C53" i="14694"/>
  <c r="N31" i="14694"/>
  <c r="I40" i="14653"/>
  <c r="L40" i="14653"/>
  <c r="K61" i="14694"/>
  <c r="B61" i="14694"/>
  <c r="E61" i="14694"/>
  <c r="D61" i="14694"/>
  <c r="J61" i="14694"/>
  <c r="G61" i="14694"/>
  <c r="H61" i="14694"/>
  <c r="I61" i="14694"/>
  <c r="F61" i="14694"/>
  <c r="C61" i="14694"/>
  <c r="L61" i="14694"/>
  <c r="M61" i="14694"/>
  <c r="N62" i="14694"/>
  <c r="N38" i="14694"/>
  <c r="L53" i="14653"/>
  <c r="N63" i="14653"/>
  <c r="K53" i="14653"/>
  <c r="N30" i="14694"/>
  <c r="H53" i="14653"/>
  <c r="G29" i="14694"/>
  <c r="H29" i="14694"/>
  <c r="B29" i="14694"/>
  <c r="C29" i="14694"/>
  <c r="M29" i="14694"/>
  <c r="D29" i="14694"/>
  <c r="E29" i="14694"/>
  <c r="F29" i="14694"/>
  <c r="L29" i="14694"/>
  <c r="I29" i="14694"/>
  <c r="K29" i="14694"/>
  <c r="J29" i="14694"/>
  <c r="N47" i="14694"/>
  <c r="N39" i="14694"/>
  <c r="N55" i="14694"/>
  <c r="F25" i="14672"/>
  <c r="N75" i="14653"/>
  <c r="B37" i="14694"/>
  <c r="M37" i="14694"/>
  <c r="J37" i="14694"/>
  <c r="C37" i="14694"/>
  <c r="E37" i="14694"/>
  <c r="F37" i="14694"/>
  <c r="L37" i="14694"/>
  <c r="G37" i="14694"/>
  <c r="D37" i="14694"/>
  <c r="K37" i="14694"/>
  <c r="I37" i="14694"/>
  <c r="H37" i="14694"/>
  <c r="K40" i="14653"/>
  <c r="I45" i="14694"/>
  <c r="C45" i="14694"/>
  <c r="M45" i="14694"/>
  <c r="F45" i="14694"/>
  <c r="J45" i="14694"/>
  <c r="H45" i="14694"/>
  <c r="G45" i="14694"/>
  <c r="E45" i="14694"/>
  <c r="L45" i="14694"/>
  <c r="D45" i="14694"/>
  <c r="K45" i="14694"/>
  <c r="B45" i="14694"/>
  <c r="L22" i="14694"/>
  <c r="B22" i="14694"/>
  <c r="D22" i="14694"/>
  <c r="F22" i="14694"/>
  <c r="G22" i="14694"/>
  <c r="E22" i="14694"/>
  <c r="M22" i="14694"/>
  <c r="J22" i="14694"/>
  <c r="K22" i="14694"/>
  <c r="H22" i="14694"/>
  <c r="C22" i="14694"/>
  <c r="I22" i="14694"/>
  <c r="M40" i="14653"/>
  <c r="E27" i="14636"/>
  <c r="N23" i="14695"/>
  <c r="C27" i="14636"/>
  <c r="J25" i="14636"/>
  <c r="J27" i="14636" s="1"/>
  <c r="D25" i="14636"/>
  <c r="D27" i="14636" s="1"/>
  <c r="O97" i="14687"/>
  <c r="D41" i="14661" a="1"/>
  <c r="N24" i="14672"/>
  <c r="C25" i="14672"/>
  <c r="C27" i="14672" s="1"/>
  <c r="I25" i="14672"/>
  <c r="I27" i="14672" s="1"/>
  <c r="J19" i="14652" a="1"/>
  <c r="G14" i="14652"/>
  <c r="F7" i="14652" a="1"/>
  <c r="D6" i="14690"/>
  <c r="I5" i="14631"/>
  <c r="C58" i="14643"/>
  <c r="S74" i="14698" a="1"/>
  <c r="S74" i="14698" s="1"/>
  <c r="B5" i="14631"/>
  <c r="E36" i="14630"/>
  <c r="M75" i="14703" a="1"/>
  <c r="M75" i="14703" s="1"/>
  <c r="H25" i="14632" a="1"/>
  <c r="H25" i="14632" s="1"/>
  <c r="R25" i="14632" a="1"/>
  <c r="R25" i="14632" s="1"/>
  <c r="G22" i="14632" a="1"/>
  <c r="G22" i="14632" s="1"/>
  <c r="R73" i="14698" a="1"/>
  <c r="R73" i="14698" s="1"/>
  <c r="K83" i="14703" a="1"/>
  <c r="K83" i="14703" s="1"/>
  <c r="C39" i="14634"/>
  <c r="M19" i="14634" a="1"/>
  <c r="M19" i="14634" s="1"/>
  <c r="P74" i="14698" a="1"/>
  <c r="P74" i="14698" s="1"/>
  <c r="P80" i="14698" a="1"/>
  <c r="P80" i="14698" s="1"/>
  <c r="L39" i="14630"/>
  <c r="B36" i="14630"/>
  <c r="R26" i="14632" a="1"/>
  <c r="R26" i="14632" s="1"/>
  <c r="K22" i="14632" a="1"/>
  <c r="K22" i="14632" s="1"/>
  <c r="B32" i="14698" a="1"/>
  <c r="G38" i="14698" s="1"/>
  <c r="O34" i="14634"/>
  <c r="H5" i="14631"/>
  <c r="C59" i="14643"/>
  <c r="H34" i="14630"/>
  <c r="C35" i="14630"/>
  <c r="J5" i="14631"/>
  <c r="E5" i="14631"/>
  <c r="C5" i="14631"/>
  <c r="C55" i="14643"/>
  <c r="C54" i="14643"/>
  <c r="G34" i="14630"/>
  <c r="K39" i="14630"/>
  <c r="H35" i="14630"/>
  <c r="J39" i="14630"/>
  <c r="H32" i="14630"/>
  <c r="D11" i="14683"/>
  <c r="K240" i="14698" a="1"/>
  <c r="O240" i="14698" s="1"/>
  <c r="H117" i="14698" a="1"/>
  <c r="P117" i="14698" s="1"/>
  <c r="N23" i="14698"/>
  <c r="L75" i="14698" a="1"/>
  <c r="L75" i="14698" s="1"/>
  <c r="N19" i="14634" a="1"/>
  <c r="N19" i="14634" s="1"/>
  <c r="K19" i="14634" a="1"/>
  <c r="K19" i="14634" s="1"/>
  <c r="C19" i="14634" a="1"/>
  <c r="C19" i="14634" s="1"/>
  <c r="F19" i="14634" a="1"/>
  <c r="F19" i="14634" s="1"/>
  <c r="I19" i="14634" a="1"/>
  <c r="I19" i="14634" s="1"/>
  <c r="D5" i="14631"/>
  <c r="L5" i="14631"/>
  <c r="M5" i="14631"/>
  <c r="K5" i="14631"/>
  <c r="F5" i="14631"/>
  <c r="C56" i="14643"/>
  <c r="C53" i="14643"/>
  <c r="C57" i="14643"/>
  <c r="I39" i="14630"/>
  <c r="K33" i="14630"/>
  <c r="E34" i="14630"/>
  <c r="M32" i="14630"/>
  <c r="G38" i="14630"/>
  <c r="I36" i="14630"/>
  <c r="C38" i="14630"/>
  <c r="K37" i="14630"/>
  <c r="D39" i="14630"/>
  <c r="D13" i="14683"/>
  <c r="N22" i="14703"/>
  <c r="N79" i="14703" a="1"/>
  <c r="N79" i="14703" s="1"/>
  <c r="N82" i="14703" a="1"/>
  <c r="N82" i="14703" s="1"/>
  <c r="F22" i="14632" a="1"/>
  <c r="F22" i="14632" s="1"/>
  <c r="P26" i="14632" a="1"/>
  <c r="P26" i="14632" s="1"/>
  <c r="N14" i="14632"/>
  <c r="Q78" i="14698" a="1"/>
  <c r="Q78" i="14698" s="1"/>
  <c r="G39" i="14634"/>
  <c r="R77" i="14703" a="1"/>
  <c r="R77" i="14703" s="1"/>
  <c r="N40" i="7"/>
  <c r="N82" i="14698" a="1"/>
  <c r="N82" i="14698" s="1"/>
  <c r="O26" i="14632" a="1"/>
  <c r="O26" i="14632" s="1"/>
  <c r="J23" i="14632" a="1"/>
  <c r="J23" i="14632" s="1"/>
  <c r="H22" i="14632" a="1"/>
  <c r="H22" i="14632" s="1"/>
  <c r="P23" i="14632" a="1"/>
  <c r="P23" i="14632" s="1"/>
  <c r="G82" i="14698" a="1"/>
  <c r="G82" i="14698" s="1"/>
  <c r="G84" i="14703" a="1"/>
  <c r="G84" i="14703" s="1"/>
  <c r="C15" i="14632"/>
  <c r="I24" i="14632" a="1"/>
  <c r="I24" i="14632" s="1"/>
  <c r="N22" i="14632" a="1"/>
  <c r="N22" i="14632" s="1"/>
  <c r="P72" i="14698" a="1"/>
  <c r="P72" i="14698" s="1"/>
  <c r="C83" i="14698" a="1"/>
  <c r="C83" i="14698" s="1"/>
  <c r="B195" i="14698" a="1"/>
  <c r="M195" i="14698" s="1"/>
  <c r="F15" i="14632"/>
  <c r="E21" i="14632" a="1"/>
  <c r="E21" i="14632" s="1"/>
  <c r="M26" i="14632" a="1"/>
  <c r="M26" i="14632" s="1"/>
  <c r="F191" i="14698" a="1"/>
  <c r="H191" i="14698" s="1"/>
  <c r="M75" i="14698" a="1"/>
  <c r="M75" i="14698" s="1"/>
  <c r="D175" i="14698" a="1"/>
  <c r="O175" i="14698" s="1"/>
  <c r="Q79" i="14698" a="1"/>
  <c r="Q79" i="14698" s="1"/>
  <c r="N10" i="14632"/>
  <c r="H189" i="14703" a="1"/>
  <c r="M189" i="14703" s="1"/>
  <c r="I20" i="14632" a="1"/>
  <c r="I20" i="14632" s="1"/>
  <c r="K39" i="14634"/>
  <c r="O32" i="14634"/>
  <c r="U72" i="14698" a="1"/>
  <c r="U72" i="14698" s="1"/>
  <c r="L28" i="14698"/>
  <c r="C21" i="14683"/>
  <c r="C23" i="14683"/>
  <c r="J115" i="14703" a="1"/>
  <c r="T115" i="14703" s="1"/>
  <c r="L113" i="14703" a="1"/>
  <c r="S113" i="14703" s="1"/>
  <c r="H78" i="14703" a="1"/>
  <c r="H78" i="14703" s="1"/>
  <c r="L23" i="14632" a="1"/>
  <c r="L23" i="14632" s="1"/>
  <c r="D20" i="14632" a="1"/>
  <c r="D20" i="14632" s="1"/>
  <c r="D15" i="14632"/>
  <c r="I25" i="14632" a="1"/>
  <c r="I25" i="14632" s="1"/>
  <c r="H24" i="14632" a="1"/>
  <c r="H24" i="14632" s="1"/>
  <c r="K24" i="14632" a="1"/>
  <c r="K24" i="14632" s="1"/>
  <c r="I22" i="14632" a="1"/>
  <c r="I22" i="14632" s="1"/>
  <c r="G15" i="14632"/>
  <c r="H21" i="14632" a="1"/>
  <c r="H21" i="14632" s="1"/>
  <c r="I23" i="14632" a="1"/>
  <c r="I23" i="14632" s="1"/>
  <c r="K25" i="14632" a="1"/>
  <c r="K25" i="14632" s="1"/>
  <c r="F20" i="14632" a="1"/>
  <c r="F20" i="14632" s="1"/>
  <c r="L26" i="14632" a="1"/>
  <c r="L26" i="14632" s="1"/>
  <c r="Q24" i="14632" a="1"/>
  <c r="Q24" i="14632" s="1"/>
  <c r="N21" i="14632" a="1"/>
  <c r="N21" i="14632" s="1"/>
  <c r="M20" i="14632" a="1"/>
  <c r="M20" i="14632" s="1"/>
  <c r="M15" i="14632"/>
  <c r="J223" i="14698" a="1"/>
  <c r="P223" i="14698" s="1"/>
  <c r="D229" i="14698" a="1"/>
  <c r="K229" i="14698" s="1"/>
  <c r="L74" i="14698" a="1"/>
  <c r="L74" i="14698" s="1"/>
  <c r="P75" i="14698" a="1"/>
  <c r="P75" i="14698" s="1"/>
  <c r="J81" i="14698" a="1"/>
  <c r="J81" i="14698" s="1"/>
  <c r="I82" i="14698" a="1"/>
  <c r="I82" i="14698" s="1"/>
  <c r="Q74" i="14698" a="1"/>
  <c r="Q74" i="14698" s="1"/>
  <c r="S72" i="14698" a="1"/>
  <c r="S72" i="14698" s="1"/>
  <c r="J79" i="14698" a="1"/>
  <c r="J79" i="14698" s="1"/>
  <c r="F83" i="14698" a="1"/>
  <c r="F83" i="14698" s="1"/>
  <c r="L77" i="14698" a="1"/>
  <c r="L77" i="14698" s="1"/>
  <c r="L167" i="14698" a="1"/>
  <c r="R167" i="14698" s="1"/>
  <c r="F173" i="14698" a="1"/>
  <c r="M173" i="14698" s="1"/>
  <c r="N165" i="14698" a="1"/>
  <c r="Y165" i="14698" s="1"/>
  <c r="K168" i="14698" a="1"/>
  <c r="R168" i="14698" s="1"/>
  <c r="N79" i="14698" a="1"/>
  <c r="N79" i="14698" s="1"/>
  <c r="M80" i="14698" a="1"/>
  <c r="M80" i="14698" s="1"/>
  <c r="R75" i="14698" a="1"/>
  <c r="R75" i="14698" s="1"/>
  <c r="L81" i="14698" a="1"/>
  <c r="L81" i="14698" s="1"/>
  <c r="N129" i="14698" a="1"/>
  <c r="Y129" i="14698" s="1"/>
  <c r="N24" i="14698"/>
  <c r="V73" i="14698" a="1"/>
  <c r="V73" i="14698" s="1"/>
  <c r="M82" i="14698" a="1"/>
  <c r="M82" i="14698" s="1"/>
  <c r="T75" i="14698" a="1"/>
  <c r="T75" i="14698" s="1"/>
  <c r="E40" i="14630"/>
  <c r="K40" i="14630"/>
  <c r="G19" i="14634" a="1"/>
  <c r="G19" i="14634" s="1"/>
  <c r="M39" i="14634"/>
  <c r="O35" i="14634"/>
  <c r="M82" i="14703" a="1"/>
  <c r="M82" i="14703" s="1"/>
  <c r="V73" i="14703" a="1"/>
  <c r="V73" i="14703" s="1"/>
  <c r="K28" i="14703"/>
  <c r="L78" i="14703" a="1"/>
  <c r="L78" i="14703" s="1"/>
  <c r="N129" i="14703" a="1"/>
  <c r="P129" i="14703" s="1"/>
  <c r="R79" i="14703" a="1"/>
  <c r="R79" i="14703" s="1"/>
  <c r="L82" i="14703" a="1"/>
  <c r="L82" i="14703" s="1"/>
  <c r="V72" i="14703" a="1"/>
  <c r="V72" i="14703" s="1"/>
  <c r="J19" i="14634" a="1"/>
  <c r="J19" i="14634" s="1"/>
  <c r="H39" i="14634"/>
  <c r="O36" i="14634"/>
  <c r="L19" i="14634" a="1"/>
  <c r="L19" i="14634" s="1"/>
  <c r="E19" i="14634" a="1"/>
  <c r="E19" i="14634" s="1"/>
  <c r="O33" i="14634"/>
  <c r="D19" i="14634" a="1"/>
  <c r="D19" i="14634" s="1"/>
  <c r="H28" i="14703"/>
  <c r="J82" i="14703" a="1"/>
  <c r="J82" i="14703" s="1"/>
  <c r="J81" i="14703" a="1"/>
  <c r="J81" i="14703" s="1"/>
  <c r="C20" i="14632" a="1"/>
  <c r="C20" i="14632" s="1"/>
  <c r="F23" i="14632" a="1"/>
  <c r="F23" i="14632" s="1"/>
  <c r="G24" i="14632" a="1"/>
  <c r="G24" i="14632" s="1"/>
  <c r="D21" i="14632" a="1"/>
  <c r="D21" i="14632" s="1"/>
  <c r="H26" i="14632" a="1"/>
  <c r="H26" i="14632" s="1"/>
  <c r="N8" i="14632"/>
  <c r="F21" i="14632" a="1"/>
  <c r="F21" i="14632" s="1"/>
  <c r="J25" i="14632" a="1"/>
  <c r="J25" i="14632" s="1"/>
  <c r="E20" i="14632" a="1"/>
  <c r="E20" i="14632" s="1"/>
  <c r="E15" i="14632"/>
  <c r="L20" i="14632" a="1"/>
  <c r="L20" i="14632" s="1"/>
  <c r="M21" i="14632" a="1"/>
  <c r="M21" i="14632" s="1"/>
  <c r="P24" i="14632" a="1"/>
  <c r="P24" i="14632" s="1"/>
  <c r="L15" i="14632"/>
  <c r="I116" i="14698" a="1"/>
  <c r="Q116" i="14698" s="1"/>
  <c r="C122" i="14698" a="1"/>
  <c r="F122" i="14698" s="1"/>
  <c r="M112" i="14698" a="1"/>
  <c r="P112" i="14698" s="1"/>
  <c r="I79" i="14698" a="1"/>
  <c r="I79" i="14698" s="1"/>
  <c r="D84" i="14698" a="1"/>
  <c r="D84" i="14698" s="1"/>
  <c r="F82" i="14698" a="1"/>
  <c r="F82" i="14698" s="1"/>
  <c r="M148" i="14698" a="1"/>
  <c r="Q148" i="14698" s="1"/>
  <c r="F155" i="14698" a="1"/>
  <c r="N155" i="14698" s="1"/>
  <c r="H78" i="14698" a="1"/>
  <c r="H78" i="14698" s="1"/>
  <c r="L185" i="14698" a="1"/>
  <c r="U185" i="14698" s="1"/>
  <c r="J187" i="14698" a="1"/>
  <c r="J187" i="14698" s="1"/>
  <c r="K186" i="14698" a="1"/>
  <c r="O186" i="14698" s="1"/>
  <c r="V74" i="14698" a="1"/>
  <c r="V74" i="14698" s="1"/>
  <c r="R78" i="14698" a="1"/>
  <c r="R78" i="14698" s="1"/>
  <c r="W73" i="14698" a="1"/>
  <c r="W73" i="14698" s="1"/>
  <c r="U75" i="14698" a="1"/>
  <c r="U75" i="14698" s="1"/>
  <c r="S77" i="14698" a="1"/>
  <c r="S77" i="14698" s="1"/>
  <c r="L84" i="14698" a="1"/>
  <c r="L84" i="14698" s="1"/>
  <c r="O81" i="14698" a="1"/>
  <c r="O81" i="14698" s="1"/>
  <c r="I15" i="14632"/>
  <c r="J21" i="14632" a="1"/>
  <c r="J21" i="14632" s="1"/>
  <c r="M24" i="14632" a="1"/>
  <c r="M24" i="14632" s="1"/>
  <c r="N25" i="14632" a="1"/>
  <c r="N25" i="14632" s="1"/>
  <c r="J24" i="14632" a="1"/>
  <c r="J24" i="14632" s="1"/>
  <c r="G21" i="14632" a="1"/>
  <c r="G21" i="14632" s="1"/>
  <c r="I26" i="14632" a="1"/>
  <c r="I26" i="14632" s="1"/>
  <c r="E22" i="14632" a="1"/>
  <c r="E22" i="14632" s="1"/>
  <c r="S26" i="14632" a="1"/>
  <c r="S26" i="14632" s="1"/>
  <c r="G26" i="14638" s="1"/>
  <c r="O22" i="14632" a="1"/>
  <c r="O22" i="14632" s="1"/>
  <c r="G23" i="14632" a="1"/>
  <c r="G23" i="14632" s="1"/>
  <c r="J26" i="14632" a="1"/>
  <c r="J26" i="14632" s="1"/>
  <c r="H23" i="14632" a="1"/>
  <c r="H23" i="14632" s="1"/>
  <c r="K26" i="14632" a="1"/>
  <c r="K26" i="14632" s="1"/>
  <c r="L25" i="14632" a="1"/>
  <c r="L25" i="14632" s="1"/>
  <c r="G20" i="14632" a="1"/>
  <c r="G20" i="14632" s="1"/>
  <c r="Q25" i="14632" a="1"/>
  <c r="Q25" i="14632" s="1"/>
  <c r="O23" i="14632" a="1"/>
  <c r="O23" i="14632" s="1"/>
  <c r="L39" i="14634"/>
  <c r="I39" i="14634"/>
  <c r="H19" i="14634" a="1"/>
  <c r="H19" i="14634" s="1"/>
  <c r="F39" i="14634"/>
  <c r="E192" i="14698" a="1"/>
  <c r="G192" i="14698" s="1"/>
  <c r="C194" i="14698" a="1"/>
  <c r="M194" i="14698" s="1"/>
  <c r="K80" i="14698" a="1"/>
  <c r="K80" i="14698" s="1"/>
  <c r="N77" i="14698" a="1"/>
  <c r="N77" i="14698" s="1"/>
  <c r="E83" i="14698" a="1"/>
  <c r="E83" i="14698" s="1"/>
  <c r="H80" i="14698" a="1"/>
  <c r="H80" i="14698" s="1"/>
  <c r="I84" i="14698" a="1"/>
  <c r="I84" i="14698" s="1"/>
  <c r="J169" i="14698" a="1"/>
  <c r="O169" i="14698" s="1"/>
  <c r="B177" i="14698" a="1"/>
  <c r="I177" i="14698" s="1"/>
  <c r="B84" i="14698" a="1"/>
  <c r="B84" i="14698" s="1"/>
  <c r="F80" i="14698" a="1"/>
  <c r="F80" i="14698" s="1"/>
  <c r="O74" i="14698" a="1"/>
  <c r="O74" i="14698" s="1"/>
  <c r="K150" i="14698" a="1"/>
  <c r="S150" i="14698" s="1"/>
  <c r="K28" i="14698"/>
  <c r="X72" i="14698" a="1"/>
  <c r="X72" i="14698" s="1"/>
  <c r="M83" i="14698" a="1"/>
  <c r="M83" i="14698" s="1"/>
  <c r="T76" i="14698" a="1"/>
  <c r="T76" i="14698" s="1"/>
  <c r="O80" i="14703" a="1"/>
  <c r="O80" i="14703" s="1"/>
  <c r="B32" i="14703" a="1"/>
  <c r="D32" i="14703" s="1"/>
  <c r="C40" i="14630"/>
  <c r="C25" i="14683"/>
  <c r="C19" i="14683"/>
  <c r="N183" i="14698" a="1"/>
  <c r="V183" i="14698" s="1"/>
  <c r="M184" i="14698" a="1"/>
  <c r="O184" i="14698" s="1"/>
  <c r="D193" i="14698" a="1"/>
  <c r="M193" i="14698" s="1"/>
  <c r="I188" i="14698" a="1"/>
  <c r="G190" i="14698" a="1"/>
  <c r="H190" i="14698" s="1"/>
  <c r="H189" i="14698" a="1"/>
  <c r="J189" i="14698" s="1"/>
  <c r="G28" i="14698"/>
  <c r="O76" i="14698" a="1"/>
  <c r="O76" i="14698" s="1"/>
  <c r="L79" i="14698" a="1"/>
  <c r="L79" i="14698" s="1"/>
  <c r="H83" i="14698" a="1"/>
  <c r="H83" i="14698" s="1"/>
  <c r="G84" i="14698" a="1"/>
  <c r="G84" i="14698" s="1"/>
  <c r="M78" i="14698" a="1"/>
  <c r="M78" i="14698" s="1"/>
  <c r="L76" i="14698" a="1"/>
  <c r="L76" i="14698" s="1"/>
  <c r="D28" i="14698"/>
  <c r="O73" i="14698" a="1"/>
  <c r="O73" i="14698" s="1"/>
  <c r="K77" i="14698" a="1"/>
  <c r="K77" i="14698" s="1"/>
  <c r="J78" i="14698" a="1"/>
  <c r="J78" i="14698" s="1"/>
  <c r="G81" i="14698" a="1"/>
  <c r="G81" i="14698" s="1"/>
  <c r="N74" i="14698" a="1"/>
  <c r="N74" i="14698" s="1"/>
  <c r="I28" i="14698"/>
  <c r="O78" i="14698" a="1"/>
  <c r="O78" i="14698" s="1"/>
  <c r="Q76" i="14698" a="1"/>
  <c r="Q76" i="14698" s="1"/>
  <c r="T73" i="14698" a="1"/>
  <c r="T73" i="14698" s="1"/>
  <c r="P77" i="14698" a="1"/>
  <c r="P77" i="14698" s="1"/>
  <c r="K82" i="14698" a="1"/>
  <c r="K82" i="14698" s="1"/>
  <c r="J83" i="14698" a="1"/>
  <c r="J83" i="14698" s="1"/>
  <c r="M166" i="14698" a="1"/>
  <c r="C176" i="14698" a="1"/>
  <c r="K176" i="14698" s="1"/>
  <c r="G172" i="14698" a="1"/>
  <c r="H171" i="14698" a="1"/>
  <c r="L171" i="14698" s="1"/>
  <c r="I170" i="14698" a="1"/>
  <c r="R170" i="14698" s="1"/>
  <c r="E174" i="14698" a="1"/>
  <c r="G118" i="14698" a="1"/>
  <c r="G79" i="14698" a="1"/>
  <c r="G79" i="14698" s="1"/>
  <c r="E81" i="14698" a="1"/>
  <c r="E81" i="14698" s="1"/>
  <c r="K75" i="14698" a="1"/>
  <c r="K75" i="14698" s="1"/>
  <c r="K114" i="14698" a="1"/>
  <c r="F119" i="14698" a="1"/>
  <c r="F119" i="14698" s="1"/>
  <c r="J115" i="14698" a="1"/>
  <c r="I80" i="14698" a="1"/>
  <c r="I80" i="14698" s="1"/>
  <c r="P73" i="14698" a="1"/>
  <c r="P73" i="14698" s="1"/>
  <c r="B159" i="14698" a="1"/>
  <c r="I152" i="14698" a="1"/>
  <c r="Q152" i="14698" s="1"/>
  <c r="N147" i="14698" a="1"/>
  <c r="O147" i="14698" s="1"/>
  <c r="E156" i="14698" a="1"/>
  <c r="R77" i="14698" a="1"/>
  <c r="R77" i="14698" s="1"/>
  <c r="S76" i="14698" a="1"/>
  <c r="S76" i="14698" s="1"/>
  <c r="W72" i="14703" a="1"/>
  <c r="W72" i="14703" s="1"/>
  <c r="K84" i="14703" a="1"/>
  <c r="K84" i="14703" s="1"/>
  <c r="R74" i="14703" a="1"/>
  <c r="R74" i="14703" s="1"/>
  <c r="L81" i="14703" a="1"/>
  <c r="L81" i="14703" s="1"/>
  <c r="N39" i="14634"/>
  <c r="N201" i="14703" a="1"/>
  <c r="O201" i="14703" s="1"/>
  <c r="N72" i="14703" a="1"/>
  <c r="N72" i="14703" s="1"/>
  <c r="C83" i="14703" a="1"/>
  <c r="C83" i="14703" s="1"/>
  <c r="N23" i="14632" a="1"/>
  <c r="N23" i="14632" s="1"/>
  <c r="I21" i="14632" a="1"/>
  <c r="I21" i="14632" s="1"/>
  <c r="J205" i="14698" a="1"/>
  <c r="N205" i="14698" s="1"/>
  <c r="N72" i="14698" a="1"/>
  <c r="N72" i="14698" s="1"/>
  <c r="M73" i="14698" a="1"/>
  <c r="M73" i="14698" s="1"/>
  <c r="D82" i="14698" a="1"/>
  <c r="D82" i="14698" s="1"/>
  <c r="B28" i="14698"/>
  <c r="I77" i="14698" a="1"/>
  <c r="I77" i="14698" s="1"/>
  <c r="J76" i="14698" a="1"/>
  <c r="J76" i="14698" s="1"/>
  <c r="D121" i="14698" a="1"/>
  <c r="K121" i="14698" s="1"/>
  <c r="N20" i="14698"/>
  <c r="N111" i="14698" a="1"/>
  <c r="N111" i="14698" s="1"/>
  <c r="B123" i="14698" a="1"/>
  <c r="M123" i="14698" s="1"/>
  <c r="E120" i="14698" a="1"/>
  <c r="I120" i="14698" s="1"/>
  <c r="L113" i="14698" a="1"/>
  <c r="W113" i="14698" s="1"/>
  <c r="O77" i="14698" a="1"/>
  <c r="O77" i="14698" s="1"/>
  <c r="M81" i="14698" a="1"/>
  <c r="M81" i="14698" s="1"/>
  <c r="E84" i="14698" a="1"/>
  <c r="E84" i="14698" s="1"/>
  <c r="K78" i="14698" a="1"/>
  <c r="K78" i="14698" s="1"/>
  <c r="H81" i="14698" a="1"/>
  <c r="H81" i="14698" s="1"/>
  <c r="Q72" i="14698" a="1"/>
  <c r="Q72" i="14698" s="1"/>
  <c r="N75" i="14698" a="1"/>
  <c r="N75" i="14698" s="1"/>
  <c r="M76" i="14698" a="1"/>
  <c r="M76" i="14698" s="1"/>
  <c r="E28" i="14698"/>
  <c r="N22" i="14698"/>
  <c r="D157" i="14698" a="1"/>
  <c r="I157" i="14698" s="1"/>
  <c r="L149" i="14698" a="1"/>
  <c r="W149" i="14698" s="1"/>
  <c r="J151" i="14698" a="1"/>
  <c r="Q151" i="14698" s="1"/>
  <c r="H153" i="14698" a="1"/>
  <c r="O153" i="14698" s="1"/>
  <c r="C158" i="14698" a="1"/>
  <c r="H158" i="14698" s="1"/>
  <c r="G154" i="14698" a="1"/>
  <c r="L154" i="14698" s="1"/>
  <c r="L83" i="14698" a="1"/>
  <c r="L83" i="14698" s="1"/>
  <c r="P79" i="14698" a="1"/>
  <c r="P79" i="14698" s="1"/>
  <c r="K84" i="14698" a="1"/>
  <c r="K84" i="14698" s="1"/>
  <c r="O80" i="14698" a="1"/>
  <c r="O80" i="14698" s="1"/>
  <c r="U74" i="14698" a="1"/>
  <c r="U74" i="14698" s="1"/>
  <c r="N81" i="14698" a="1"/>
  <c r="N81" i="14698" s="1"/>
  <c r="W72" i="14698" a="1"/>
  <c r="W72" i="14698" s="1"/>
  <c r="L40" i="14630"/>
  <c r="I40" i="14630"/>
  <c r="H40" i="14630"/>
  <c r="O31" i="14634"/>
  <c r="N81" i="14703" a="1"/>
  <c r="N81" i="14703" s="1"/>
  <c r="Q78" i="14703" a="1"/>
  <c r="Q78" i="14703" s="1"/>
  <c r="U74" i="14703" a="1"/>
  <c r="U74" i="14703" s="1"/>
  <c r="T75" i="14703" a="1"/>
  <c r="T75" i="14703" s="1"/>
  <c r="L83" i="14703" a="1"/>
  <c r="L83" i="14703" s="1"/>
  <c r="P79" i="14703" a="1"/>
  <c r="P79" i="14703" s="1"/>
  <c r="G83" i="14703" a="1"/>
  <c r="G83" i="14703" s="1"/>
  <c r="L131" i="14703" a="1"/>
  <c r="V75" i="14703" a="1"/>
  <c r="V75" i="14703" s="1"/>
  <c r="O79" i="14703" a="1"/>
  <c r="O79" i="14703" s="1"/>
  <c r="U73" i="14703" a="1"/>
  <c r="U73" i="14703" s="1"/>
  <c r="M81" i="14703" a="1"/>
  <c r="M81" i="14703" s="1"/>
  <c r="N80" i="14703" a="1"/>
  <c r="N80" i="14703" s="1"/>
  <c r="L185" i="14703" a="1"/>
  <c r="V185" i="14703" s="1"/>
  <c r="J39" i="14634"/>
  <c r="E39" i="14634"/>
  <c r="D39" i="14634"/>
  <c r="O38" i="14634"/>
  <c r="Q75" i="14703" a="1"/>
  <c r="Q75" i="14703" s="1"/>
  <c r="I83" i="14703" a="1"/>
  <c r="I83" i="14703" s="1"/>
  <c r="M79" i="14703" a="1"/>
  <c r="M79" i="14703" s="1"/>
  <c r="T72" i="14703" a="1"/>
  <c r="T72" i="14703" s="1"/>
  <c r="L79" i="14703" a="1"/>
  <c r="L79" i="14703" s="1"/>
  <c r="L77" i="14703" a="1"/>
  <c r="L77" i="14703" s="1"/>
  <c r="S76" i="14703" a="1"/>
  <c r="S76" i="14703" s="1"/>
  <c r="I82" i="14703" a="1"/>
  <c r="I82" i="14703" s="1"/>
  <c r="J83" i="14703" a="1"/>
  <c r="J83" i="14703" s="1"/>
  <c r="L80" i="14703" a="1"/>
  <c r="L80" i="14703" s="1"/>
  <c r="M77" i="14703" a="1"/>
  <c r="M77" i="14703" s="1"/>
  <c r="N27" i="14703"/>
  <c r="K76" i="14703" a="1"/>
  <c r="K76" i="14703" s="1"/>
  <c r="N26" i="14632" a="1"/>
  <c r="N26" i="14632" s="1"/>
  <c r="K15" i="14632"/>
  <c r="N219" i="14698" a="1"/>
  <c r="Q219" i="14698" s="1"/>
  <c r="I81" i="14698" a="1"/>
  <c r="I81" i="14698" s="1"/>
  <c r="H135" i="14698" a="1"/>
  <c r="K75" i="14703" a="1"/>
  <c r="K75" i="14703" s="1"/>
  <c r="O82" i="14703" a="1"/>
  <c r="O82" i="14703" s="1"/>
  <c r="F137" i="14703" a="1"/>
  <c r="E228" i="14703" a="1"/>
  <c r="N228" i="14703" s="1"/>
  <c r="B20" i="14632" a="1"/>
  <c r="B20" i="14632" s="1"/>
  <c r="O25" i="14632" a="1"/>
  <c r="O25" i="14632" s="1"/>
  <c r="J77" i="14698" a="1"/>
  <c r="J77" i="14698" s="1"/>
  <c r="J28" i="14698"/>
  <c r="R79" i="14698" a="1"/>
  <c r="R79" i="14698" s="1"/>
  <c r="J241" i="14698" a="1"/>
  <c r="R241" i="14698" s="1"/>
  <c r="J82" i="14698" a="1"/>
  <c r="J82" i="14698" s="1"/>
  <c r="O37" i="14634"/>
  <c r="D10" i="14683"/>
  <c r="D6" i="14683"/>
  <c r="S73" i="14703" a="1"/>
  <c r="S73" i="14703" s="1"/>
  <c r="H84" i="14703" a="1"/>
  <c r="H84" i="14703" s="1"/>
  <c r="P76" i="14703" a="1"/>
  <c r="P76" i="14703" s="1"/>
  <c r="K81" i="14703" a="1"/>
  <c r="K81" i="14703" s="1"/>
  <c r="O77" i="14703" a="1"/>
  <c r="O77" i="14703" s="1"/>
  <c r="G28" i="14703"/>
  <c r="R73" i="14703" a="1"/>
  <c r="R73" i="14703" s="1"/>
  <c r="M78" i="14703" a="1"/>
  <c r="M78" i="14703" s="1"/>
  <c r="I77" i="14703" a="1"/>
  <c r="I77" i="14703" s="1"/>
  <c r="F80" i="14703" a="1"/>
  <c r="F80" i="14703" s="1"/>
  <c r="G79" i="14703" a="1"/>
  <c r="G79" i="14703" s="1"/>
  <c r="E120" i="14703" a="1"/>
  <c r="D121" i="14703" a="1"/>
  <c r="S74" i="14703" a="1"/>
  <c r="S74" i="14703" s="1"/>
  <c r="T77" i="14703" a="1"/>
  <c r="T77" i="14703" s="1"/>
  <c r="K186" i="14703" a="1"/>
  <c r="J187" i="14703" a="1"/>
  <c r="K187" i="14703" s="1"/>
  <c r="F24" i="14632" a="1"/>
  <c r="F24" i="14632" s="1"/>
  <c r="C34" i="14630"/>
  <c r="H37" i="14630"/>
  <c r="J36" i="14630"/>
  <c r="B35" i="14630"/>
  <c r="D35" i="14630"/>
  <c r="J35" i="14630"/>
  <c r="I38" i="14630"/>
  <c r="I37" i="14630"/>
  <c r="M34" i="14630"/>
  <c r="F33" i="14630"/>
  <c r="D32" i="14630"/>
  <c r="G39" i="14630"/>
  <c r="G33" i="14630"/>
  <c r="J38" i="14630"/>
  <c r="M35" i="14630"/>
  <c r="B37" i="14630"/>
  <c r="F32" i="14630"/>
  <c r="C39" i="14630"/>
  <c r="D8" i="14683"/>
  <c r="D9" i="14683"/>
  <c r="D7" i="14683"/>
  <c r="M220" i="14698" a="1"/>
  <c r="V220" i="14698" s="1"/>
  <c r="N201" i="14698" a="1"/>
  <c r="X201" i="14698" s="1"/>
  <c r="C248" i="14703" a="1"/>
  <c r="L248" i="14703" s="1"/>
  <c r="N78" i="14703" a="1"/>
  <c r="N78" i="14703" s="1"/>
  <c r="N13" i="14632"/>
  <c r="N9" i="14632"/>
  <c r="N12" i="14632"/>
  <c r="P80" i="14703" a="1"/>
  <c r="P80" i="14703" s="1"/>
  <c r="S72" i="14703" a="1"/>
  <c r="S72" i="14703" s="1"/>
  <c r="O76" i="14703" a="1"/>
  <c r="O76" i="14703" s="1"/>
  <c r="Q74" i="14703" a="1"/>
  <c r="Q74" i="14703" s="1"/>
  <c r="N77" i="14703" a="1"/>
  <c r="N77" i="14703" s="1"/>
  <c r="K80" i="14703" a="1"/>
  <c r="K80" i="14703" s="1"/>
  <c r="P75" i="14703" a="1"/>
  <c r="P75" i="14703" s="1"/>
  <c r="H83" i="14703" a="1"/>
  <c r="H83" i="14703" s="1"/>
  <c r="N183" i="14703" a="1"/>
  <c r="F191" i="14703" a="1"/>
  <c r="G191" i="14703" s="1"/>
  <c r="D193" i="14703" a="1"/>
  <c r="I193" i="14703" s="1"/>
  <c r="S75" i="14703" a="1"/>
  <c r="S75" i="14703" s="1"/>
  <c r="R76" i="14703" a="1"/>
  <c r="R76" i="14703" s="1"/>
  <c r="Q77" i="14703" a="1"/>
  <c r="Q77" i="14703" s="1"/>
  <c r="T74" i="14703" a="1"/>
  <c r="T74" i="14703" s="1"/>
  <c r="P78" i="14703" a="1"/>
  <c r="P78" i="14703" s="1"/>
  <c r="J84" i="14703" a="1"/>
  <c r="J84" i="14703" s="1"/>
  <c r="J28" i="14703"/>
  <c r="D139" i="14703" a="1"/>
  <c r="F139" i="14703" s="1"/>
  <c r="I134" i="14703" a="1"/>
  <c r="L134" i="14703" s="1"/>
  <c r="B141" i="14703" a="1"/>
  <c r="E141" i="14703" s="1"/>
  <c r="J133" i="14703" a="1"/>
  <c r="Q133" i="14703" s="1"/>
  <c r="F84" i="14703" a="1"/>
  <c r="F84" i="14703" s="1"/>
  <c r="N76" i="14703" a="1"/>
  <c r="N76" i="14703" s="1"/>
  <c r="O75" i="14703" a="1"/>
  <c r="O75" i="14703" s="1"/>
  <c r="I81" i="14703" a="1"/>
  <c r="I81" i="14703" s="1"/>
  <c r="G208" i="14703" a="1"/>
  <c r="Q208" i="14703" s="1"/>
  <c r="G80" i="14703" a="1"/>
  <c r="G80" i="14703" s="1"/>
  <c r="K114" i="14703" a="1"/>
  <c r="T114" i="14703" s="1"/>
  <c r="H117" i="14703" a="1"/>
  <c r="L117" i="14703" s="1"/>
  <c r="C122" i="14703" a="1"/>
  <c r="M122" i="14703" s="1"/>
  <c r="I116" i="14703" a="1"/>
  <c r="P116" i="14703" s="1"/>
  <c r="N111" i="14703" a="1"/>
  <c r="S111" i="14703" s="1"/>
  <c r="G118" i="14703" a="1"/>
  <c r="J118" i="14703" s="1"/>
  <c r="B123" i="14703" a="1"/>
  <c r="L123" i="14703" s="1"/>
  <c r="M28" i="14703"/>
  <c r="M84" i="14703" a="1"/>
  <c r="M84" i="14703" s="1"/>
  <c r="P81" i="14703" a="1"/>
  <c r="P81" i="14703" s="1"/>
  <c r="T73" i="14703" a="1"/>
  <c r="T73" i="14703" s="1"/>
  <c r="R75" i="14703" a="1"/>
  <c r="R75" i="14703" s="1"/>
  <c r="K82" i="14703" a="1"/>
  <c r="K82" i="14703" s="1"/>
  <c r="I170" i="14703" a="1"/>
  <c r="T170" i="14703" s="1"/>
  <c r="E81" i="14703" a="1"/>
  <c r="E81" i="14703" s="1"/>
  <c r="J76" i="14703" a="1"/>
  <c r="J76" i="14703" s="1"/>
  <c r="D82" i="14703" a="1"/>
  <c r="D82" i="14703" s="1"/>
  <c r="B28" i="14703"/>
  <c r="L74" i="14703" a="1"/>
  <c r="L74" i="14703" s="1"/>
  <c r="K77" i="14703" a="1"/>
  <c r="K77" i="14703" s="1"/>
  <c r="K78" i="14703" a="1"/>
  <c r="K78" i="14703" s="1"/>
  <c r="L221" i="14703" a="1"/>
  <c r="T221" i="14703" s="1"/>
  <c r="M23" i="14632" a="1"/>
  <c r="M23" i="14632" s="1"/>
  <c r="N24" i="14632" a="1"/>
  <c r="N24" i="14632" s="1"/>
  <c r="J15" i="14632"/>
  <c r="P25" i="14632" a="1"/>
  <c r="P25" i="14632" s="1"/>
  <c r="M22" i="14632" a="1"/>
  <c r="M22" i="14632" s="1"/>
  <c r="L24" i="14632" a="1"/>
  <c r="L24" i="14632" s="1"/>
  <c r="K23" i="14632" a="1"/>
  <c r="K23" i="14632" s="1"/>
  <c r="D22" i="14632" a="1"/>
  <c r="D22" i="14632" s="1"/>
  <c r="C21" i="14632" a="1"/>
  <c r="C21" i="14632" s="1"/>
  <c r="B231" i="14698" a="1"/>
  <c r="H231" i="14698" s="1"/>
  <c r="N26" i="14698"/>
  <c r="I224" i="14698" a="1"/>
  <c r="O224" i="14698" s="1"/>
  <c r="F227" i="14698" a="1"/>
  <c r="H227" i="14698" s="1"/>
  <c r="B213" i="14698" a="1"/>
  <c r="H213" i="14698" s="1"/>
  <c r="C212" i="14698" a="1"/>
  <c r="K212" i="14698" s="1"/>
  <c r="K204" i="14698" a="1"/>
  <c r="K204" i="14698" s="1"/>
  <c r="E246" i="14698" a="1"/>
  <c r="N246" i="14698" s="1"/>
  <c r="N237" i="14698" a="1"/>
  <c r="W237" i="14698" s="1"/>
  <c r="M238" i="14698" a="1"/>
  <c r="V238" i="14698" s="1"/>
  <c r="Q73" i="14698" a="1"/>
  <c r="Q73" i="14698" s="1"/>
  <c r="G83" i="14698" a="1"/>
  <c r="G83" i="14698" s="1"/>
  <c r="V75" i="14698" a="1"/>
  <c r="V75" i="14698" s="1"/>
  <c r="U76" i="14698" a="1"/>
  <c r="U76" i="14698" s="1"/>
  <c r="P76" i="14698" a="1"/>
  <c r="P76" i="14698" s="1"/>
  <c r="L80" i="14698" a="1"/>
  <c r="L80" i="14698" s="1"/>
  <c r="T74" i="14698" a="1"/>
  <c r="T74" i="14698" s="1"/>
  <c r="C140" i="14698" a="1"/>
  <c r="E82" i="14698" a="1"/>
  <c r="E82" i="14698" s="1"/>
  <c r="M74" i="14698" a="1"/>
  <c r="M74" i="14698" s="1"/>
  <c r="O72" i="14698" a="1"/>
  <c r="O72" i="14698" s="1"/>
  <c r="G40" i="14630"/>
  <c r="F40" i="14630"/>
  <c r="J40" i="14630"/>
  <c r="M40" i="14630"/>
  <c r="D40" i="14630"/>
  <c r="B40" i="14630"/>
  <c r="Q72" i="14703" a="1"/>
  <c r="Q72" i="14703" s="1"/>
  <c r="M202" i="14703" a="1"/>
  <c r="S202" i="14703" s="1"/>
  <c r="H153" i="14703" a="1"/>
  <c r="J153" i="14703" s="1"/>
  <c r="O78" i="14703" a="1"/>
  <c r="O78" i="14703" s="1"/>
  <c r="E83" i="14703" a="1"/>
  <c r="E83" i="14703" s="1"/>
  <c r="V74" i="14703" a="1"/>
  <c r="V74" i="14703" s="1"/>
  <c r="D175" i="14703" a="1"/>
  <c r="I175" i="14703" s="1"/>
  <c r="K79" i="14703" a="1"/>
  <c r="K79" i="14703" s="1"/>
  <c r="G244" i="14703" a="1"/>
  <c r="M244" i="14703" s="1"/>
  <c r="M74" i="14703" a="1"/>
  <c r="M74" i="14703" s="1"/>
  <c r="D11" i="14657"/>
  <c r="X73" i="14703" a="1"/>
  <c r="X73" i="14703" s="1"/>
  <c r="J223" i="14703" a="1"/>
  <c r="Q223" i="14703" s="1"/>
  <c r="N11" i="14632"/>
  <c r="Q26" i="14632" a="1"/>
  <c r="Q26" i="14632" s="1"/>
  <c r="M25" i="14632" a="1"/>
  <c r="M25" i="14632" s="1"/>
  <c r="N7" i="14632"/>
  <c r="B15" i="14632"/>
  <c r="G208" i="14698" a="1"/>
  <c r="L208" i="14698" s="1"/>
  <c r="R72" i="14698" a="1"/>
  <c r="R72" i="14698" s="1"/>
  <c r="M84" i="14698" a="1"/>
  <c r="M84" i="14698" s="1"/>
  <c r="T72" i="14698" a="1"/>
  <c r="T72" i="14698" s="1"/>
  <c r="O79" i="14698" a="1"/>
  <c r="O79" i="14698" s="1"/>
  <c r="B141" i="14698" a="1"/>
  <c r="B141" i="14698" s="1"/>
  <c r="M73" i="14703" a="1"/>
  <c r="M73" i="14703" s="1"/>
  <c r="F119" i="14703" a="1"/>
  <c r="J119" i="14703" s="1"/>
  <c r="N20" i="14703"/>
  <c r="B84" i="14703" a="1"/>
  <c r="B84" i="14703" s="1"/>
  <c r="B85" i="14703" s="1"/>
  <c r="M112" i="14703" a="1"/>
  <c r="S112" i="14703" s="1"/>
  <c r="I28" i="14703"/>
  <c r="P77" i="14703" a="1"/>
  <c r="P77" i="14703" s="1"/>
  <c r="M80" i="14703" a="1"/>
  <c r="M80" i="14703" s="1"/>
  <c r="Q76" i="14703" a="1"/>
  <c r="Q76" i="14703" s="1"/>
  <c r="U72" i="14703" a="1"/>
  <c r="U72" i="14703" s="1"/>
  <c r="I84" i="14703" a="1"/>
  <c r="I84" i="14703" s="1"/>
  <c r="F28" i="14703"/>
  <c r="P74" i="14703" a="1"/>
  <c r="P74" i="14703" s="1"/>
  <c r="H82" i="14703" a="1"/>
  <c r="H82" i="14703" s="1"/>
  <c r="J80" i="14703" a="1"/>
  <c r="J80" i="14703" s="1"/>
  <c r="Q73" i="14703" a="1"/>
  <c r="Q73" i="14703" s="1"/>
  <c r="R72" i="14703" a="1"/>
  <c r="R72" i="14703" s="1"/>
  <c r="S78" i="14703" a="1"/>
  <c r="S78" i="14703" s="1"/>
  <c r="U76" i="14703" a="1"/>
  <c r="U76" i="14703" s="1"/>
  <c r="N83" i="14703" a="1"/>
  <c r="N83" i="14703" s="1"/>
  <c r="W74" i="14703" a="1"/>
  <c r="W74" i="14703" s="1"/>
  <c r="Q80" i="14703" a="1"/>
  <c r="Q80" i="14703" s="1"/>
  <c r="Y72" i="14703" a="1"/>
  <c r="Y72" i="14703" s="1"/>
  <c r="H135" i="14703" a="1"/>
  <c r="K135" i="14703" s="1"/>
  <c r="M130" i="14703" a="1"/>
  <c r="S130" i="14703" s="1"/>
  <c r="N21" i="14703"/>
  <c r="E138" i="14703" a="1"/>
  <c r="H138" i="14703" s="1"/>
  <c r="K132" i="14703" a="1"/>
  <c r="U132" i="14703" s="1"/>
  <c r="G136" i="14703" a="1"/>
  <c r="C140" i="14703" a="1"/>
  <c r="M140" i="14703" s="1"/>
  <c r="B195" i="14703" a="1"/>
  <c r="C195" i="14703" s="1"/>
  <c r="N24" i="14703"/>
  <c r="G190" i="14703" a="1"/>
  <c r="Q190" i="14703" s="1"/>
  <c r="I188" i="14703" a="1"/>
  <c r="L188" i="14703" s="1"/>
  <c r="E192" i="14703" a="1"/>
  <c r="P192" i="14703" s="1"/>
  <c r="M184" i="14703" a="1"/>
  <c r="W184" i="14703" s="1"/>
  <c r="C194" i="14703" a="1"/>
  <c r="J20" i="14632" a="1"/>
  <c r="J20" i="14632" s="1"/>
  <c r="L22" i="14632" a="1"/>
  <c r="L22" i="14632" s="1"/>
  <c r="K21" i="14632" a="1"/>
  <c r="K21" i="14632" s="1"/>
  <c r="K20" i="14632" a="1"/>
  <c r="K20" i="14632" s="1"/>
  <c r="L21" i="14632" a="1"/>
  <c r="L21" i="14632" s="1"/>
  <c r="O24" i="14632" a="1"/>
  <c r="O24" i="14632" s="1"/>
  <c r="E23" i="14632" a="1"/>
  <c r="E23" i="14632" s="1"/>
  <c r="G25" i="14632" a="1"/>
  <c r="G25" i="14632" s="1"/>
  <c r="H15" i="14632"/>
  <c r="H20" i="14632" a="1"/>
  <c r="H20" i="14632" s="1"/>
  <c r="J22" i="14632" a="1"/>
  <c r="J22" i="14632" s="1"/>
  <c r="G32" i="14630"/>
  <c r="C36" i="14630"/>
  <c r="D38" i="14630"/>
  <c r="C32" i="14630"/>
  <c r="E37" i="14630"/>
  <c r="I32" i="14630"/>
  <c r="F39" i="14630"/>
  <c r="C37" i="14630"/>
  <c r="L37" i="14630"/>
  <c r="J34" i="14630"/>
  <c r="L34" i="14630"/>
  <c r="M37" i="14630"/>
  <c r="G35" i="14630"/>
  <c r="E39" i="14630"/>
  <c r="M36" i="14630"/>
  <c r="G36" i="14630"/>
  <c r="B32" i="14630"/>
  <c r="I34" i="14630"/>
  <c r="G37" i="14630"/>
  <c r="K36" i="14630"/>
  <c r="F36" i="14630"/>
  <c r="L36" i="14630"/>
  <c r="K38" i="14630"/>
  <c r="I33" i="14630"/>
  <c r="H36" i="14630"/>
  <c r="K32" i="14630"/>
  <c r="E32" i="14630"/>
  <c r="F37" i="14630"/>
  <c r="H39" i="14630"/>
  <c r="J32" i="14630"/>
  <c r="L38" i="14630"/>
  <c r="M38" i="14630"/>
  <c r="D33" i="14630"/>
  <c r="J33" i="14630"/>
  <c r="E38" i="14630"/>
  <c r="K35" i="14630"/>
  <c r="G226" i="14698" a="1"/>
  <c r="L221" i="14698" a="1"/>
  <c r="H225" i="14698" a="1"/>
  <c r="N225" i="14698" s="1"/>
  <c r="E228" i="14698" a="1"/>
  <c r="I228" i="14698" s="1"/>
  <c r="K222" i="14698" a="1"/>
  <c r="C230" i="14698" a="1"/>
  <c r="F209" i="14698" a="1"/>
  <c r="O209" i="14698" s="1"/>
  <c r="I206" i="14698" a="1"/>
  <c r="N206" i="14698" s="1"/>
  <c r="M202" i="14698" a="1"/>
  <c r="U202" i="14698" s="1"/>
  <c r="D211" i="14698" a="1"/>
  <c r="C28" i="14698"/>
  <c r="C84" i="14698" a="1"/>
  <c r="C84" i="14698" s="1"/>
  <c r="N80" i="14698" a="1"/>
  <c r="N80" i="14698" s="1"/>
  <c r="R76" i="14698" a="1"/>
  <c r="R76" i="14698" s="1"/>
  <c r="K83" i="14698" a="1"/>
  <c r="K83" i="14698" s="1"/>
  <c r="K79" i="14698" a="1"/>
  <c r="K79" i="14698" s="1"/>
  <c r="F28" i="14698"/>
  <c r="X73" i="14698" a="1"/>
  <c r="X73" i="14698" s="1"/>
  <c r="O82" i="14698" a="1"/>
  <c r="O82" i="14698" s="1"/>
  <c r="W74" i="14698" a="1"/>
  <c r="W74" i="14698" s="1"/>
  <c r="K81" i="14698" a="1"/>
  <c r="K81" i="14698" s="1"/>
  <c r="S73" i="14698" a="1"/>
  <c r="S73" i="14698" s="1"/>
  <c r="M130" i="14698" a="1"/>
  <c r="N21" i="14698"/>
  <c r="J133" i="14698" a="1"/>
  <c r="U133" i="14698" s="1"/>
  <c r="N27" i="14698"/>
  <c r="D247" i="14698" a="1"/>
  <c r="O247" i="14698" s="1"/>
  <c r="I80" i="14703" a="1"/>
  <c r="I80" i="14703" s="1"/>
  <c r="K240" i="14703" a="1"/>
  <c r="R240" i="14703" s="1"/>
  <c r="C158" i="14703" a="1"/>
  <c r="K158" i="14703" s="1"/>
  <c r="I224" i="14703" a="1"/>
  <c r="L224" i="14703" s="1"/>
  <c r="H79" i="14703" a="1"/>
  <c r="H79" i="14703" s="1"/>
  <c r="K168" i="14703" a="1"/>
  <c r="Q168" i="14703" s="1"/>
  <c r="F82" i="14703" a="1"/>
  <c r="F82" i="14703" s="1"/>
  <c r="E84" i="14703" a="1"/>
  <c r="E84" i="14703" s="1"/>
  <c r="M76" i="14703" a="1"/>
  <c r="M76" i="14703" s="1"/>
  <c r="G82" i="14703" a="1"/>
  <c r="G82" i="14703" s="1"/>
  <c r="F209" i="14703" a="1"/>
  <c r="G209" i="14703" s="1"/>
  <c r="H207" i="14703" a="1"/>
  <c r="I207" i="14703" s="1"/>
  <c r="I206" i="14703" a="1"/>
  <c r="S206" i="14703" s="1"/>
  <c r="N25" i="14703"/>
  <c r="N147" i="14703" a="1"/>
  <c r="N147" i="14703" s="1"/>
  <c r="D157" i="14703" a="1"/>
  <c r="K157" i="14703" s="1"/>
  <c r="F155" i="14703" a="1"/>
  <c r="G155" i="14703" s="1"/>
  <c r="M148" i="14703" a="1"/>
  <c r="R148" i="14703" s="1"/>
  <c r="P72" i="14703" a="1"/>
  <c r="P72" i="14703" s="1"/>
  <c r="I79" i="14703" a="1"/>
  <c r="I79" i="14703" s="1"/>
  <c r="D28" i="14703"/>
  <c r="H225" i="14703" a="1"/>
  <c r="P225" i="14703" s="1"/>
  <c r="K222" i="14703" a="1"/>
  <c r="O222" i="14703" s="1"/>
  <c r="B231" i="14703" a="1"/>
  <c r="G231" i="14703" s="1"/>
  <c r="W73" i="14703" a="1"/>
  <c r="W73" i="14703" s="1"/>
  <c r="U75" i="14703" a="1"/>
  <c r="U75" i="14703" s="1"/>
  <c r="L84" i="14703" a="1"/>
  <c r="L84" i="14703" s="1"/>
  <c r="M83" i="14703" a="1"/>
  <c r="M83" i="14703" s="1"/>
  <c r="B177" i="14703" a="1"/>
  <c r="D177" i="14703" s="1"/>
  <c r="E174" i="14703" a="1"/>
  <c r="K174" i="14703" s="1"/>
  <c r="L167" i="14703" a="1"/>
  <c r="P167" i="14703" s="1"/>
  <c r="N23" i="14703"/>
  <c r="H243" i="14703" a="1"/>
  <c r="P243" i="14703" s="1"/>
  <c r="I242" i="14703" a="1"/>
  <c r="M242" i="14703" s="1"/>
  <c r="D247" i="14703" a="1"/>
  <c r="L247" i="14703" s="1"/>
  <c r="L75" i="14703" a="1"/>
  <c r="L75" i="14703" s="1"/>
  <c r="I78" i="14703" a="1"/>
  <c r="I78" i="14703" s="1"/>
  <c r="C84" i="14703" a="1"/>
  <c r="C84" i="14703" s="1"/>
  <c r="L203" i="14698" a="1"/>
  <c r="V203" i="14698" s="1"/>
  <c r="H207" i="14698" a="1"/>
  <c r="I207" i="14698" s="1"/>
  <c r="E210" i="14698" a="1"/>
  <c r="H210" i="14698" s="1"/>
  <c r="N25" i="14698"/>
  <c r="G244" i="14698" a="1"/>
  <c r="I244" i="14698" s="1"/>
  <c r="H243" i="14698" a="1"/>
  <c r="I243" i="14698" s="1"/>
  <c r="B249" i="14698" a="1"/>
  <c r="M249" i="14698" s="1"/>
  <c r="L239" i="14698" a="1"/>
  <c r="O239" i="14698" s="1"/>
  <c r="C248" i="14698" a="1"/>
  <c r="N248" i="14698" s="1"/>
  <c r="I242" i="14698" a="1"/>
  <c r="I242" i="14698" s="1"/>
  <c r="F245" i="14698" a="1"/>
  <c r="M245" i="14698" s="1"/>
  <c r="N76" i="14698" a="1"/>
  <c r="N76" i="14698" s="1"/>
  <c r="J80" i="14698" a="1"/>
  <c r="J80" i="14698" s="1"/>
  <c r="L78" i="14698" a="1"/>
  <c r="L78" i="14698" s="1"/>
  <c r="H82" i="14698" a="1"/>
  <c r="H82" i="14698" s="1"/>
  <c r="O75" i="14698" a="1"/>
  <c r="O75" i="14698" s="1"/>
  <c r="F84" i="14698" a="1"/>
  <c r="F84" i="14698" s="1"/>
  <c r="M77" i="14698" a="1"/>
  <c r="M77" i="14698" s="1"/>
  <c r="T77" i="14698" a="1"/>
  <c r="T77" i="14698" s="1"/>
  <c r="Y72" i="14698" a="1"/>
  <c r="Y72" i="14698" s="1"/>
  <c r="N83" i="14698" a="1"/>
  <c r="N83" i="14698" s="1"/>
  <c r="Q80" i="14698" a="1"/>
  <c r="Q80" i="14698" s="1"/>
  <c r="S78" i="14698" a="1"/>
  <c r="S78" i="14698" s="1"/>
  <c r="P81" i="14698" a="1"/>
  <c r="P81" i="14698" s="1"/>
  <c r="M28" i="14698"/>
  <c r="Q75" i="14698" a="1"/>
  <c r="Q75" i="14698" s="1"/>
  <c r="M79" i="14698" a="1"/>
  <c r="M79" i="14698" s="1"/>
  <c r="I83" i="14698" a="1"/>
  <c r="I83" i="14698" s="1"/>
  <c r="H84" i="14698" a="1"/>
  <c r="H84" i="14698" s="1"/>
  <c r="N78" i="14698" a="1"/>
  <c r="N78" i="14698" s="1"/>
  <c r="R74" i="14698" a="1"/>
  <c r="R74" i="14698" s="1"/>
  <c r="H28" i="14698"/>
  <c r="L82" i="14698" a="1"/>
  <c r="L82" i="14698" s="1"/>
  <c r="U73" i="14698" a="1"/>
  <c r="U73" i="14698" s="1"/>
  <c r="V72" i="14698" a="1"/>
  <c r="V72" i="14698" s="1"/>
  <c r="P78" i="14698" a="1"/>
  <c r="P78" i="14698" s="1"/>
  <c r="S75" i="14698" a="1"/>
  <c r="S75" i="14698" s="1"/>
  <c r="Q77" i="14698" a="1"/>
  <c r="Q77" i="14698" s="1"/>
  <c r="J84" i="14698" a="1"/>
  <c r="J84" i="14698" s="1"/>
  <c r="L131" i="14698" a="1"/>
  <c r="T131" i="14698" s="1"/>
  <c r="D139" i="14698" a="1"/>
  <c r="O139" i="14698" s="1"/>
  <c r="G136" i="14698" a="1"/>
  <c r="N136" i="14698" s="1"/>
  <c r="E138" i="14698" a="1"/>
  <c r="I138" i="14698" s="1"/>
  <c r="F137" i="14698" a="1"/>
  <c r="F137" i="14698" s="1"/>
  <c r="I134" i="14698" a="1"/>
  <c r="K134" i="14698" s="1"/>
  <c r="K132" i="14698" a="1"/>
  <c r="M132" i="14698" s="1"/>
  <c r="D83" i="14698" a="1"/>
  <c r="D83" i="14698" s="1"/>
  <c r="I78" i="14698" a="1"/>
  <c r="I78" i="14698" s="1"/>
  <c r="G80" i="14698" a="1"/>
  <c r="G80" i="14698" s="1"/>
  <c r="F81" i="14698" a="1"/>
  <c r="F81" i="14698" s="1"/>
  <c r="N73" i="14698" a="1"/>
  <c r="N73" i="14698" s="1"/>
  <c r="H79" i="14698" a="1"/>
  <c r="H79" i="14698" s="1"/>
  <c r="K76" i="14698" a="1"/>
  <c r="K76" i="14698" s="1"/>
  <c r="D37" i="14630"/>
  <c r="B39" i="14630"/>
  <c r="D36" i="14630"/>
  <c r="F38" i="14630"/>
  <c r="F35" i="14630"/>
  <c r="K34" i="14630"/>
  <c r="L35" i="14630"/>
  <c r="F34" i="14630"/>
  <c r="B34" i="14630"/>
  <c r="M33" i="14630"/>
  <c r="J37" i="14630"/>
  <c r="B33" i="14630"/>
  <c r="B38" i="14630"/>
  <c r="C33" i="14630"/>
  <c r="E33" i="14630"/>
  <c r="D34" i="14630"/>
  <c r="L33" i="14630"/>
  <c r="H38" i="14630"/>
  <c r="E35" i="14630"/>
  <c r="H33" i="14630"/>
  <c r="M39" i="14630"/>
  <c r="L32" i="14630"/>
  <c r="F83" i="14703" a="1"/>
  <c r="F83" i="14703" s="1"/>
  <c r="N75" i="14703" a="1"/>
  <c r="N75" i="14703" s="1"/>
  <c r="O74" i="14703" a="1"/>
  <c r="O74" i="14703" s="1"/>
  <c r="H81" i="14703" a="1"/>
  <c r="H81" i="14703" s="1"/>
  <c r="J79" i="14703" a="1"/>
  <c r="J79" i="14703" s="1"/>
  <c r="P73" i="14703" a="1"/>
  <c r="P73" i="14703" s="1"/>
  <c r="E28" i="14703"/>
  <c r="L203" i="14703" a="1"/>
  <c r="R203" i="14703" s="1"/>
  <c r="J205" i="14703" a="1"/>
  <c r="M205" i="14703" s="1"/>
  <c r="B213" i="14703" a="1"/>
  <c r="C213" i="14703" s="1"/>
  <c r="E210" i="14703" a="1"/>
  <c r="I210" i="14703" s="1"/>
  <c r="D211" i="14703" a="1"/>
  <c r="K211" i="14703" s="1"/>
  <c r="C212" i="14703" a="1"/>
  <c r="C212" i="14703" s="1"/>
  <c r="K204" i="14703" a="1"/>
  <c r="O204" i="14703" s="1"/>
  <c r="E156" i="14703" a="1"/>
  <c r="E156" i="14703" s="1"/>
  <c r="K150" i="14703" a="1"/>
  <c r="N150" i="14703" s="1"/>
  <c r="G154" i="14703" a="1"/>
  <c r="N154" i="14703" s="1"/>
  <c r="L149" i="14703" a="1"/>
  <c r="Q149" i="14703" s="1"/>
  <c r="B159" i="14703" a="1"/>
  <c r="F159" i="14703" s="1"/>
  <c r="J151" i="14703" a="1"/>
  <c r="L151" i="14703" s="1"/>
  <c r="I152" i="14703" a="1"/>
  <c r="K152" i="14703" s="1"/>
  <c r="H80" i="14703" a="1"/>
  <c r="H80" i="14703" s="1"/>
  <c r="L76" i="14703" a="1"/>
  <c r="L76" i="14703" s="1"/>
  <c r="O73" i="14703" a="1"/>
  <c r="O73" i="14703" s="1"/>
  <c r="D84" i="14703" a="1"/>
  <c r="D84" i="14703" s="1"/>
  <c r="G81" i="14703" a="1"/>
  <c r="G81" i="14703" s="1"/>
  <c r="N74" i="14703" a="1"/>
  <c r="N74" i="14703" s="1"/>
  <c r="J78" i="14703" a="1"/>
  <c r="J78" i="14703" s="1"/>
  <c r="C230" i="14703" a="1"/>
  <c r="C230" i="14703" s="1"/>
  <c r="F227" i="14703" a="1"/>
  <c r="J227" i="14703" s="1"/>
  <c r="M220" i="14703" a="1"/>
  <c r="X220" i="14703" s="1"/>
  <c r="N219" i="14703" a="1"/>
  <c r="V219" i="14703" s="1"/>
  <c r="D229" i="14703" a="1"/>
  <c r="J229" i="14703" s="1"/>
  <c r="G226" i="14703" a="1"/>
  <c r="R226" i="14703" s="1"/>
  <c r="N26" i="14703"/>
  <c r="T76" i="14703" a="1"/>
  <c r="T76" i="14703" s="1"/>
  <c r="S77" i="14703" a="1"/>
  <c r="S77" i="14703" s="1"/>
  <c r="X72" i="14703" a="1"/>
  <c r="X72" i="14703" s="1"/>
  <c r="O81" i="14703" a="1"/>
  <c r="O81" i="14703" s="1"/>
  <c r="Q79" i="14703" a="1"/>
  <c r="Q79" i="14703" s="1"/>
  <c r="R78" i="14703" a="1"/>
  <c r="R78" i="14703" s="1"/>
  <c r="L28" i="14703"/>
  <c r="N165" i="14703" a="1"/>
  <c r="S165" i="14703" s="1"/>
  <c r="J169" i="14703" a="1"/>
  <c r="R169" i="14703" s="1"/>
  <c r="F173" i="14703" a="1"/>
  <c r="G173" i="14703" s="1"/>
  <c r="M166" i="14703" a="1"/>
  <c r="C176" i="14703" a="1"/>
  <c r="H176" i="14703" s="1"/>
  <c r="G172" i="14703" a="1"/>
  <c r="H171" i="14703" a="1"/>
  <c r="K171" i="14703" s="1"/>
  <c r="L239" i="14703" a="1"/>
  <c r="N237" i="14703" a="1"/>
  <c r="W237" i="14703" s="1"/>
  <c r="F245" i="14703" a="1"/>
  <c r="L245" i="14703" s="1"/>
  <c r="J241" i="14703" a="1"/>
  <c r="N241" i="14703" s="1"/>
  <c r="B249" i="14703" a="1"/>
  <c r="J249" i="14703" s="1"/>
  <c r="E246" i="14703" a="1"/>
  <c r="E246" i="14703" s="1"/>
  <c r="M238" i="14703" a="1"/>
  <c r="N73" i="14703" a="1"/>
  <c r="N73" i="14703" s="1"/>
  <c r="F81" i="14703" a="1"/>
  <c r="F81" i="14703" s="1"/>
  <c r="O72" i="14703" a="1"/>
  <c r="O72" i="14703" s="1"/>
  <c r="C28" i="14703"/>
  <c r="J77" i="14703" a="1"/>
  <c r="J77" i="14703" s="1"/>
  <c r="D83" i="14703" a="1"/>
  <c r="D83" i="14703" s="1"/>
  <c r="E82" i="14703" a="1"/>
  <c r="E82" i="14703" s="1"/>
  <c r="C24" i="14683"/>
  <c r="C26" i="14683"/>
  <c r="C20" i="14683"/>
  <c r="D41" i="14661"/>
  <c r="E41" i="14661"/>
  <c r="B22" i="14631" s="1" a="1"/>
  <c r="G41" i="14661"/>
  <c r="B22" i="14670" s="1" a="1"/>
  <c r="H41" i="14661"/>
  <c r="B22" i="14671" s="1" a="1"/>
  <c r="E5" i="14682" a="1"/>
  <c r="N19" i="14672"/>
  <c r="E16" i="14682" s="1" a="1"/>
  <c r="B20" i="14672"/>
  <c r="G25" i="14636"/>
  <c r="K25" i="14636"/>
  <c r="K27" i="14636" s="1"/>
  <c r="H25" i="14636"/>
  <c r="H27" i="14636" s="1"/>
  <c r="L25" i="14636"/>
  <c r="L27" i="14636" s="1"/>
  <c r="F25" i="14636"/>
  <c r="F27" i="14636" s="1"/>
  <c r="I25" i="14636"/>
  <c r="I27" i="14636" s="1"/>
  <c r="N15" i="14636"/>
  <c r="K76" i="14665"/>
  <c r="F13" i="4128"/>
  <c r="G13" i="4128"/>
  <c r="C13" i="4128"/>
  <c r="D13" i="4128"/>
  <c r="E13" i="4128"/>
  <c r="E22" i="14695"/>
  <c r="C22" i="14695"/>
  <c r="L22" i="14695"/>
  <c r="F22" i="14695"/>
  <c r="D22" i="14695"/>
  <c r="J22" i="14695"/>
  <c r="G22" i="14695"/>
  <c r="M22" i="14695"/>
  <c r="H22" i="14695"/>
  <c r="K22" i="14695"/>
  <c r="I22" i="14695"/>
  <c r="B22" i="14695"/>
  <c r="C29" i="14695"/>
  <c r="L29" i="14695"/>
  <c r="F29" i="14695"/>
  <c r="B29" i="14695"/>
  <c r="K29" i="14695"/>
  <c r="H29" i="14695"/>
  <c r="G29" i="14695"/>
  <c r="D29" i="14695"/>
  <c r="J29" i="14695"/>
  <c r="M29" i="14695"/>
  <c r="I29" i="14695"/>
  <c r="E29" i="14695"/>
  <c r="M50" i="14695"/>
  <c r="D50" i="14695"/>
  <c r="E50" i="14695"/>
  <c r="C50" i="14695"/>
  <c r="I50" i="14695"/>
  <c r="F50" i="14695"/>
  <c r="J50" i="14695"/>
  <c r="K50" i="14695"/>
  <c r="G50" i="14695"/>
  <c r="B50" i="14695"/>
  <c r="L50" i="14695"/>
  <c r="H50" i="14695"/>
  <c r="N30" i="14695"/>
  <c r="N37" i="14695"/>
  <c r="N44" i="14695"/>
  <c r="M15" i="8"/>
  <c r="D15" i="8"/>
  <c r="J15" i="8"/>
  <c r="L15" i="8"/>
  <c r="F15" i="8"/>
  <c r="G15" i="8"/>
  <c r="E15" i="8"/>
  <c r="B15" i="8"/>
  <c r="C15" i="8"/>
  <c r="K15" i="8"/>
  <c r="H15" i="8"/>
  <c r="I15" i="8"/>
  <c r="E6" i="14690" a="1"/>
  <c r="E21" i="14661" a="1"/>
  <c r="E21" i="14661" s="1"/>
  <c r="D39" i="4128" s="1"/>
  <c r="B32" i="14667"/>
  <c r="B34" i="14706"/>
  <c r="L25" i="14672"/>
  <c r="L27" i="14672" s="1"/>
  <c r="D25" i="14672"/>
  <c r="D27" i="14672" s="1"/>
  <c r="K25" i="14672"/>
  <c r="K27" i="14672" s="1"/>
  <c r="J25" i="14672"/>
  <c r="J27" i="14672" s="1"/>
  <c r="N25" i="14629"/>
  <c r="B27" i="14629"/>
  <c r="H8" i="14667"/>
  <c r="O93" i="14687"/>
  <c r="G32" i="4128" s="1"/>
  <c r="B47" i="14649" s="1" a="1"/>
  <c r="B23" i="14673" a="1"/>
  <c r="O96" i="14687"/>
  <c r="M22" i="14662" s="1"/>
  <c r="H14" i="14673"/>
  <c r="L14" i="14673"/>
  <c r="H13" i="14673"/>
  <c r="B14" i="14673"/>
  <c r="E14" i="14673"/>
  <c r="J14" i="14673"/>
  <c r="M14" i="14673"/>
  <c r="C13" i="14673"/>
  <c r="G13" i="14673"/>
  <c r="L13" i="14673"/>
  <c r="C14" i="14673"/>
  <c r="K14" i="14673"/>
  <c r="D13" i="14673"/>
  <c r="M13" i="14673"/>
  <c r="B12" i="14673"/>
  <c r="D12" i="14673"/>
  <c r="E12" i="14673"/>
  <c r="F12" i="14673"/>
  <c r="H7" i="14673"/>
  <c r="I8" i="14673"/>
  <c r="J12" i="14673"/>
  <c r="M8" i="14673"/>
  <c r="B8" i="14673"/>
  <c r="D8" i="14673"/>
  <c r="E7" i="14673"/>
  <c r="E11" i="14673"/>
  <c r="G11" i="14673"/>
  <c r="H11" i="14673"/>
  <c r="I11" i="14673"/>
  <c r="L8" i="14673"/>
  <c r="M7" i="14673"/>
  <c r="M11" i="14673"/>
  <c r="M9" i="14673"/>
  <c r="K9" i="14673"/>
  <c r="I9" i="14673"/>
  <c r="F9" i="14673"/>
  <c r="B9" i="14673"/>
  <c r="M10" i="14673"/>
  <c r="J10" i="14673"/>
  <c r="H10" i="14673"/>
  <c r="E10" i="14673"/>
  <c r="B10" i="14673"/>
  <c r="E13" i="14673"/>
  <c r="I14" i="14673"/>
  <c r="I13" i="14673"/>
  <c r="B7" i="14673"/>
  <c r="E8" i="14673"/>
  <c r="G8" i="14673"/>
  <c r="I12" i="14673"/>
  <c r="J7" i="14673"/>
  <c r="M12" i="14673"/>
  <c r="D11" i="14673"/>
  <c r="F8" i="14673"/>
  <c r="I7" i="14673"/>
  <c r="J11" i="14673"/>
  <c r="L9" i="14673"/>
  <c r="H9" i="14673"/>
  <c r="D9" i="14673"/>
  <c r="K10" i="14673"/>
  <c r="F10" i="14673"/>
  <c r="F13" i="14673"/>
  <c r="K8" i="14673"/>
  <c r="K13" i="14673"/>
  <c r="G12" i="14673"/>
  <c r="G10" i="14673"/>
  <c r="C11" i="14673"/>
  <c r="G9" i="14673"/>
  <c r="C7" i="14673"/>
  <c r="C10" i="14673"/>
  <c r="L7" i="14673"/>
  <c r="C9" i="14673"/>
  <c r="C8" i="14673"/>
  <c r="G7" i="14673"/>
  <c r="K7" i="14673"/>
  <c r="G14" i="14673"/>
  <c r="D7" i="14673"/>
  <c r="H12" i="14673"/>
  <c r="K12" i="14673"/>
  <c r="J8" i="14673"/>
  <c r="J9" i="14673"/>
  <c r="D10" i="14673"/>
  <c r="D14" i="14673"/>
  <c r="K11" i="14673"/>
  <c r="C12" i="14673"/>
  <c r="L10" i="14673"/>
  <c r="F14" i="14673"/>
  <c r="J13" i="14673"/>
  <c r="H8" i="14673"/>
  <c r="I10" i="14673"/>
  <c r="F11" i="14673"/>
  <c r="B13" i="14673"/>
  <c r="F7" i="14673"/>
  <c r="B11" i="14673"/>
  <c r="L11" i="14673"/>
  <c r="E9" i="14673"/>
  <c r="L12" i="14673"/>
  <c r="D7" i="14643"/>
  <c r="O7" i="14624" a="1"/>
  <c r="O18" i="14624" a="1"/>
  <c r="O23" i="14624" a="1"/>
  <c r="N15" i="14672"/>
  <c r="C17" i="14682"/>
  <c r="C16" i="14682"/>
  <c r="N23" i="14636"/>
  <c r="B25" i="14636"/>
  <c r="N24" i="14636"/>
  <c r="M25" i="14636"/>
  <c r="M27" i="14636" s="1"/>
  <c r="D5" i="14682" a="1"/>
  <c r="D31" i="14705"/>
  <c r="F17" i="4128"/>
  <c r="D17" i="4128"/>
  <c r="G17" i="4128"/>
  <c r="C17" i="4128"/>
  <c r="E17" i="4128"/>
  <c r="F29" i="4128"/>
  <c r="G29" i="4128"/>
  <c r="E29" i="4128"/>
  <c r="D29" i="4128"/>
  <c r="C29" i="4128"/>
  <c r="L57" i="14695"/>
  <c r="H57" i="14695"/>
  <c r="J57" i="14695"/>
  <c r="E57" i="14695"/>
  <c r="G57" i="14695"/>
  <c r="C57" i="14695"/>
  <c r="F57" i="14695"/>
  <c r="I57" i="14695"/>
  <c r="B57" i="14695"/>
  <c r="K57" i="14695"/>
  <c r="M57" i="14695"/>
  <c r="D57" i="14695"/>
  <c r="C36" i="14695"/>
  <c r="I36" i="14695"/>
  <c r="F36" i="14695"/>
  <c r="E36" i="14695"/>
  <c r="M36" i="14695"/>
  <c r="H36" i="14695"/>
  <c r="D36" i="14695"/>
  <c r="K36" i="14695"/>
  <c r="L36" i="14695"/>
  <c r="B36" i="14695"/>
  <c r="J36" i="14695"/>
  <c r="G36" i="14695"/>
  <c r="F43" i="14695"/>
  <c r="I43" i="14695"/>
  <c r="L43" i="14695"/>
  <c r="G43" i="14695"/>
  <c r="J43" i="14695"/>
  <c r="C43" i="14695"/>
  <c r="H43" i="14695"/>
  <c r="K43" i="14695"/>
  <c r="E43" i="14695"/>
  <c r="D43" i="14695"/>
  <c r="M43" i="14695"/>
  <c r="B43" i="14695"/>
  <c r="N58" i="14695"/>
  <c r="N51" i="14695"/>
  <c r="F41" i="14661"/>
  <c r="B22" i="14640" s="1" a="1"/>
  <c r="N19" i="14636"/>
  <c r="D16" i="14682" s="1" a="1"/>
  <c r="B20" i="14636"/>
  <c r="D18" i="14692"/>
  <c r="C18" i="14692"/>
  <c r="E18" i="14692"/>
  <c r="H18" i="14692"/>
  <c r="F18" i="14692"/>
  <c r="G18" i="14692"/>
  <c r="B18" i="14692"/>
  <c r="L6" i="14667"/>
  <c r="B20" i="14649" a="1"/>
  <c r="B20" i="14649" s="1"/>
  <c r="E60" i="4128"/>
  <c r="B23" i="14682"/>
  <c r="B16" i="11"/>
  <c r="F27" i="14672"/>
  <c r="H25" i="14672"/>
  <c r="H27" i="14672" s="1"/>
  <c r="M25" i="14672"/>
  <c r="M27" i="14672" s="1"/>
  <c r="B25" i="14672"/>
  <c r="N23" i="14672"/>
  <c r="E25" i="14672"/>
  <c r="E27" i="14672" s="1"/>
  <c r="C21" i="14682" a="1"/>
  <c r="H18" i="14706"/>
  <c r="F99" i="14687"/>
  <c r="N99" i="14687"/>
  <c r="G99" i="14687"/>
  <c r="E99" i="14687"/>
  <c r="J99" i="14687"/>
  <c r="D99" i="14687"/>
  <c r="M99" i="14687"/>
  <c r="L99" i="14687"/>
  <c r="C99" i="14687"/>
  <c r="K99" i="14687"/>
  <c r="H99" i="14687"/>
  <c r="I99" i="14687"/>
  <c r="N18" i="14673"/>
  <c r="C13" i="14682"/>
  <c r="G28" i="14623"/>
  <c r="C28" i="14623"/>
  <c r="D28" i="14623"/>
  <c r="L28" i="14623"/>
  <c r="F28" i="14623"/>
  <c r="I28" i="14623"/>
  <c r="J28" i="14623"/>
  <c r="K28" i="14623"/>
  <c r="F25" i="14632"/>
  <c r="F26" i="14632"/>
  <c r="M28" i="14623"/>
  <c r="B26" i="14632"/>
  <c r="B21" i="14632"/>
  <c r="B23" i="14632"/>
  <c r="B22" i="14632"/>
  <c r="B25" i="14632"/>
  <c r="B24" i="14632"/>
  <c r="E28" i="14623"/>
  <c r="D40" i="14643" a="1"/>
  <c r="D14" i="14643"/>
  <c r="B5" i="14617"/>
  <c r="H28" i="14623"/>
  <c r="B10" i="14631"/>
  <c r="S31" i="14623"/>
  <c r="S30" i="14623"/>
  <c r="N41" i="14628"/>
  <c r="N42" i="14628" s="1"/>
  <c r="E41" i="14628"/>
  <c r="E42" i="14628" s="1"/>
  <c r="D41" i="14628"/>
  <c r="D42" i="14628" s="1"/>
  <c r="F41" i="14628"/>
  <c r="F42" i="14628" s="1"/>
  <c r="J41" i="14628"/>
  <c r="J42" i="14628" s="1"/>
  <c r="H41" i="14628"/>
  <c r="H42" i="14628" s="1"/>
  <c r="I41" i="14628"/>
  <c r="I42" i="14628" s="1"/>
  <c r="K41" i="14628"/>
  <c r="K42" i="14628" s="1"/>
  <c r="L41" i="14628"/>
  <c r="L42" i="14628" s="1"/>
  <c r="M41" i="14628"/>
  <c r="M42" i="14628" s="1"/>
  <c r="G41" i="14628"/>
  <c r="G42" i="14628" s="1"/>
  <c r="C41" i="14628"/>
  <c r="C7" i="8"/>
  <c r="K7" i="8"/>
  <c r="D7" i="8"/>
  <c r="M7" i="8"/>
  <c r="L7" i="8"/>
  <c r="G7" i="8"/>
  <c r="F7" i="8"/>
  <c r="B7" i="8"/>
  <c r="E7" i="8"/>
  <c r="J7" i="8"/>
  <c r="I7" i="8"/>
  <c r="H7" i="8"/>
  <c r="D25" i="14632"/>
  <c r="D26" i="14632"/>
  <c r="D24" i="14632"/>
  <c r="D23" i="14632"/>
  <c r="E24" i="14632"/>
  <c r="E26" i="14632"/>
  <c r="E25" i="14632"/>
  <c r="C26" i="14632"/>
  <c r="C24" i="14632"/>
  <c r="C23" i="14632"/>
  <c r="C25" i="14632"/>
  <c r="C22" i="14632"/>
  <c r="F7" i="14707"/>
  <c r="B22" i="14655" s="1"/>
  <c r="F8" i="14707"/>
  <c r="B24" i="14655" s="1"/>
  <c r="F22" i="14707"/>
  <c r="E66" i="14653" l="1"/>
  <c r="F52" i="14653"/>
  <c r="F40" i="14653"/>
  <c r="D53" i="14653"/>
  <c r="J52" i="14653"/>
  <c r="J40" i="14653"/>
  <c r="G66" i="14653"/>
  <c r="N51" i="14653"/>
  <c r="C52" i="14653"/>
  <c r="C40" i="14653"/>
  <c r="G40" i="14653"/>
  <c r="B52" i="14653"/>
  <c r="B40" i="14653"/>
  <c r="H40" i="14653"/>
  <c r="G53" i="14653"/>
  <c r="B5" i="14637" a="1"/>
  <c r="J10" i="14637" s="1"/>
  <c r="E53" i="14653"/>
  <c r="D40" i="14653"/>
  <c r="E40" i="14653"/>
  <c r="N39" i="14653"/>
  <c r="C46" i="14648" a="1"/>
  <c r="B36" i="14694" a="1"/>
  <c r="N37" i="14694"/>
  <c r="B60" i="14694" a="1"/>
  <c r="N61" i="14694"/>
  <c r="M53" i="14653"/>
  <c r="M79" i="14653"/>
  <c r="M66" i="14653"/>
  <c r="B21" i="14694" a="1"/>
  <c r="N22" i="14694"/>
  <c r="C16" i="14648" a="1"/>
  <c r="H79" i="14653"/>
  <c r="H66" i="14653"/>
  <c r="D79" i="14653"/>
  <c r="D66" i="14653"/>
  <c r="C61" i="14648" a="1"/>
  <c r="B44" i="14694" a="1"/>
  <c r="N45" i="14694"/>
  <c r="I53" i="14653"/>
  <c r="N64" i="14653"/>
  <c r="K79" i="14653"/>
  <c r="K66" i="14653"/>
  <c r="N76" i="14653"/>
  <c r="C76" i="14648" a="1"/>
  <c r="B52" i="14694" a="1"/>
  <c r="N53" i="14694"/>
  <c r="D24" i="11"/>
  <c r="C19" i="11"/>
  <c r="D19" i="11" s="1"/>
  <c r="N29" i="14694"/>
  <c r="B28" i="14694" a="1"/>
  <c r="C31" i="14648" a="1"/>
  <c r="F15" i="14673"/>
  <c r="J19" i="14673" a="1"/>
  <c r="J19" i="14673" s="1"/>
  <c r="J20" i="14673" s="1"/>
  <c r="I15" i="14673"/>
  <c r="F9" i="14652"/>
  <c r="F13" i="14652"/>
  <c r="F12" i="14652"/>
  <c r="F10" i="14652"/>
  <c r="F7" i="14652"/>
  <c r="F11" i="14652"/>
  <c r="F8" i="14652"/>
  <c r="F14" i="14652"/>
  <c r="J22" i="14652"/>
  <c r="J21" i="14652"/>
  <c r="J24" i="14652"/>
  <c r="J20" i="14652"/>
  <c r="J26" i="14652"/>
  <c r="J25" i="14652"/>
  <c r="J23" i="14652"/>
  <c r="J19" i="14652"/>
  <c r="F20" i="14649"/>
  <c r="D20" i="14649"/>
  <c r="E20" i="14649"/>
  <c r="F25" i="14638" a="1"/>
  <c r="F25" i="14638" s="1"/>
  <c r="F24" i="14655"/>
  <c r="J24" i="14655"/>
  <c r="N24" i="14655"/>
  <c r="G24" i="14655"/>
  <c r="K24" i="14655"/>
  <c r="E24" i="14655"/>
  <c r="I24" i="14655"/>
  <c r="O24" i="14655"/>
  <c r="M24" i="14655"/>
  <c r="K22" i="14655"/>
  <c r="L22" i="14655"/>
  <c r="H22" i="14655"/>
  <c r="O22" i="14655"/>
  <c r="E22" i="14655"/>
  <c r="N22" i="14655"/>
  <c r="M22" i="14655"/>
  <c r="I22" i="14655"/>
  <c r="F22" i="14655"/>
  <c r="G22" i="14655"/>
  <c r="G33" i="14698"/>
  <c r="I37" i="14703"/>
  <c r="F32" i="14698"/>
  <c r="J39" i="14698"/>
  <c r="G32" i="14698"/>
  <c r="I34" i="14698"/>
  <c r="K33" i="14698"/>
  <c r="B33" i="14698"/>
  <c r="J36" i="14698"/>
  <c r="F39" i="14698"/>
  <c r="L39" i="14698"/>
  <c r="H36" i="14698"/>
  <c r="M37" i="14698"/>
  <c r="W201" i="14703"/>
  <c r="J242" i="14698"/>
  <c r="J173" i="14698"/>
  <c r="K191" i="14698"/>
  <c r="I192" i="14698"/>
  <c r="M150" i="14698"/>
  <c r="C85" i="14703"/>
  <c r="J122" i="14703"/>
  <c r="U151" i="14698"/>
  <c r="Q117" i="14698"/>
  <c r="E85" i="14698"/>
  <c r="G228" i="14703"/>
  <c r="Y111" i="14698"/>
  <c r="I36" i="14703"/>
  <c r="H122" i="14698"/>
  <c r="Q227" i="14698"/>
  <c r="K175" i="14698"/>
  <c r="G195" i="14698"/>
  <c r="S117" i="14698"/>
  <c r="K117" i="14698"/>
  <c r="J35" i="14698"/>
  <c r="F35" i="14698"/>
  <c r="I32" i="14698"/>
  <c r="F34" i="14698"/>
  <c r="J34" i="14698"/>
  <c r="I37" i="14698"/>
  <c r="L35" i="14698"/>
  <c r="G34" i="14698"/>
  <c r="K37" i="14698"/>
  <c r="C39" i="14698"/>
  <c r="E38" i="14698"/>
  <c r="L37" i="14698"/>
  <c r="P242" i="14703"/>
  <c r="K170" i="14703"/>
  <c r="S224" i="14703"/>
  <c r="R201" i="14703"/>
  <c r="N158" i="14698"/>
  <c r="J177" i="14698"/>
  <c r="V185" i="14698"/>
  <c r="L186" i="14698"/>
  <c r="K240" i="14698"/>
  <c r="P189" i="14703"/>
  <c r="B35" i="14703"/>
  <c r="D33" i="14703"/>
  <c r="B7" i="14631" a="1"/>
  <c r="B7" i="14631" s="1"/>
  <c r="J175" i="14698"/>
  <c r="J195" i="14698"/>
  <c r="I191" i="14698"/>
  <c r="J117" i="14698"/>
  <c r="L117" i="14698"/>
  <c r="I117" i="14698"/>
  <c r="D39" i="14698"/>
  <c r="H32" i="14698"/>
  <c r="C34" i="14698"/>
  <c r="E35" i="14698"/>
  <c r="E36" i="14698"/>
  <c r="J38" i="14698"/>
  <c r="M39" i="14698"/>
  <c r="M33" i="14698"/>
  <c r="C33" i="14698"/>
  <c r="E37" i="14698"/>
  <c r="C37" i="14698"/>
  <c r="K36" i="14698"/>
  <c r="L33" i="14698"/>
  <c r="K32" i="14698"/>
  <c r="F37" i="14698"/>
  <c r="M32" i="14698"/>
  <c r="K39" i="14698"/>
  <c r="G39" i="14698"/>
  <c r="H38" i="14698"/>
  <c r="B34" i="14698"/>
  <c r="H39" i="14698"/>
  <c r="I36" i="14698"/>
  <c r="M38" i="14698"/>
  <c r="L38" i="14698"/>
  <c r="M168" i="14703"/>
  <c r="F228" i="14703"/>
  <c r="H157" i="14703"/>
  <c r="M207" i="14703"/>
  <c r="Q201" i="14703"/>
  <c r="Q137" i="14698"/>
  <c r="J223" i="14698"/>
  <c r="M157" i="14698"/>
  <c r="L151" i="14698"/>
  <c r="F121" i="14698"/>
  <c r="D177" i="14698"/>
  <c r="U168" i="14698"/>
  <c r="S185" i="14698"/>
  <c r="N192" i="14698"/>
  <c r="M240" i="14698"/>
  <c r="L189" i="14703"/>
  <c r="K33" i="14703"/>
  <c r="E34" i="14703"/>
  <c r="H35" i="14703"/>
  <c r="F155" i="14698"/>
  <c r="N223" i="14703"/>
  <c r="U221" i="14703"/>
  <c r="Q148" i="14703"/>
  <c r="P240" i="14703"/>
  <c r="Q239" i="14698"/>
  <c r="O131" i="14698"/>
  <c r="O132" i="14698"/>
  <c r="U237" i="14698"/>
  <c r="I213" i="14698"/>
  <c r="P174" i="14703"/>
  <c r="O170" i="14703"/>
  <c r="U223" i="14703"/>
  <c r="K225" i="14703"/>
  <c r="J228" i="14703"/>
  <c r="Q224" i="14703"/>
  <c r="M231" i="14703"/>
  <c r="Q221" i="14703"/>
  <c r="T148" i="14703"/>
  <c r="D248" i="14703"/>
  <c r="K242" i="14703"/>
  <c r="L207" i="14703"/>
  <c r="T202" i="14703"/>
  <c r="U201" i="14703"/>
  <c r="S201" i="14703"/>
  <c r="P201" i="14703"/>
  <c r="S243" i="14698"/>
  <c r="U239" i="14698"/>
  <c r="U131" i="14698"/>
  <c r="J136" i="14698"/>
  <c r="N137" i="14698"/>
  <c r="U223" i="14698"/>
  <c r="G157" i="14698"/>
  <c r="G158" i="14698"/>
  <c r="H173" i="14698"/>
  <c r="K168" i="14698"/>
  <c r="M186" i="14698"/>
  <c r="M32" i="14703"/>
  <c r="G34" i="14703"/>
  <c r="I38" i="14703"/>
  <c r="J33" i="14703"/>
  <c r="E32" i="14703"/>
  <c r="J37" i="14703"/>
  <c r="K207" i="14698"/>
  <c r="L207" i="14698"/>
  <c r="N130" i="14698"/>
  <c r="T130" i="14698"/>
  <c r="L222" i="14698"/>
  <c r="V222" i="14698"/>
  <c r="L226" i="14698"/>
  <c r="G226" i="14698"/>
  <c r="F194" i="14703"/>
  <c r="M194" i="14703"/>
  <c r="J194" i="14703"/>
  <c r="J192" i="14703"/>
  <c r="I192" i="14703"/>
  <c r="M190" i="14703"/>
  <c r="K190" i="14703"/>
  <c r="I190" i="14703"/>
  <c r="J195" i="14703"/>
  <c r="I195" i="14703"/>
  <c r="I136" i="14703"/>
  <c r="M136" i="14703"/>
  <c r="R136" i="14703"/>
  <c r="O138" i="14703"/>
  <c r="K138" i="14703"/>
  <c r="N130" i="14703"/>
  <c r="X130" i="14703"/>
  <c r="U130" i="14703"/>
  <c r="T112" i="14703"/>
  <c r="X112" i="14703"/>
  <c r="Q204" i="14698"/>
  <c r="T204" i="14698"/>
  <c r="O204" i="14698"/>
  <c r="S224" i="14698"/>
  <c r="T224" i="14698"/>
  <c r="G118" i="14703"/>
  <c r="R118" i="14703"/>
  <c r="N118" i="14703"/>
  <c r="N116" i="14703"/>
  <c r="S116" i="14703"/>
  <c r="Q220" i="14698"/>
  <c r="S220" i="14698"/>
  <c r="N135" i="14698"/>
  <c r="O135" i="14698"/>
  <c r="Y219" i="14698"/>
  <c r="U219" i="14698"/>
  <c r="O219" i="14698"/>
  <c r="R219" i="14698"/>
  <c r="M185" i="14703"/>
  <c r="P185" i="14703"/>
  <c r="U131" i="14703"/>
  <c r="T131" i="14703"/>
  <c r="M158" i="14698"/>
  <c r="K158" i="14698"/>
  <c r="C158" i="14698"/>
  <c r="J158" i="14698"/>
  <c r="E158" i="14698"/>
  <c r="F158" i="14698"/>
  <c r="J151" i="14698"/>
  <c r="S151" i="14698"/>
  <c r="O151" i="14698"/>
  <c r="R151" i="14698"/>
  <c r="T151" i="14698"/>
  <c r="M151" i="14698"/>
  <c r="O157" i="14698"/>
  <c r="F157" i="14698"/>
  <c r="D157" i="14698"/>
  <c r="L157" i="14698"/>
  <c r="J157" i="14698"/>
  <c r="H157" i="14698"/>
  <c r="K120" i="14698"/>
  <c r="P120" i="14698"/>
  <c r="E120" i="14698"/>
  <c r="Q111" i="14698"/>
  <c r="X111" i="14698"/>
  <c r="R111" i="14698"/>
  <c r="I121" i="14698"/>
  <c r="O121" i="14698"/>
  <c r="E121" i="14698"/>
  <c r="J121" i="14698"/>
  <c r="G121" i="14698"/>
  <c r="J156" i="14698"/>
  <c r="P156" i="14698"/>
  <c r="L156" i="14698"/>
  <c r="L115" i="14698"/>
  <c r="T115" i="14698"/>
  <c r="S115" i="14698"/>
  <c r="M115" i="14698"/>
  <c r="L114" i="14698"/>
  <c r="N114" i="14698"/>
  <c r="K114" i="14698"/>
  <c r="H118" i="14698"/>
  <c r="K118" i="14698"/>
  <c r="I118" i="14698"/>
  <c r="S170" i="14698"/>
  <c r="O170" i="14698"/>
  <c r="M170" i="14698"/>
  <c r="I172" i="14698"/>
  <c r="G172" i="14698"/>
  <c r="K172" i="14698"/>
  <c r="O172" i="14698"/>
  <c r="V166" i="14698"/>
  <c r="S166" i="14698"/>
  <c r="U166" i="14698"/>
  <c r="G190" i="14698"/>
  <c r="N190" i="14698"/>
  <c r="M190" i="14698"/>
  <c r="I190" i="14698"/>
  <c r="L190" i="14698"/>
  <c r="L193" i="14698"/>
  <c r="F193" i="14698"/>
  <c r="E193" i="14698"/>
  <c r="O193" i="14698"/>
  <c r="G193" i="14698"/>
  <c r="N193" i="14698"/>
  <c r="Y183" i="14698"/>
  <c r="S183" i="14698"/>
  <c r="Q183" i="14698"/>
  <c r="N183" i="14698"/>
  <c r="U183" i="14698"/>
  <c r="L38" i="14703"/>
  <c r="J39" i="14703"/>
  <c r="B33" i="14703"/>
  <c r="I35" i="14703"/>
  <c r="C35" i="14703"/>
  <c r="J34" i="14703"/>
  <c r="G39" i="14703"/>
  <c r="K36" i="14703"/>
  <c r="F34" i="14703"/>
  <c r="K34" i="14703"/>
  <c r="M33" i="14703"/>
  <c r="I34" i="14703"/>
  <c r="B36" i="14703"/>
  <c r="J38" i="14703"/>
  <c r="G37" i="14703"/>
  <c r="E33" i="14703"/>
  <c r="I32" i="14703"/>
  <c r="M38" i="14703"/>
  <c r="K39" i="14703"/>
  <c r="I33" i="14703"/>
  <c r="K32" i="14703"/>
  <c r="D35" i="14703"/>
  <c r="H32" i="14703"/>
  <c r="L32" i="14703"/>
  <c r="G32" i="14703"/>
  <c r="G35" i="14703"/>
  <c r="F36" i="14703"/>
  <c r="F32" i="14703"/>
  <c r="C38" i="14703"/>
  <c r="E37" i="14703"/>
  <c r="D37" i="14703"/>
  <c r="L34" i="14703"/>
  <c r="M34" i="14703"/>
  <c r="F37" i="14703"/>
  <c r="F35" i="14703"/>
  <c r="B34" i="14703"/>
  <c r="C32" i="14703"/>
  <c r="M37" i="14703"/>
  <c r="D38" i="14703"/>
  <c r="K37" i="14703"/>
  <c r="B38" i="14703"/>
  <c r="L35" i="14703"/>
  <c r="D36" i="14703"/>
  <c r="G36" i="14703"/>
  <c r="C36" i="14703"/>
  <c r="J36" i="14703"/>
  <c r="E36" i="14703"/>
  <c r="F33" i="14703"/>
  <c r="B32" i="14703"/>
  <c r="L33" i="14703"/>
  <c r="F38" i="14703"/>
  <c r="H37" i="14703"/>
  <c r="E39" i="14703"/>
  <c r="L37" i="14703"/>
  <c r="H34" i="14703"/>
  <c r="K35" i="14703"/>
  <c r="J32" i="14703"/>
  <c r="I39" i="14703"/>
  <c r="H36" i="14703"/>
  <c r="J35" i="14703"/>
  <c r="M36" i="14703"/>
  <c r="H33" i="14703"/>
  <c r="C39" i="14703"/>
  <c r="B37" i="14703"/>
  <c r="L39" i="14703"/>
  <c r="B39" i="14703"/>
  <c r="C37" i="14703"/>
  <c r="D39" i="14703"/>
  <c r="K150" i="14698"/>
  <c r="Q150" i="14698"/>
  <c r="P150" i="14698"/>
  <c r="R150" i="14698"/>
  <c r="L150" i="14698"/>
  <c r="V150" i="14698"/>
  <c r="T150" i="14698"/>
  <c r="O150" i="14698"/>
  <c r="N150" i="14698"/>
  <c r="G177" i="14698"/>
  <c r="F177" i="14698"/>
  <c r="H177" i="14698"/>
  <c r="M177" i="14698"/>
  <c r="K177" i="14698"/>
  <c r="L177" i="14698"/>
  <c r="O192" i="14698"/>
  <c r="F192" i="14698"/>
  <c r="P192" i="14698"/>
  <c r="L192" i="14698"/>
  <c r="E192" i="14698"/>
  <c r="J192" i="14698"/>
  <c r="V186" i="14698"/>
  <c r="N186" i="14698"/>
  <c r="R186" i="14698"/>
  <c r="K186" i="14698"/>
  <c r="S186" i="14698"/>
  <c r="P186" i="14698"/>
  <c r="R185" i="14698"/>
  <c r="M185" i="14698"/>
  <c r="O185" i="14698"/>
  <c r="T185" i="14698"/>
  <c r="L185" i="14698"/>
  <c r="Q185" i="14698"/>
  <c r="K155" i="14698"/>
  <c r="Q155" i="14698"/>
  <c r="P155" i="14698"/>
  <c r="L155" i="14698"/>
  <c r="O155" i="14698"/>
  <c r="H155" i="14698"/>
  <c r="G155" i="14698"/>
  <c r="J155" i="14698"/>
  <c r="M155" i="14698"/>
  <c r="M122" i="14698"/>
  <c r="K122" i="14698"/>
  <c r="J122" i="14698"/>
  <c r="I122" i="14698"/>
  <c r="C122" i="14698"/>
  <c r="L122" i="14698"/>
  <c r="E122" i="14698"/>
  <c r="N122" i="14698"/>
  <c r="D122" i="14698"/>
  <c r="Q168" i="14698"/>
  <c r="L168" i="14698"/>
  <c r="N168" i="14698"/>
  <c r="T168" i="14698"/>
  <c r="V168" i="14698"/>
  <c r="P168" i="14698"/>
  <c r="L173" i="14698"/>
  <c r="P173" i="14698"/>
  <c r="Q173" i="14698"/>
  <c r="K173" i="14698"/>
  <c r="F173" i="14698"/>
  <c r="G173" i="14698"/>
  <c r="Q223" i="14698"/>
  <c r="K223" i="14698"/>
  <c r="N223" i="14698"/>
  <c r="L223" i="14698"/>
  <c r="M223" i="14698"/>
  <c r="T223" i="14698"/>
  <c r="K115" i="14703"/>
  <c r="S115" i="14703"/>
  <c r="U115" i="14703"/>
  <c r="N115" i="14703"/>
  <c r="R115" i="14703"/>
  <c r="M115" i="14703"/>
  <c r="O115" i="14703"/>
  <c r="J115" i="14703"/>
  <c r="P115" i="14703"/>
  <c r="J189" i="14703"/>
  <c r="H189" i="14703"/>
  <c r="Q189" i="14703"/>
  <c r="N189" i="14703"/>
  <c r="S189" i="14703"/>
  <c r="R189" i="14703"/>
  <c r="R240" i="14698"/>
  <c r="U240" i="14698"/>
  <c r="Q240" i="14698"/>
  <c r="P240" i="14698"/>
  <c r="N240" i="14698"/>
  <c r="L240" i="14698"/>
  <c r="M174" i="14703"/>
  <c r="L174" i="14703"/>
  <c r="I170" i="14703"/>
  <c r="K168" i="14703"/>
  <c r="R168" i="14703"/>
  <c r="K223" i="14703"/>
  <c r="J225" i="14703"/>
  <c r="O225" i="14703"/>
  <c r="E228" i="14703"/>
  <c r="P228" i="14703"/>
  <c r="M228" i="14703"/>
  <c r="I224" i="14703"/>
  <c r="I231" i="14703"/>
  <c r="L231" i="14703"/>
  <c r="W221" i="14703"/>
  <c r="G157" i="14703"/>
  <c r="E157" i="14703"/>
  <c r="S148" i="14703"/>
  <c r="J248" i="14703"/>
  <c r="M248" i="14703"/>
  <c r="L242" i="14703"/>
  <c r="T240" i="14703"/>
  <c r="S240" i="14703"/>
  <c r="J207" i="14703"/>
  <c r="R202" i="14703"/>
  <c r="O202" i="14703"/>
  <c r="N201" i="14703"/>
  <c r="V201" i="14703"/>
  <c r="X201" i="14703"/>
  <c r="Y201" i="14703"/>
  <c r="T201" i="14703"/>
  <c r="O243" i="14698"/>
  <c r="M243" i="14698"/>
  <c r="N239" i="14698"/>
  <c r="T242" i="14698"/>
  <c r="N242" i="14698"/>
  <c r="S131" i="14698"/>
  <c r="M136" i="14698"/>
  <c r="O136" i="14698"/>
  <c r="L137" i="14698"/>
  <c r="L132" i="14698"/>
  <c r="V132" i="14698"/>
  <c r="O207" i="14698"/>
  <c r="X219" i="14698"/>
  <c r="W219" i="14698"/>
  <c r="N224" i="14698"/>
  <c r="S223" i="14698"/>
  <c r="R223" i="14698"/>
  <c r="O223" i="14698"/>
  <c r="U220" i="14698"/>
  <c r="K194" i="14703"/>
  <c r="E192" i="14703"/>
  <c r="H195" i="14703"/>
  <c r="L136" i="14703"/>
  <c r="M138" i="14703"/>
  <c r="P112" i="14703"/>
  <c r="R116" i="14703"/>
  <c r="K157" i="14698"/>
  <c r="E157" i="14698"/>
  <c r="N157" i="14698"/>
  <c r="K151" i="14698"/>
  <c r="P151" i="14698"/>
  <c r="N151" i="14698"/>
  <c r="L158" i="14698"/>
  <c r="I158" i="14698"/>
  <c r="D158" i="14698"/>
  <c r="H121" i="14698"/>
  <c r="L121" i="14698"/>
  <c r="D121" i="14698"/>
  <c r="O111" i="14698"/>
  <c r="M120" i="14698"/>
  <c r="J120" i="14698"/>
  <c r="O173" i="14698"/>
  <c r="N173" i="14698"/>
  <c r="I173" i="14698"/>
  <c r="C177" i="14698"/>
  <c r="B177" i="14698"/>
  <c r="B178" i="14698" s="1"/>
  <c r="E177" i="14698"/>
  <c r="S168" i="14698"/>
  <c r="O168" i="14698"/>
  <c r="M168" i="14698"/>
  <c r="P185" i="14698"/>
  <c r="N185" i="14698"/>
  <c r="W185" i="14698"/>
  <c r="Q186" i="14698"/>
  <c r="U186" i="14698"/>
  <c r="T186" i="14698"/>
  <c r="K192" i="14698"/>
  <c r="H192" i="14698"/>
  <c r="M192" i="14698"/>
  <c r="S28" i="14632"/>
  <c r="H230" i="14703"/>
  <c r="M210" i="14703"/>
  <c r="V240" i="14698"/>
  <c r="S240" i="14698"/>
  <c r="T240" i="14698"/>
  <c r="I209" i="14698"/>
  <c r="K189" i="14703"/>
  <c r="O189" i="14703"/>
  <c r="I189" i="14703"/>
  <c r="N131" i="14703"/>
  <c r="H38" i="14703"/>
  <c r="C34" i="14703"/>
  <c r="C33" i="14703"/>
  <c r="L36" i="14703"/>
  <c r="G33" i="14703"/>
  <c r="H39" i="14703"/>
  <c r="K38" i="14703"/>
  <c r="M35" i="14703"/>
  <c r="M39" i="14703"/>
  <c r="F39" i="14703"/>
  <c r="E35" i="14703"/>
  <c r="D34" i="14703"/>
  <c r="E38" i="14703"/>
  <c r="G38" i="14703"/>
  <c r="L115" i="14703"/>
  <c r="Q115" i="14703"/>
  <c r="U150" i="14698"/>
  <c r="M152" i="14698"/>
  <c r="I155" i="14698"/>
  <c r="R114" i="14698"/>
  <c r="G122" i="14698"/>
  <c r="N118" i="14698"/>
  <c r="M166" i="14698"/>
  <c r="Q190" i="14698"/>
  <c r="R183" i="14698"/>
  <c r="R28" i="14632"/>
  <c r="N167" i="14703"/>
  <c r="H208" i="14703"/>
  <c r="F212" i="14698"/>
  <c r="L123" i="14698"/>
  <c r="D175" i="14698"/>
  <c r="I195" i="14698"/>
  <c r="K187" i="14698"/>
  <c r="F191" i="14698"/>
  <c r="H117" i="14698"/>
  <c r="O117" i="14698"/>
  <c r="R117" i="14698"/>
  <c r="M117" i="14698"/>
  <c r="N117" i="14698"/>
  <c r="H34" i="14698"/>
  <c r="F33" i="14698"/>
  <c r="B32" i="14698"/>
  <c r="M34" i="14698"/>
  <c r="I35" i="14698"/>
  <c r="J32" i="14698"/>
  <c r="D37" i="14698"/>
  <c r="B39" i="14698"/>
  <c r="L32" i="14698"/>
  <c r="B36" i="14698"/>
  <c r="B35" i="14698"/>
  <c r="D38" i="14698"/>
  <c r="I38" i="14698"/>
  <c r="C38" i="14698"/>
  <c r="E34" i="14698"/>
  <c r="L34" i="14698"/>
  <c r="K35" i="14698"/>
  <c r="H35" i="14698"/>
  <c r="F36" i="14698"/>
  <c r="G35" i="14698"/>
  <c r="M36" i="14698"/>
  <c r="E32" i="14698"/>
  <c r="B37" i="14698"/>
  <c r="D34" i="14698"/>
  <c r="C35" i="14698"/>
  <c r="D36" i="14698"/>
  <c r="B38" i="14698"/>
  <c r="D35" i="14698"/>
  <c r="K34" i="14698"/>
  <c r="H37" i="14698"/>
  <c r="D33" i="14698"/>
  <c r="H33" i="14698"/>
  <c r="C32" i="14698"/>
  <c r="I33" i="14698"/>
  <c r="E39" i="14698"/>
  <c r="G36" i="14698"/>
  <c r="M35" i="14698"/>
  <c r="E33" i="14698"/>
  <c r="L36" i="14698"/>
  <c r="J33" i="14698"/>
  <c r="G37" i="14698"/>
  <c r="I39" i="14698"/>
  <c r="K38" i="14698"/>
  <c r="D32" i="14698"/>
  <c r="C36" i="14698"/>
  <c r="F38" i="14698"/>
  <c r="J37" i="14698"/>
  <c r="F176" i="14703"/>
  <c r="K176" i="14703"/>
  <c r="T165" i="14703"/>
  <c r="P165" i="14703"/>
  <c r="P133" i="14698"/>
  <c r="O133" i="14698"/>
  <c r="N133" i="14698"/>
  <c r="Q202" i="14698"/>
  <c r="R202" i="14698"/>
  <c r="S202" i="14698"/>
  <c r="I117" i="14703"/>
  <c r="P117" i="14703"/>
  <c r="O134" i="14703"/>
  <c r="K134" i="14703"/>
  <c r="H191" i="14703"/>
  <c r="P191" i="14703"/>
  <c r="R186" i="14703"/>
  <c r="U186" i="14703"/>
  <c r="Q186" i="14703"/>
  <c r="H120" i="14703"/>
  <c r="J120" i="14703"/>
  <c r="H174" i="14703"/>
  <c r="F174" i="14703"/>
  <c r="E174" i="14703"/>
  <c r="S170" i="14703"/>
  <c r="P170" i="14703"/>
  <c r="M170" i="14703"/>
  <c r="L168" i="14703"/>
  <c r="O168" i="14703"/>
  <c r="T168" i="14703"/>
  <c r="T223" i="14703"/>
  <c r="R223" i="14703"/>
  <c r="S223" i="14703"/>
  <c r="L225" i="14703"/>
  <c r="Q225" i="14703"/>
  <c r="N225" i="14703"/>
  <c r="K228" i="14703"/>
  <c r="I228" i="14703"/>
  <c r="O228" i="14703"/>
  <c r="H228" i="14703"/>
  <c r="L228" i="14703"/>
  <c r="M224" i="14703"/>
  <c r="R224" i="14703"/>
  <c r="K224" i="14703"/>
  <c r="D231" i="14703"/>
  <c r="B231" i="14703"/>
  <c r="B232" i="14703" s="1"/>
  <c r="J231" i="14703"/>
  <c r="V221" i="14703"/>
  <c r="N221" i="14703"/>
  <c r="M221" i="14703"/>
  <c r="J157" i="14703"/>
  <c r="D157" i="14703"/>
  <c r="O157" i="14703"/>
  <c r="N148" i="14703"/>
  <c r="P148" i="14703"/>
  <c r="O148" i="14703"/>
  <c r="N248" i="14703"/>
  <c r="E248" i="14703"/>
  <c r="F248" i="14703"/>
  <c r="S242" i="14703"/>
  <c r="I242" i="14703"/>
  <c r="R242" i="14703"/>
  <c r="N240" i="14703"/>
  <c r="U240" i="14703"/>
  <c r="M240" i="14703"/>
  <c r="N207" i="14703"/>
  <c r="P207" i="14703"/>
  <c r="H207" i="14703"/>
  <c r="M202" i="14703"/>
  <c r="N202" i="14703"/>
  <c r="P202" i="14703"/>
  <c r="Q243" i="14698"/>
  <c r="N243" i="14698"/>
  <c r="K243" i="14698"/>
  <c r="L239" i="14698"/>
  <c r="R239" i="14698"/>
  <c r="V239" i="14698"/>
  <c r="S242" i="14698"/>
  <c r="K242" i="14698"/>
  <c r="M242" i="14698"/>
  <c r="R131" i="14698"/>
  <c r="P131" i="14698"/>
  <c r="L131" i="14698"/>
  <c r="I136" i="14698"/>
  <c r="H136" i="14698"/>
  <c r="Q136" i="14698"/>
  <c r="H137" i="14698"/>
  <c r="M137" i="14698"/>
  <c r="J137" i="14698"/>
  <c r="R132" i="14698"/>
  <c r="P132" i="14698"/>
  <c r="T132" i="14698"/>
  <c r="Q207" i="14698"/>
  <c r="J207" i="14698"/>
  <c r="N207" i="14698"/>
  <c r="P204" i="14698"/>
  <c r="V204" i="14698"/>
  <c r="S204" i="14698"/>
  <c r="V219" i="14698"/>
  <c r="T219" i="14698"/>
  <c r="S219" i="14698"/>
  <c r="N219" i="14698"/>
  <c r="P219" i="14698"/>
  <c r="I224" i="14698"/>
  <c r="R224" i="14698"/>
  <c r="J224" i="14698"/>
  <c r="T220" i="14698"/>
  <c r="M220" i="14698"/>
  <c r="R220" i="14698"/>
  <c r="G194" i="14703"/>
  <c r="L194" i="14703"/>
  <c r="I194" i="14703"/>
  <c r="O192" i="14703"/>
  <c r="H192" i="14703"/>
  <c r="L192" i="14703"/>
  <c r="P190" i="14703"/>
  <c r="N190" i="14703"/>
  <c r="G190" i="14703"/>
  <c r="M195" i="14703"/>
  <c r="F195" i="14703"/>
  <c r="B195" i="14703"/>
  <c r="B196" i="14703" s="1"/>
  <c r="O136" i="14703"/>
  <c r="K136" i="14703"/>
  <c r="J136" i="14703"/>
  <c r="J138" i="14703"/>
  <c r="F138" i="14703"/>
  <c r="P138" i="14703"/>
  <c r="V130" i="14703"/>
  <c r="W130" i="14703"/>
  <c r="P130" i="14703"/>
  <c r="V112" i="14703"/>
  <c r="N112" i="14703"/>
  <c r="U112" i="14703"/>
  <c r="I116" i="14703"/>
  <c r="Q116" i="14703"/>
  <c r="O116" i="14703"/>
  <c r="O118" i="14703"/>
  <c r="H118" i="14703"/>
  <c r="M118" i="14703"/>
  <c r="U165" i="14703"/>
  <c r="N176" i="14703"/>
  <c r="Q205" i="14703"/>
  <c r="M212" i="14703"/>
  <c r="O237" i="14698"/>
  <c r="Q130" i="14698"/>
  <c r="L213" i="14698"/>
  <c r="L209" i="14698"/>
  <c r="N222" i="14698"/>
  <c r="N226" i="14698"/>
  <c r="F191" i="14703"/>
  <c r="S186" i="14703"/>
  <c r="I134" i="14703"/>
  <c r="P120" i="14703"/>
  <c r="K241" i="14703"/>
  <c r="O241" i="14703"/>
  <c r="H171" i="14703"/>
  <c r="R171" i="14703"/>
  <c r="Q171" i="14703"/>
  <c r="H173" i="14703"/>
  <c r="J173" i="14703"/>
  <c r="I173" i="14703"/>
  <c r="F229" i="14703"/>
  <c r="H229" i="14703"/>
  <c r="E230" i="14703"/>
  <c r="N230" i="14703"/>
  <c r="J152" i="14703"/>
  <c r="S152" i="14703"/>
  <c r="O154" i="14703"/>
  <c r="R154" i="14703"/>
  <c r="L247" i="14698"/>
  <c r="K247" i="14698"/>
  <c r="R225" i="14698"/>
  <c r="L225" i="14698"/>
  <c r="M225" i="14698"/>
  <c r="M208" i="14698"/>
  <c r="O208" i="14698"/>
  <c r="P208" i="14698"/>
  <c r="K231" i="14698"/>
  <c r="C231" i="14698"/>
  <c r="J133" i="14703"/>
  <c r="N133" i="14703"/>
  <c r="M133" i="14703"/>
  <c r="L241" i="14698"/>
  <c r="K241" i="14698"/>
  <c r="P241" i="14698"/>
  <c r="R135" i="14698"/>
  <c r="K135" i="14698"/>
  <c r="O185" i="14703"/>
  <c r="W185" i="14703"/>
  <c r="S185" i="14703"/>
  <c r="M131" i="14703"/>
  <c r="W131" i="14703"/>
  <c r="Q131" i="14703"/>
  <c r="G120" i="14698"/>
  <c r="L120" i="14698"/>
  <c r="H120" i="14698"/>
  <c r="O120" i="14698"/>
  <c r="F120" i="14698"/>
  <c r="N120" i="14698"/>
  <c r="U111" i="14698"/>
  <c r="W111" i="14698"/>
  <c r="T111" i="14698"/>
  <c r="S111" i="14698"/>
  <c r="V111" i="14698"/>
  <c r="P111" i="14698"/>
  <c r="N121" i="14698"/>
  <c r="M121" i="14698"/>
  <c r="K156" i="14698"/>
  <c r="S152" i="14698"/>
  <c r="N152" i="14698"/>
  <c r="P115" i="14698"/>
  <c r="U115" i="14698"/>
  <c r="V114" i="14698"/>
  <c r="P114" i="14698"/>
  <c r="P118" i="14698"/>
  <c r="Q118" i="14698"/>
  <c r="N170" i="14698"/>
  <c r="T170" i="14698"/>
  <c r="J172" i="14698"/>
  <c r="P172" i="14698"/>
  <c r="O166" i="14698"/>
  <c r="R166" i="14698"/>
  <c r="C61" i="14643"/>
  <c r="L177" i="14703"/>
  <c r="H158" i="14703"/>
  <c r="Q201" i="14698"/>
  <c r="C140" i="14703"/>
  <c r="S187" i="14703"/>
  <c r="N5" i="14631"/>
  <c r="D5" i="14617" s="1" a="1"/>
  <c r="D6" i="14617" s="1"/>
  <c r="H175" i="14703"/>
  <c r="L153" i="14703"/>
  <c r="R244" i="14703"/>
  <c r="R208" i="14703"/>
  <c r="H248" i="14698"/>
  <c r="S201" i="14698"/>
  <c r="O229" i="14698"/>
  <c r="F227" i="14698"/>
  <c r="H119" i="14703"/>
  <c r="M123" i="14703"/>
  <c r="N153" i="14698"/>
  <c r="M113" i="14698"/>
  <c r="M175" i="14698"/>
  <c r="F175" i="14698"/>
  <c r="G175" i="14698"/>
  <c r="Q169" i="14698"/>
  <c r="H195" i="14698"/>
  <c r="E195" i="14698"/>
  <c r="K195" i="14698"/>
  <c r="O191" i="14698"/>
  <c r="J191" i="14698"/>
  <c r="G191" i="14698"/>
  <c r="O139" i="14703"/>
  <c r="V113" i="14703"/>
  <c r="S147" i="14698"/>
  <c r="N167" i="14698"/>
  <c r="R184" i="14698"/>
  <c r="E85" i="14703"/>
  <c r="P246" i="14703"/>
  <c r="K246" i="14703"/>
  <c r="I246" i="14703"/>
  <c r="J246" i="14703"/>
  <c r="V237" i="14703"/>
  <c r="O237" i="14703"/>
  <c r="P237" i="14703"/>
  <c r="N237" i="14703"/>
  <c r="S220" i="14703"/>
  <c r="W220" i="14703"/>
  <c r="P220" i="14703"/>
  <c r="Q220" i="14703"/>
  <c r="G159" i="14703"/>
  <c r="J159" i="14703"/>
  <c r="C159" i="14703"/>
  <c r="H159" i="14703"/>
  <c r="I156" i="14703"/>
  <c r="L156" i="14703"/>
  <c r="M156" i="14703"/>
  <c r="H156" i="14703"/>
  <c r="I212" i="14703"/>
  <c r="K212" i="14703"/>
  <c r="H212" i="14703"/>
  <c r="J212" i="14703"/>
  <c r="S205" i="14703"/>
  <c r="T205" i="14703"/>
  <c r="J205" i="14703"/>
  <c r="O205" i="14703"/>
  <c r="F247" i="14698"/>
  <c r="M247" i="14698"/>
  <c r="E247" i="14698"/>
  <c r="I247" i="14698"/>
  <c r="D247" i="14698"/>
  <c r="N247" i="14698"/>
  <c r="W130" i="14698"/>
  <c r="R130" i="14698"/>
  <c r="S130" i="14698"/>
  <c r="M130" i="14698"/>
  <c r="V130" i="14698"/>
  <c r="O130" i="14698"/>
  <c r="P209" i="14698"/>
  <c r="N209" i="14698"/>
  <c r="H209" i="14698"/>
  <c r="G209" i="14698"/>
  <c r="F209" i="14698"/>
  <c r="Q209" i="14698"/>
  <c r="U222" i="14698"/>
  <c r="Q222" i="14698"/>
  <c r="R222" i="14698"/>
  <c r="T222" i="14698"/>
  <c r="M222" i="14698"/>
  <c r="S222" i="14698"/>
  <c r="P226" i="14698"/>
  <c r="R226" i="14698"/>
  <c r="H226" i="14698"/>
  <c r="M226" i="14698"/>
  <c r="J226" i="14698"/>
  <c r="O226" i="14698"/>
  <c r="Q28" i="14632"/>
  <c r="E24" i="14638" a="1"/>
  <c r="S237" i="14698"/>
  <c r="X237" i="14698"/>
  <c r="V237" i="14698"/>
  <c r="R237" i="14698"/>
  <c r="N237" i="14698"/>
  <c r="Q237" i="14698"/>
  <c r="B213" i="14698"/>
  <c r="N213" i="14703" s="1"/>
  <c r="F213" i="14698"/>
  <c r="C213" i="14698"/>
  <c r="G213" i="14698"/>
  <c r="K213" i="14698"/>
  <c r="D213" i="14698"/>
  <c r="D231" i="14698"/>
  <c r="J231" i="14698"/>
  <c r="L231" i="14698"/>
  <c r="M231" i="14698"/>
  <c r="G231" i="14698"/>
  <c r="F231" i="14698"/>
  <c r="N174" i="14703"/>
  <c r="I174" i="14703"/>
  <c r="J174" i="14703"/>
  <c r="G174" i="14703"/>
  <c r="O174" i="14703"/>
  <c r="J170" i="14703"/>
  <c r="L170" i="14703"/>
  <c r="Q170" i="14703"/>
  <c r="N170" i="14703"/>
  <c r="R170" i="14703"/>
  <c r="S168" i="14703"/>
  <c r="P168" i="14703"/>
  <c r="N168" i="14703"/>
  <c r="U168" i="14703"/>
  <c r="V168" i="14703"/>
  <c r="M223" i="14703"/>
  <c r="O223" i="14703"/>
  <c r="L223" i="14703"/>
  <c r="J223" i="14703"/>
  <c r="P223" i="14703"/>
  <c r="M225" i="14703"/>
  <c r="H225" i="14703"/>
  <c r="R225" i="14703"/>
  <c r="I225" i="14703"/>
  <c r="S225" i="14703"/>
  <c r="P224" i="14703"/>
  <c r="N224" i="14703"/>
  <c r="O224" i="14703"/>
  <c r="J224" i="14703"/>
  <c r="T224" i="14703"/>
  <c r="C231" i="14703"/>
  <c r="C232" i="14703" s="1"/>
  <c r="K231" i="14703"/>
  <c r="E231" i="14703"/>
  <c r="F231" i="14703"/>
  <c r="H231" i="14703"/>
  <c r="P221" i="14703"/>
  <c r="L221" i="14703"/>
  <c r="O221" i="14703"/>
  <c r="R221" i="14703"/>
  <c r="S221" i="14703"/>
  <c r="I157" i="14703"/>
  <c r="L157" i="14703"/>
  <c r="M157" i="14703"/>
  <c r="F157" i="14703"/>
  <c r="N157" i="14703"/>
  <c r="X148" i="14703"/>
  <c r="V148" i="14703"/>
  <c r="M148" i="14703"/>
  <c r="U148" i="14703"/>
  <c r="W148" i="14703"/>
  <c r="I248" i="14703"/>
  <c r="H248" i="14703"/>
  <c r="G248" i="14703"/>
  <c r="K248" i="14703"/>
  <c r="C248" i="14703"/>
  <c r="J242" i="14703"/>
  <c r="N242" i="14703"/>
  <c r="T242" i="14703"/>
  <c r="Q242" i="14703"/>
  <c r="O242" i="14703"/>
  <c r="Q240" i="14703"/>
  <c r="K240" i="14703"/>
  <c r="V240" i="14703"/>
  <c r="L240" i="14703"/>
  <c r="O240" i="14703"/>
  <c r="O207" i="14703"/>
  <c r="S207" i="14703"/>
  <c r="K207" i="14703"/>
  <c r="Q207" i="14703"/>
  <c r="R207" i="14703"/>
  <c r="U202" i="14703"/>
  <c r="X202" i="14703"/>
  <c r="Q202" i="14703"/>
  <c r="V202" i="14703"/>
  <c r="W202" i="14703"/>
  <c r="J243" i="14698"/>
  <c r="R243" i="14698"/>
  <c r="H243" i="14698"/>
  <c r="L243" i="14698"/>
  <c r="P243" i="14698"/>
  <c r="S239" i="14698"/>
  <c r="P239" i="14698"/>
  <c r="T239" i="14698"/>
  <c r="M239" i="14698"/>
  <c r="W239" i="14698"/>
  <c r="R242" i="14698"/>
  <c r="O242" i="14698"/>
  <c r="Q242" i="14698"/>
  <c r="P242" i="14698"/>
  <c r="L242" i="14698"/>
  <c r="V131" i="14698"/>
  <c r="M131" i="14698"/>
  <c r="W131" i="14698"/>
  <c r="Q131" i="14698"/>
  <c r="N131" i="14698"/>
  <c r="R136" i="14698"/>
  <c r="G136" i="14698"/>
  <c r="P136" i="14698"/>
  <c r="K136" i="14698"/>
  <c r="L136" i="14698"/>
  <c r="O137" i="14698"/>
  <c r="K137" i="14698"/>
  <c r="G137" i="14698"/>
  <c r="P137" i="14698"/>
  <c r="I137" i="14698"/>
  <c r="N132" i="14698"/>
  <c r="K132" i="14698"/>
  <c r="U132" i="14698"/>
  <c r="S132" i="14698"/>
  <c r="Q132" i="14698"/>
  <c r="R207" i="14698"/>
  <c r="H207" i="14698"/>
  <c r="S207" i="14698"/>
  <c r="M207" i="14698"/>
  <c r="P207" i="14698"/>
  <c r="N204" i="14698"/>
  <c r="R204" i="14698"/>
  <c r="M204" i="14698"/>
  <c r="U204" i="14698"/>
  <c r="L204" i="14698"/>
  <c r="Q224" i="14698"/>
  <c r="M224" i="14698"/>
  <c r="L224" i="14698"/>
  <c r="K224" i="14698"/>
  <c r="P224" i="14698"/>
  <c r="P220" i="14698"/>
  <c r="N220" i="14698"/>
  <c r="W220" i="14698"/>
  <c r="O220" i="14698"/>
  <c r="X220" i="14698"/>
  <c r="N194" i="14703"/>
  <c r="E194" i="14703"/>
  <c r="D194" i="14703"/>
  <c r="C194" i="14703"/>
  <c r="C196" i="14703" s="1"/>
  <c r="H194" i="14703"/>
  <c r="K192" i="14703"/>
  <c r="N192" i="14703"/>
  <c r="M192" i="14703"/>
  <c r="G192" i="14703"/>
  <c r="F192" i="14703"/>
  <c r="J190" i="14703"/>
  <c r="O190" i="14703"/>
  <c r="H190" i="14703"/>
  <c r="R190" i="14703"/>
  <c r="L190" i="14703"/>
  <c r="G195" i="14703"/>
  <c r="L195" i="14703"/>
  <c r="K195" i="14703"/>
  <c r="E195" i="14703"/>
  <c r="D195" i="14703"/>
  <c r="N136" i="14703"/>
  <c r="P136" i="14703"/>
  <c r="H136" i="14703"/>
  <c r="Q136" i="14703"/>
  <c r="G136" i="14703"/>
  <c r="N138" i="14703"/>
  <c r="L138" i="14703"/>
  <c r="E138" i="14703"/>
  <c r="G138" i="14703"/>
  <c r="I138" i="14703"/>
  <c r="Q130" i="14703"/>
  <c r="O130" i="14703"/>
  <c r="M130" i="14703"/>
  <c r="R130" i="14703"/>
  <c r="T130" i="14703"/>
  <c r="W112" i="14703"/>
  <c r="R112" i="14703"/>
  <c r="Q112" i="14703"/>
  <c r="M112" i="14703"/>
  <c r="O112" i="14703"/>
  <c r="K116" i="14703"/>
  <c r="J116" i="14703"/>
  <c r="T116" i="14703"/>
  <c r="M116" i="14703"/>
  <c r="L116" i="14703"/>
  <c r="I118" i="14703"/>
  <c r="K118" i="14703"/>
  <c r="L118" i="14703"/>
  <c r="P118" i="14703"/>
  <c r="Q118" i="14703"/>
  <c r="Q165" i="14703"/>
  <c r="X165" i="14703"/>
  <c r="O165" i="14703"/>
  <c r="F173" i="14703"/>
  <c r="P173" i="14703"/>
  <c r="O173" i="14703"/>
  <c r="C176" i="14703"/>
  <c r="M176" i="14703"/>
  <c r="G176" i="14703"/>
  <c r="M171" i="14703"/>
  <c r="P171" i="14703"/>
  <c r="I171" i="14703"/>
  <c r="J230" i="14703"/>
  <c r="G230" i="14703"/>
  <c r="I230" i="14703"/>
  <c r="N220" i="14703"/>
  <c r="U220" i="14703"/>
  <c r="J156" i="14703"/>
  <c r="K156" i="14703"/>
  <c r="D159" i="14703"/>
  <c r="I159" i="14703"/>
  <c r="S237" i="14703"/>
  <c r="R237" i="14703"/>
  <c r="M246" i="14703"/>
  <c r="O246" i="14703"/>
  <c r="U205" i="14703"/>
  <c r="O210" i="14703"/>
  <c r="F212" i="14703"/>
  <c r="U241" i="14698"/>
  <c r="M241" i="14698"/>
  <c r="P237" i="14698"/>
  <c r="T237" i="14698"/>
  <c r="Y237" i="14698"/>
  <c r="J247" i="14698"/>
  <c r="G247" i="14698"/>
  <c r="H247" i="14698"/>
  <c r="H135" i="14698"/>
  <c r="I135" i="14698"/>
  <c r="Q133" i="14698"/>
  <c r="J133" i="14698"/>
  <c r="P130" i="14698"/>
  <c r="U130" i="14698"/>
  <c r="X130" i="14698"/>
  <c r="J208" i="14698"/>
  <c r="R208" i="14698"/>
  <c r="E213" i="14698"/>
  <c r="J213" i="14698"/>
  <c r="M213" i="14698"/>
  <c r="V202" i="14698"/>
  <c r="P202" i="14698"/>
  <c r="K209" i="14698"/>
  <c r="J209" i="14698"/>
  <c r="M209" i="14698"/>
  <c r="B231" i="14698"/>
  <c r="E231" i="14698"/>
  <c r="I231" i="14698"/>
  <c r="K222" i="14698"/>
  <c r="P222" i="14698"/>
  <c r="O222" i="14698"/>
  <c r="Q225" i="14698"/>
  <c r="J225" i="14698"/>
  <c r="K226" i="14698"/>
  <c r="Q226" i="14698"/>
  <c r="I226" i="14698"/>
  <c r="J191" i="14703"/>
  <c r="O191" i="14703"/>
  <c r="V186" i="14703"/>
  <c r="P186" i="14703"/>
  <c r="P134" i="14703"/>
  <c r="Q134" i="14703"/>
  <c r="L133" i="14703"/>
  <c r="R133" i="14703"/>
  <c r="K117" i="14703"/>
  <c r="J241" i="14703"/>
  <c r="Q241" i="14703"/>
  <c r="M241" i="14703"/>
  <c r="T241" i="14703"/>
  <c r="I229" i="14703"/>
  <c r="E229" i="14703"/>
  <c r="N229" i="14703"/>
  <c r="O229" i="14703"/>
  <c r="Q152" i="14703"/>
  <c r="M152" i="14703"/>
  <c r="O152" i="14703"/>
  <c r="I152" i="14703"/>
  <c r="L154" i="14703"/>
  <c r="K154" i="14703"/>
  <c r="P154" i="14703"/>
  <c r="H154" i="14703"/>
  <c r="J210" i="14703"/>
  <c r="P210" i="14703"/>
  <c r="F210" i="14703"/>
  <c r="H210" i="14703"/>
  <c r="T133" i="14698"/>
  <c r="S133" i="14698"/>
  <c r="M133" i="14698"/>
  <c r="R133" i="14698"/>
  <c r="L133" i="14698"/>
  <c r="K133" i="14698"/>
  <c r="T202" i="14698"/>
  <c r="X202" i="14698"/>
  <c r="M202" i="14698"/>
  <c r="W202" i="14698"/>
  <c r="O202" i="14698"/>
  <c r="N202" i="14698"/>
  <c r="S225" i="14698"/>
  <c r="K225" i="14698"/>
  <c r="P225" i="14698"/>
  <c r="I225" i="14698"/>
  <c r="O225" i="14698"/>
  <c r="H225" i="14698"/>
  <c r="I208" i="14698"/>
  <c r="N208" i="14698"/>
  <c r="K208" i="14698"/>
  <c r="H208" i="14698"/>
  <c r="Q208" i="14698"/>
  <c r="G208" i="14698"/>
  <c r="S117" i="14703"/>
  <c r="O117" i="14703"/>
  <c r="H117" i="14703"/>
  <c r="Q117" i="14703"/>
  <c r="M117" i="14703"/>
  <c r="N117" i="14703"/>
  <c r="J117" i="14703"/>
  <c r="R117" i="14703"/>
  <c r="K133" i="14703"/>
  <c r="P133" i="14703"/>
  <c r="S133" i="14703"/>
  <c r="U133" i="14703"/>
  <c r="O133" i="14703"/>
  <c r="T133" i="14703"/>
  <c r="N134" i="14703"/>
  <c r="M134" i="14703"/>
  <c r="T134" i="14703"/>
  <c r="R134" i="14703"/>
  <c r="J134" i="14703"/>
  <c r="S134" i="14703"/>
  <c r="I191" i="14703"/>
  <c r="K191" i="14703"/>
  <c r="M191" i="14703"/>
  <c r="L191" i="14703"/>
  <c r="Q191" i="14703"/>
  <c r="N191" i="14703"/>
  <c r="M186" i="14703"/>
  <c r="K186" i="14703"/>
  <c r="L186" i="14703"/>
  <c r="O186" i="14703"/>
  <c r="N186" i="14703"/>
  <c r="T186" i="14703"/>
  <c r="M120" i="14703"/>
  <c r="I120" i="14703"/>
  <c r="E120" i="14703"/>
  <c r="L120" i="14703"/>
  <c r="N120" i="14703"/>
  <c r="O120" i="14703"/>
  <c r="G120" i="14703"/>
  <c r="F120" i="14703"/>
  <c r="K120" i="14703"/>
  <c r="O241" i="14698"/>
  <c r="J241" i="14698"/>
  <c r="T241" i="14698"/>
  <c r="Q241" i="14698"/>
  <c r="N241" i="14698"/>
  <c r="S241" i="14698"/>
  <c r="S135" i="14698"/>
  <c r="P135" i="14698"/>
  <c r="Q135" i="14698"/>
  <c r="L135" i="14698"/>
  <c r="M135" i="14698"/>
  <c r="J135" i="14698"/>
  <c r="Q185" i="14703"/>
  <c r="N185" i="14703"/>
  <c r="T185" i="14703"/>
  <c r="L185" i="14703"/>
  <c r="R185" i="14703"/>
  <c r="U185" i="14703"/>
  <c r="S131" i="14703"/>
  <c r="L131" i="14703"/>
  <c r="R131" i="14703"/>
  <c r="P131" i="14703"/>
  <c r="O131" i="14703"/>
  <c r="V131" i="14703"/>
  <c r="O156" i="14698"/>
  <c r="N156" i="14698"/>
  <c r="I152" i="14698"/>
  <c r="O152" i="14698"/>
  <c r="E156" i="14698"/>
  <c r="M156" i="14698"/>
  <c r="H156" i="14698"/>
  <c r="F156" i="14698"/>
  <c r="G156" i="14698"/>
  <c r="I156" i="14698"/>
  <c r="T152" i="14698"/>
  <c r="L152" i="14698"/>
  <c r="P152" i="14698"/>
  <c r="J152" i="14698"/>
  <c r="R152" i="14698"/>
  <c r="K152" i="14698"/>
  <c r="K115" i="14698"/>
  <c r="N115" i="14698"/>
  <c r="Q115" i="14698"/>
  <c r="J115" i="14698"/>
  <c r="O115" i="14698"/>
  <c r="R115" i="14698"/>
  <c r="O114" i="14698"/>
  <c r="M114" i="14698"/>
  <c r="S114" i="14698"/>
  <c r="T114" i="14698"/>
  <c r="U114" i="14698"/>
  <c r="Q114" i="14698"/>
  <c r="Q81" i="14703" a="1"/>
  <c r="Q84" i="14703" s="1"/>
  <c r="O118" i="14698"/>
  <c r="G118" i="14698"/>
  <c r="J118" i="14698"/>
  <c r="M118" i="14698"/>
  <c r="R118" i="14698"/>
  <c r="L118" i="14698"/>
  <c r="K170" i="14698"/>
  <c r="J170" i="14698"/>
  <c r="L170" i="14698"/>
  <c r="Q170" i="14698"/>
  <c r="I170" i="14698"/>
  <c r="P170" i="14698"/>
  <c r="Q172" i="14698"/>
  <c r="L172" i="14698"/>
  <c r="R172" i="14698"/>
  <c r="M172" i="14698"/>
  <c r="N172" i="14698"/>
  <c r="H172" i="14698"/>
  <c r="X166" i="14698"/>
  <c r="T166" i="14698"/>
  <c r="N166" i="14698"/>
  <c r="P166" i="14698"/>
  <c r="W166" i="14698"/>
  <c r="Q166" i="14698"/>
  <c r="R190" i="14698"/>
  <c r="K190" i="14698"/>
  <c r="J190" i="14698"/>
  <c r="P190" i="14698"/>
  <c r="O190" i="14698"/>
  <c r="D193" i="14698"/>
  <c r="J193" i="14698"/>
  <c r="I193" i="14698"/>
  <c r="H193" i="14698"/>
  <c r="K193" i="14698"/>
  <c r="W183" i="14698"/>
  <c r="T183" i="14698"/>
  <c r="P183" i="14698"/>
  <c r="O183" i="14698"/>
  <c r="X183" i="14698"/>
  <c r="D85" i="14703"/>
  <c r="G85" i="14703"/>
  <c r="G85" i="14698"/>
  <c r="D85" i="14698"/>
  <c r="O19" i="14634"/>
  <c r="E175" i="14703"/>
  <c r="D175" i="14703"/>
  <c r="O153" i="14703"/>
  <c r="M153" i="14703"/>
  <c r="K244" i="14703"/>
  <c r="O244" i="14703"/>
  <c r="O208" i="14703"/>
  <c r="C212" i="14698"/>
  <c r="N212" i="14698"/>
  <c r="W201" i="14698"/>
  <c r="H229" i="14698"/>
  <c r="G229" i="14698"/>
  <c r="L227" i="14698"/>
  <c r="Q119" i="14703"/>
  <c r="H175" i="14698"/>
  <c r="N175" i="14698"/>
  <c r="L175" i="14698"/>
  <c r="E175" i="14698"/>
  <c r="I175" i="14698"/>
  <c r="B195" i="14698"/>
  <c r="B196" i="14698" s="1"/>
  <c r="D195" i="14698"/>
  <c r="C195" i="14698"/>
  <c r="L195" i="14698"/>
  <c r="F195" i="14698"/>
  <c r="M191" i="14698"/>
  <c r="L191" i="14698"/>
  <c r="P191" i="14698"/>
  <c r="N191" i="14698"/>
  <c r="Q191" i="14698"/>
  <c r="X129" i="14698"/>
  <c r="H141" i="14703"/>
  <c r="R114" i="14703"/>
  <c r="R116" i="14698"/>
  <c r="X112" i="14698"/>
  <c r="R171" i="14698"/>
  <c r="M189" i="14698"/>
  <c r="M27" i="14632"/>
  <c r="G27" i="14632"/>
  <c r="D23" i="14638" a="1"/>
  <c r="D25" i="14638" s="1"/>
  <c r="L27" i="14632"/>
  <c r="I27" i="14632"/>
  <c r="I10" i="14640" s="1"/>
  <c r="V222" i="14703"/>
  <c r="Q155" i="14703"/>
  <c r="M243" i="14703"/>
  <c r="O209" i="14703"/>
  <c r="M206" i="14703"/>
  <c r="R244" i="14698"/>
  <c r="I134" i="14698"/>
  <c r="S188" i="14703"/>
  <c r="P132" i="14703"/>
  <c r="V238" i="14703"/>
  <c r="M238" i="14703"/>
  <c r="L172" i="14703"/>
  <c r="P172" i="14703"/>
  <c r="D140" i="14698"/>
  <c r="G140" i="14698"/>
  <c r="S238" i="14698"/>
  <c r="N238" i="14698"/>
  <c r="K246" i="14698"/>
  <c r="J246" i="14698"/>
  <c r="E246" i="14698"/>
  <c r="G246" i="14698"/>
  <c r="F123" i="14703"/>
  <c r="J123" i="14703"/>
  <c r="E123" i="14703"/>
  <c r="D123" i="14703"/>
  <c r="X111" i="14703"/>
  <c r="N111" i="14703"/>
  <c r="V111" i="14703"/>
  <c r="T111" i="14703"/>
  <c r="C122" i="14703"/>
  <c r="E122" i="14703"/>
  <c r="G122" i="14703"/>
  <c r="J193" i="14703"/>
  <c r="F193" i="14703"/>
  <c r="U183" i="14703"/>
  <c r="S183" i="14703"/>
  <c r="E121" i="14703"/>
  <c r="O121" i="14703"/>
  <c r="G137" i="14703"/>
  <c r="J137" i="14703"/>
  <c r="O39" i="14634"/>
  <c r="C41" i="14634" a="1"/>
  <c r="L41" i="14634" s="1"/>
  <c r="L42" i="14634" s="1"/>
  <c r="I154" i="14698"/>
  <c r="R154" i="14698"/>
  <c r="O154" i="14698"/>
  <c r="M154" i="14698"/>
  <c r="J153" i="14698"/>
  <c r="S153" i="14698"/>
  <c r="P153" i="14698"/>
  <c r="M153" i="14698"/>
  <c r="L149" i="14698"/>
  <c r="V149" i="14698"/>
  <c r="N149" i="14698"/>
  <c r="T149" i="14698"/>
  <c r="Q113" i="14698"/>
  <c r="P113" i="14698"/>
  <c r="N113" i="14698"/>
  <c r="U113" i="14698"/>
  <c r="K123" i="14698"/>
  <c r="E123" i="14698"/>
  <c r="G123" i="14698"/>
  <c r="I123" i="14698"/>
  <c r="Q205" i="14698"/>
  <c r="S205" i="14698"/>
  <c r="H159" i="14698"/>
  <c r="F159" i="14698"/>
  <c r="I85" i="14698"/>
  <c r="G119" i="14698"/>
  <c r="L119" i="14698"/>
  <c r="S79" i="14703" a="1"/>
  <c r="S81" i="14703" s="1"/>
  <c r="L174" i="14698"/>
  <c r="G174" i="14698"/>
  <c r="G176" i="14698"/>
  <c r="I176" i="14698"/>
  <c r="Q188" i="14698"/>
  <c r="O188" i="14698"/>
  <c r="N84" i="14703"/>
  <c r="N85" i="14703" s="1"/>
  <c r="B85" i="14698"/>
  <c r="U169" i="14698"/>
  <c r="M169" i="14698"/>
  <c r="N169" i="14698"/>
  <c r="L169" i="14698"/>
  <c r="D194" i="14698"/>
  <c r="H194" i="14698"/>
  <c r="G194" i="14698"/>
  <c r="N194" i="14698"/>
  <c r="C22" i="14638" a="1"/>
  <c r="C23" i="14638" s="1"/>
  <c r="R187" i="14698"/>
  <c r="N187" i="14698"/>
  <c r="Q187" i="14698"/>
  <c r="S187" i="14698"/>
  <c r="P148" i="14698"/>
  <c r="V148" i="14698"/>
  <c r="W129" i="14703"/>
  <c r="X129" i="14703"/>
  <c r="R165" i="14698"/>
  <c r="U165" i="14698"/>
  <c r="N165" i="14698"/>
  <c r="V165" i="14698"/>
  <c r="H177" i="14703"/>
  <c r="G175" i="14703"/>
  <c r="O175" i="14703"/>
  <c r="M175" i="14703"/>
  <c r="K222" i="14703"/>
  <c r="U147" i="14703"/>
  <c r="K153" i="14703"/>
  <c r="R153" i="14703"/>
  <c r="P153" i="14703"/>
  <c r="K155" i="14703"/>
  <c r="K243" i="14703"/>
  <c r="P244" i="14703"/>
  <c r="G244" i="14703"/>
  <c r="N244" i="14703"/>
  <c r="N247" i="14703"/>
  <c r="I209" i="14703"/>
  <c r="K208" i="14703"/>
  <c r="G208" i="14703"/>
  <c r="L208" i="14703"/>
  <c r="G249" i="14698"/>
  <c r="H139" i="14698"/>
  <c r="J210" i="14698"/>
  <c r="H212" i="14698"/>
  <c r="I212" i="14698"/>
  <c r="D212" i="14698"/>
  <c r="R201" i="14698"/>
  <c r="N201" i="14698"/>
  <c r="Y201" i="14698"/>
  <c r="F229" i="14698"/>
  <c r="D229" i="14698"/>
  <c r="J229" i="14698"/>
  <c r="I227" i="14698"/>
  <c r="K227" i="14698"/>
  <c r="O227" i="14698"/>
  <c r="T184" i="14703"/>
  <c r="P188" i="14703"/>
  <c r="L132" i="14703"/>
  <c r="N135" i="14703"/>
  <c r="L119" i="14703"/>
  <c r="N122" i="14703"/>
  <c r="I122" i="14703"/>
  <c r="O111" i="14703"/>
  <c r="Y111" i="14703"/>
  <c r="C123" i="14703"/>
  <c r="P149" i="14698"/>
  <c r="Q149" i="14698"/>
  <c r="K153" i="14698"/>
  <c r="H154" i="14698"/>
  <c r="K154" i="14698"/>
  <c r="C123" i="14698"/>
  <c r="U77" i="14703" a="1"/>
  <c r="U83" i="14703" s="1"/>
  <c r="S113" i="14698"/>
  <c r="X165" i="14698"/>
  <c r="Q165" i="14698"/>
  <c r="T169" i="14698"/>
  <c r="E194" i="14698"/>
  <c r="F194" i="14698"/>
  <c r="L187" i="14698"/>
  <c r="O28" i="14632"/>
  <c r="F246" i="14698"/>
  <c r="I246" i="14698"/>
  <c r="U238" i="14698"/>
  <c r="L140" i="14698"/>
  <c r="N129" i="14698"/>
  <c r="W183" i="14703"/>
  <c r="T187" i="14703"/>
  <c r="I139" i="14703"/>
  <c r="H137" i="14703"/>
  <c r="L141" i="14703"/>
  <c r="U114" i="14703"/>
  <c r="G121" i="14703"/>
  <c r="O113" i="14703"/>
  <c r="X147" i="14698"/>
  <c r="E159" i="14698"/>
  <c r="O116" i="14698"/>
  <c r="U112" i="14698"/>
  <c r="M167" i="14698"/>
  <c r="I174" i="14698"/>
  <c r="P171" i="14698"/>
  <c r="P189" i="14698"/>
  <c r="M188" i="14698"/>
  <c r="S184" i="14698"/>
  <c r="K85" i="14698"/>
  <c r="F211" i="14698"/>
  <c r="M211" i="14698"/>
  <c r="G230" i="14698"/>
  <c r="N230" i="14698"/>
  <c r="V221" i="14698"/>
  <c r="W221" i="14698"/>
  <c r="M140" i="14698"/>
  <c r="J140" i="14698"/>
  <c r="E140" i="14698"/>
  <c r="I140" i="14698"/>
  <c r="N140" i="14698"/>
  <c r="F140" i="14698"/>
  <c r="R238" i="14698"/>
  <c r="O238" i="14698"/>
  <c r="W238" i="14698"/>
  <c r="Q238" i="14698"/>
  <c r="S114" i="14703"/>
  <c r="N114" i="14703"/>
  <c r="O114" i="14703"/>
  <c r="P114" i="14703"/>
  <c r="K114" i="14703"/>
  <c r="M114" i="14703"/>
  <c r="K141" i="14703"/>
  <c r="M141" i="14703"/>
  <c r="B141" i="14703"/>
  <c r="B142" i="14703" s="1"/>
  <c r="D141" i="14703"/>
  <c r="J141" i="14703"/>
  <c r="F141" i="14703"/>
  <c r="H139" i="14703"/>
  <c r="K139" i="14703"/>
  <c r="N139" i="14703"/>
  <c r="M139" i="14703"/>
  <c r="D139" i="14703"/>
  <c r="J139" i="14703"/>
  <c r="L193" i="14703"/>
  <c r="G193" i="14703"/>
  <c r="E193" i="14703"/>
  <c r="M193" i="14703"/>
  <c r="D193" i="14703"/>
  <c r="N193" i="14703"/>
  <c r="P183" i="14703"/>
  <c r="R183" i="14703"/>
  <c r="X183" i="14703"/>
  <c r="T183" i="14703"/>
  <c r="Q183" i="14703"/>
  <c r="Y183" i="14703"/>
  <c r="L187" i="14703"/>
  <c r="R187" i="14703"/>
  <c r="J187" i="14703"/>
  <c r="Q187" i="14703"/>
  <c r="P187" i="14703"/>
  <c r="M187" i="14703"/>
  <c r="H121" i="14703"/>
  <c r="L121" i="14703"/>
  <c r="D121" i="14703"/>
  <c r="I121" i="14703"/>
  <c r="K121" i="14703"/>
  <c r="F121" i="14703"/>
  <c r="L137" i="14703"/>
  <c r="O137" i="14703"/>
  <c r="M137" i="14703"/>
  <c r="K137" i="14703"/>
  <c r="N137" i="14703"/>
  <c r="I137" i="14703"/>
  <c r="K85" i="14703"/>
  <c r="J205" i="14698"/>
  <c r="L205" i="14698"/>
  <c r="U205" i="14698"/>
  <c r="M205" i="14698"/>
  <c r="T205" i="14698"/>
  <c r="O205" i="14698"/>
  <c r="W147" i="14698"/>
  <c r="Q147" i="14698"/>
  <c r="P147" i="14698"/>
  <c r="U147" i="14698"/>
  <c r="Y147" i="14698"/>
  <c r="R147" i="14698"/>
  <c r="J159" i="14698"/>
  <c r="D159" i="14698"/>
  <c r="G159" i="14698"/>
  <c r="L159" i="14698"/>
  <c r="K159" i="14698"/>
  <c r="I159" i="14698"/>
  <c r="K119" i="14698"/>
  <c r="Q119" i="14698"/>
  <c r="H119" i="14698"/>
  <c r="N119" i="14698"/>
  <c r="P119" i="14698"/>
  <c r="O119" i="14698"/>
  <c r="J174" i="14698"/>
  <c r="E174" i="14698"/>
  <c r="P174" i="14698"/>
  <c r="O174" i="14698"/>
  <c r="M174" i="14698"/>
  <c r="H174" i="14698"/>
  <c r="Q171" i="14698"/>
  <c r="J171" i="14698"/>
  <c r="S171" i="14698"/>
  <c r="N171" i="14698"/>
  <c r="I171" i="14698"/>
  <c r="H171" i="14698"/>
  <c r="F176" i="14698"/>
  <c r="J176" i="14698"/>
  <c r="H176" i="14698"/>
  <c r="L176" i="14698"/>
  <c r="C176" i="14698"/>
  <c r="N176" i="14698"/>
  <c r="I189" i="14698"/>
  <c r="O189" i="14698"/>
  <c r="H189" i="14698"/>
  <c r="Q189" i="14698"/>
  <c r="R189" i="14698"/>
  <c r="L189" i="14698"/>
  <c r="L188" i="14698"/>
  <c r="N188" i="14698"/>
  <c r="K188" i="14698"/>
  <c r="R188" i="14698"/>
  <c r="T188" i="14698"/>
  <c r="J188" i="14698"/>
  <c r="M184" i="14698"/>
  <c r="V184" i="14698"/>
  <c r="X184" i="14698"/>
  <c r="N184" i="14698"/>
  <c r="P184" i="14698"/>
  <c r="Q184" i="14698"/>
  <c r="N40" i="14630"/>
  <c r="W148" i="14698"/>
  <c r="M148" i="14698"/>
  <c r="R148" i="14698"/>
  <c r="N148" i="14698"/>
  <c r="S148" i="14698"/>
  <c r="T148" i="14698"/>
  <c r="R112" i="14698"/>
  <c r="O112" i="14698"/>
  <c r="V112" i="14698"/>
  <c r="T112" i="14698"/>
  <c r="N112" i="14698"/>
  <c r="S112" i="14698"/>
  <c r="T116" i="14698"/>
  <c r="K116" i="14698"/>
  <c r="S116" i="14698"/>
  <c r="N116" i="14698"/>
  <c r="M116" i="14698"/>
  <c r="L116" i="14698"/>
  <c r="T129" i="14703"/>
  <c r="O129" i="14703"/>
  <c r="U129" i="14703"/>
  <c r="Q129" i="14703"/>
  <c r="S129" i="14703"/>
  <c r="Y129" i="14703"/>
  <c r="Q129" i="14698"/>
  <c r="R129" i="14698"/>
  <c r="W129" i="14698"/>
  <c r="U129" i="14698"/>
  <c r="T129" i="14698"/>
  <c r="O129" i="14698"/>
  <c r="L167" i="14698"/>
  <c r="U167" i="14698"/>
  <c r="Q167" i="14698"/>
  <c r="V167" i="14698"/>
  <c r="O167" i="14698"/>
  <c r="P167" i="14698"/>
  <c r="N28" i="14632"/>
  <c r="H27" i="14632"/>
  <c r="P113" i="14703"/>
  <c r="Q113" i="14703"/>
  <c r="T113" i="14703"/>
  <c r="U113" i="14703"/>
  <c r="N113" i="14703"/>
  <c r="M113" i="14703"/>
  <c r="K177" i="14703"/>
  <c r="K175" i="14703"/>
  <c r="J175" i="14703"/>
  <c r="F175" i="14703"/>
  <c r="L175" i="14703"/>
  <c r="N175" i="14703"/>
  <c r="W167" i="14703"/>
  <c r="U167" i="14703"/>
  <c r="U222" i="14703"/>
  <c r="Q147" i="14703"/>
  <c r="S147" i="14703"/>
  <c r="S153" i="14703"/>
  <c r="N153" i="14703"/>
  <c r="Q153" i="14703"/>
  <c r="H153" i="14703"/>
  <c r="I153" i="14703"/>
  <c r="I155" i="14703"/>
  <c r="M158" i="14703"/>
  <c r="G158" i="14703"/>
  <c r="O243" i="14703"/>
  <c r="J244" i="14703"/>
  <c r="L244" i="14703"/>
  <c r="Q244" i="14703"/>
  <c r="H244" i="14703"/>
  <c r="I244" i="14703"/>
  <c r="G247" i="14703"/>
  <c r="J247" i="14703"/>
  <c r="J209" i="14703"/>
  <c r="J208" i="14703"/>
  <c r="M208" i="14703"/>
  <c r="P208" i="14703"/>
  <c r="N208" i="14703"/>
  <c r="I208" i="14703"/>
  <c r="J206" i="14703"/>
  <c r="Q206" i="14703"/>
  <c r="K244" i="14698"/>
  <c r="G244" i="14698"/>
  <c r="I248" i="14698"/>
  <c r="P245" i="14698"/>
  <c r="L138" i="14698"/>
  <c r="T203" i="14698"/>
  <c r="O210" i="14698"/>
  <c r="J212" i="14698"/>
  <c r="G212" i="14698"/>
  <c r="M212" i="14698"/>
  <c r="L212" i="14698"/>
  <c r="E212" i="14698"/>
  <c r="P201" i="14698"/>
  <c r="O201" i="14698"/>
  <c r="T201" i="14698"/>
  <c r="U201" i="14698"/>
  <c r="V201" i="14698"/>
  <c r="I229" i="14698"/>
  <c r="L229" i="14698"/>
  <c r="N229" i="14698"/>
  <c r="E229" i="14698"/>
  <c r="M229" i="14698"/>
  <c r="G227" i="14698"/>
  <c r="P227" i="14698"/>
  <c r="J227" i="14698"/>
  <c r="N227" i="14698"/>
  <c r="M227" i="14698"/>
  <c r="X184" i="14703"/>
  <c r="D140" i="14703"/>
  <c r="M135" i="14703"/>
  <c r="M119" i="14703"/>
  <c r="D122" i="14703"/>
  <c r="L122" i="14703"/>
  <c r="K122" i="14703"/>
  <c r="F122" i="14703"/>
  <c r="H122" i="14703"/>
  <c r="Q111" i="14703"/>
  <c r="R111" i="14703"/>
  <c r="W111" i="14703"/>
  <c r="U111" i="14703"/>
  <c r="P111" i="14703"/>
  <c r="I123" i="14703"/>
  <c r="H123" i="14703"/>
  <c r="G123" i="14703"/>
  <c r="B123" i="14703"/>
  <c r="B124" i="14703" s="1"/>
  <c r="K123" i="14703"/>
  <c r="M149" i="14698"/>
  <c r="R149" i="14698"/>
  <c r="O149" i="14698"/>
  <c r="U149" i="14698"/>
  <c r="S149" i="14698"/>
  <c r="H153" i="14698"/>
  <c r="Q153" i="14698"/>
  <c r="R153" i="14698"/>
  <c r="I153" i="14698"/>
  <c r="L153" i="14698"/>
  <c r="N154" i="14698"/>
  <c r="Q154" i="14698"/>
  <c r="P154" i="14698"/>
  <c r="G154" i="14698"/>
  <c r="J154" i="14698"/>
  <c r="H123" i="14698"/>
  <c r="D123" i="14698"/>
  <c r="J123" i="14698"/>
  <c r="B123" i="14698"/>
  <c r="N123" i="14703" s="1"/>
  <c r="F123" i="14698"/>
  <c r="P82" i="14703" a="1"/>
  <c r="P83" i="14703" s="1"/>
  <c r="V113" i="14698"/>
  <c r="T113" i="14698"/>
  <c r="R113" i="14698"/>
  <c r="L113" i="14698"/>
  <c r="O113" i="14698"/>
  <c r="W165" i="14698"/>
  <c r="P165" i="14698"/>
  <c r="T165" i="14698"/>
  <c r="S165" i="14698"/>
  <c r="O165" i="14698"/>
  <c r="K169" i="14698"/>
  <c r="J169" i="14698"/>
  <c r="P169" i="14698"/>
  <c r="R169" i="14698"/>
  <c r="S169" i="14698"/>
  <c r="C194" i="14698"/>
  <c r="L194" i="14698"/>
  <c r="K194" i="14698"/>
  <c r="J194" i="14698"/>
  <c r="I194" i="14698"/>
  <c r="P187" i="14698"/>
  <c r="O187" i="14698"/>
  <c r="U187" i="14698"/>
  <c r="T187" i="14698"/>
  <c r="M187" i="14698"/>
  <c r="R219" i="14703"/>
  <c r="G245" i="14703"/>
  <c r="O246" i="14698"/>
  <c r="L246" i="14698"/>
  <c r="H246" i="14698"/>
  <c r="M246" i="14698"/>
  <c r="P246" i="14698"/>
  <c r="M238" i="14698"/>
  <c r="X238" i="14698"/>
  <c r="P238" i="14698"/>
  <c r="T238" i="14698"/>
  <c r="C140" i="14698"/>
  <c r="K140" i="14698"/>
  <c r="H140" i="14698"/>
  <c r="V129" i="14698"/>
  <c r="P129" i="14698"/>
  <c r="S129" i="14698"/>
  <c r="K205" i="14698"/>
  <c r="P205" i="14698"/>
  <c r="R205" i="14698"/>
  <c r="D230" i="14698"/>
  <c r="T221" i="14698"/>
  <c r="O183" i="14703"/>
  <c r="V183" i="14703"/>
  <c r="N183" i="14703"/>
  <c r="O187" i="14703"/>
  <c r="N187" i="14703"/>
  <c r="U187" i="14703"/>
  <c r="K193" i="14703"/>
  <c r="O193" i="14703"/>
  <c r="H193" i="14703"/>
  <c r="E139" i="14703"/>
  <c r="L139" i="14703"/>
  <c r="G139" i="14703"/>
  <c r="Q137" i="14703"/>
  <c r="P137" i="14703"/>
  <c r="F137" i="14703"/>
  <c r="G141" i="14703"/>
  <c r="C141" i="14703"/>
  <c r="I141" i="14703"/>
  <c r="R129" i="14703"/>
  <c r="V129" i="14703"/>
  <c r="N129" i="14703"/>
  <c r="Q114" i="14703"/>
  <c r="V114" i="14703"/>
  <c r="L114" i="14703"/>
  <c r="N121" i="14703"/>
  <c r="J121" i="14703"/>
  <c r="M121" i="14703"/>
  <c r="W113" i="14703"/>
  <c r="R113" i="14703"/>
  <c r="L113" i="14703"/>
  <c r="U148" i="14698"/>
  <c r="O148" i="14698"/>
  <c r="X148" i="14698"/>
  <c r="V147" i="14698"/>
  <c r="N147" i="14698"/>
  <c r="T147" i="14698"/>
  <c r="M159" i="14698"/>
  <c r="C159" i="14698"/>
  <c r="B159" i="14698"/>
  <c r="B160" i="14698" s="1"/>
  <c r="J116" i="14698"/>
  <c r="P116" i="14698"/>
  <c r="I116" i="14698"/>
  <c r="J119" i="14698"/>
  <c r="M119" i="14698"/>
  <c r="I119" i="14698"/>
  <c r="W112" i="14698"/>
  <c r="Q112" i="14698"/>
  <c r="M112" i="14698"/>
  <c r="T167" i="14698"/>
  <c r="W167" i="14698"/>
  <c r="S167" i="14698"/>
  <c r="N174" i="14698"/>
  <c r="F174" i="14698"/>
  <c r="K174" i="14698"/>
  <c r="O171" i="14698"/>
  <c r="M171" i="14698"/>
  <c r="K171" i="14698"/>
  <c r="D176" i="14698"/>
  <c r="M176" i="14698"/>
  <c r="E176" i="14698"/>
  <c r="N189" i="14698"/>
  <c r="K189" i="14698"/>
  <c r="S189" i="14698"/>
  <c r="S188" i="14698"/>
  <c r="I188" i="14698"/>
  <c r="P188" i="14698"/>
  <c r="W184" i="14698"/>
  <c r="T184" i="14698"/>
  <c r="U184" i="14698"/>
  <c r="B21" i="14638" a="1"/>
  <c r="B24" i="14638" s="1"/>
  <c r="P28" i="14632"/>
  <c r="N39" i="14630"/>
  <c r="L85" i="14698"/>
  <c r="Y73" i="14703" a="1"/>
  <c r="Y73" i="14703" s="1"/>
  <c r="I85" i="14703"/>
  <c r="B9" i="14631" a="1"/>
  <c r="D9" i="14631" s="1"/>
  <c r="M177" i="14703"/>
  <c r="I177" i="14703"/>
  <c r="E177" i="14703"/>
  <c r="R167" i="14703"/>
  <c r="T167" i="14703"/>
  <c r="L167" i="14703"/>
  <c r="N222" i="14703"/>
  <c r="P222" i="14703"/>
  <c r="R222" i="14703"/>
  <c r="V147" i="14703"/>
  <c r="R147" i="14703"/>
  <c r="W147" i="14703"/>
  <c r="F155" i="14703"/>
  <c r="L155" i="14703"/>
  <c r="M155" i="14703"/>
  <c r="C158" i="14703"/>
  <c r="F158" i="14703"/>
  <c r="I158" i="14703"/>
  <c r="S243" i="14703"/>
  <c r="R243" i="14703"/>
  <c r="L243" i="14703"/>
  <c r="D247" i="14703"/>
  <c r="H247" i="14703"/>
  <c r="O247" i="14703"/>
  <c r="M209" i="14703"/>
  <c r="L209" i="14703"/>
  <c r="N209" i="14703"/>
  <c r="N206" i="14703"/>
  <c r="K206" i="14703"/>
  <c r="I206" i="14703"/>
  <c r="Q244" i="14698"/>
  <c r="O244" i="14698"/>
  <c r="J244" i="14698"/>
  <c r="J249" i="14698"/>
  <c r="G245" i="14698"/>
  <c r="L139" i="14698"/>
  <c r="S134" i="14698"/>
  <c r="Q203" i="14698"/>
  <c r="N169" i="14703"/>
  <c r="P150" i="14703"/>
  <c r="P151" i="14703"/>
  <c r="F213" i="14703"/>
  <c r="P204" i="14703"/>
  <c r="K211" i="14698"/>
  <c r="K27" i="14632"/>
  <c r="J85" i="14703"/>
  <c r="R80" i="14703" a="1"/>
  <c r="M85" i="14703"/>
  <c r="N35" i="14630"/>
  <c r="N15" i="14632"/>
  <c r="C249" i="14703"/>
  <c r="I249" i="14703"/>
  <c r="W239" i="14703"/>
  <c r="R239" i="14703"/>
  <c r="W166" i="14703"/>
  <c r="Q166" i="14703"/>
  <c r="H138" i="14698"/>
  <c r="L169" i="14703"/>
  <c r="R166" i="14703"/>
  <c r="K172" i="14703"/>
  <c r="P219" i="14703"/>
  <c r="M150" i="14703"/>
  <c r="K151" i="14703"/>
  <c r="M239" i="14703"/>
  <c r="M245" i="14703"/>
  <c r="T238" i="14703"/>
  <c r="H213" i="14703"/>
  <c r="L204" i="14703"/>
  <c r="F85" i="14698"/>
  <c r="K226" i="14703"/>
  <c r="N226" i="14703"/>
  <c r="I227" i="14703"/>
  <c r="K227" i="14703"/>
  <c r="L149" i="14703"/>
  <c r="P149" i="14703"/>
  <c r="G211" i="14703"/>
  <c r="M211" i="14703"/>
  <c r="P203" i="14703"/>
  <c r="U203" i="14703"/>
  <c r="N33" i="14630"/>
  <c r="R134" i="14698"/>
  <c r="N134" i="14698"/>
  <c r="M134" i="14698"/>
  <c r="J134" i="14698"/>
  <c r="K138" i="14698"/>
  <c r="F138" i="14698"/>
  <c r="E138" i="14698"/>
  <c r="G138" i="14698"/>
  <c r="F139" i="14698"/>
  <c r="N139" i="14698"/>
  <c r="D139" i="14698"/>
  <c r="G139" i="14698"/>
  <c r="J85" i="14698"/>
  <c r="Q245" i="14698"/>
  <c r="K245" i="14698"/>
  <c r="I245" i="14698"/>
  <c r="J245" i="14698"/>
  <c r="C248" i="14698"/>
  <c r="G248" i="14698"/>
  <c r="K248" i="14698"/>
  <c r="E248" i="14698"/>
  <c r="C249" i="14698"/>
  <c r="F249" i="14698"/>
  <c r="H249" i="14698"/>
  <c r="I249" i="14698"/>
  <c r="N210" i="14698"/>
  <c r="M210" i="14698"/>
  <c r="F210" i="14698"/>
  <c r="P210" i="14698"/>
  <c r="N203" i="14698"/>
  <c r="S203" i="14698"/>
  <c r="W203" i="14698"/>
  <c r="M203" i="14698"/>
  <c r="E53" i="14643" a="1"/>
  <c r="E53" i="14643" s="1"/>
  <c r="O83" i="14703" a="1"/>
  <c r="O83" i="14703" s="1"/>
  <c r="C85" i="14698"/>
  <c r="S206" i="14698"/>
  <c r="R206" i="14698"/>
  <c r="J228" i="14698"/>
  <c r="F228" i="14698"/>
  <c r="N32" i="14630"/>
  <c r="N36" i="14630"/>
  <c r="J27" i="14632"/>
  <c r="J10" i="14640" s="1"/>
  <c r="U184" i="14703"/>
  <c r="Q184" i="14703"/>
  <c r="S184" i="14703"/>
  <c r="P184" i="14703"/>
  <c r="N188" i="14703"/>
  <c r="J188" i="14703"/>
  <c r="Q188" i="14703"/>
  <c r="O188" i="14703"/>
  <c r="H140" i="14703"/>
  <c r="L140" i="14703"/>
  <c r="J140" i="14703"/>
  <c r="N140" i="14703"/>
  <c r="Q132" i="14703"/>
  <c r="N132" i="14703"/>
  <c r="S132" i="14703"/>
  <c r="T132" i="14703"/>
  <c r="B34" i="14683" a="1"/>
  <c r="B38" i="14683" s="1"/>
  <c r="O135" i="14703"/>
  <c r="Q135" i="14703"/>
  <c r="H135" i="14703"/>
  <c r="P135" i="14703"/>
  <c r="F119" i="14703"/>
  <c r="P119" i="14703"/>
  <c r="G119" i="14703"/>
  <c r="N119" i="14703"/>
  <c r="L141" i="14698"/>
  <c r="G141" i="14698"/>
  <c r="H141" i="14698"/>
  <c r="B9" i="8" a="1"/>
  <c r="I9" i="8" s="1"/>
  <c r="P238" i="14703"/>
  <c r="O238" i="14703"/>
  <c r="R238" i="14703"/>
  <c r="W238" i="14703"/>
  <c r="N238" i="14703"/>
  <c r="X238" i="14703"/>
  <c r="G249" i="14703"/>
  <c r="E249" i="14703"/>
  <c r="K249" i="14703"/>
  <c r="B249" i="14703"/>
  <c r="B250" i="14703" s="1"/>
  <c r="D249" i="14703"/>
  <c r="H249" i="14703"/>
  <c r="K245" i="14703"/>
  <c r="Q245" i="14703"/>
  <c r="N245" i="14703"/>
  <c r="P245" i="14703"/>
  <c r="O245" i="14703"/>
  <c r="F245" i="14703"/>
  <c r="T239" i="14703"/>
  <c r="N239" i="14703"/>
  <c r="O239" i="14703"/>
  <c r="Q239" i="14703"/>
  <c r="S239" i="14703"/>
  <c r="U239" i="14703"/>
  <c r="J172" i="14703"/>
  <c r="H172" i="14703"/>
  <c r="M172" i="14703"/>
  <c r="R172" i="14703"/>
  <c r="N172" i="14703"/>
  <c r="O172" i="14703"/>
  <c r="M166" i="14703"/>
  <c r="V166" i="14703"/>
  <c r="O166" i="14703"/>
  <c r="S166" i="14703"/>
  <c r="T166" i="14703"/>
  <c r="U166" i="14703"/>
  <c r="J169" i="14703"/>
  <c r="U169" i="14703"/>
  <c r="Q169" i="14703"/>
  <c r="P169" i="14703"/>
  <c r="K169" i="14703"/>
  <c r="M169" i="14703"/>
  <c r="Q226" i="14703"/>
  <c r="O226" i="14703"/>
  <c r="M226" i="14703"/>
  <c r="I226" i="14703"/>
  <c r="P226" i="14703"/>
  <c r="J226" i="14703"/>
  <c r="X219" i="14703"/>
  <c r="T219" i="14703"/>
  <c r="S219" i="14703"/>
  <c r="U219" i="14703"/>
  <c r="O219" i="14703"/>
  <c r="Q219" i="14703"/>
  <c r="H227" i="14703"/>
  <c r="N227" i="14703"/>
  <c r="L227" i="14703"/>
  <c r="P227" i="14703"/>
  <c r="O227" i="14703"/>
  <c r="M227" i="14703"/>
  <c r="R151" i="14703"/>
  <c r="M151" i="14703"/>
  <c r="N151" i="14703"/>
  <c r="J151" i="14703"/>
  <c r="U151" i="14703"/>
  <c r="Q151" i="14703"/>
  <c r="U149" i="14703"/>
  <c r="S149" i="14703"/>
  <c r="W149" i="14703"/>
  <c r="M149" i="14703"/>
  <c r="N149" i="14703"/>
  <c r="V149" i="14703"/>
  <c r="K150" i="14703"/>
  <c r="R150" i="14703"/>
  <c r="O150" i="14703"/>
  <c r="T150" i="14703"/>
  <c r="U150" i="14703"/>
  <c r="L150" i="14703"/>
  <c r="R204" i="14703"/>
  <c r="U204" i="14703"/>
  <c r="K204" i="14703"/>
  <c r="M204" i="14703"/>
  <c r="V204" i="14703"/>
  <c r="N204" i="14703"/>
  <c r="E211" i="14703"/>
  <c r="H211" i="14703"/>
  <c r="J211" i="14703"/>
  <c r="F211" i="14703"/>
  <c r="N211" i="14703"/>
  <c r="L211" i="14703"/>
  <c r="L213" i="14703"/>
  <c r="J213" i="14703"/>
  <c r="G213" i="14703"/>
  <c r="B213" i="14703"/>
  <c r="B214" i="14703" s="1"/>
  <c r="M213" i="14703"/>
  <c r="I213" i="14703"/>
  <c r="W203" i="14703"/>
  <c r="Q203" i="14703"/>
  <c r="N203" i="14703"/>
  <c r="M203" i="14703"/>
  <c r="L203" i="14703"/>
  <c r="O203" i="14703"/>
  <c r="T78" i="14703" a="1"/>
  <c r="T84" i="14703" s="1"/>
  <c r="V76" i="14703" a="1"/>
  <c r="V84" i="14703" s="1"/>
  <c r="H85" i="14703"/>
  <c r="C34" i="14683" a="1"/>
  <c r="C37" i="14683" s="1"/>
  <c r="E211" i="14698"/>
  <c r="J211" i="14698"/>
  <c r="H211" i="14698"/>
  <c r="N211" i="14698"/>
  <c r="I211" i="14698"/>
  <c r="D211" i="14698"/>
  <c r="L206" i="14698"/>
  <c r="Q206" i="14698"/>
  <c r="O206" i="14698"/>
  <c r="I206" i="14698"/>
  <c r="J206" i="14698"/>
  <c r="M206" i="14698"/>
  <c r="C230" i="14698"/>
  <c r="I230" i="14698"/>
  <c r="F230" i="14698"/>
  <c r="H230" i="14698"/>
  <c r="M230" i="14698"/>
  <c r="E230" i="14698"/>
  <c r="N228" i="14698"/>
  <c r="E228" i="14698"/>
  <c r="H228" i="14698"/>
  <c r="O228" i="14698"/>
  <c r="K228" i="14698"/>
  <c r="G228" i="14698"/>
  <c r="P221" i="14698"/>
  <c r="M221" i="14698"/>
  <c r="N221" i="14698"/>
  <c r="Q221" i="14698"/>
  <c r="S221" i="14698"/>
  <c r="O221" i="14698"/>
  <c r="B177" i="14703"/>
  <c r="B178" i="14703" s="1"/>
  <c r="C177" i="14703"/>
  <c r="J177" i="14703"/>
  <c r="F177" i="14703"/>
  <c r="G177" i="14703"/>
  <c r="V167" i="14703"/>
  <c r="O167" i="14703"/>
  <c r="S167" i="14703"/>
  <c r="M167" i="14703"/>
  <c r="Q167" i="14703"/>
  <c r="Q222" i="14703"/>
  <c r="T222" i="14703"/>
  <c r="L222" i="14703"/>
  <c r="S222" i="14703"/>
  <c r="M222" i="14703"/>
  <c r="X147" i="14703"/>
  <c r="P147" i="14703"/>
  <c r="O147" i="14703"/>
  <c r="Y147" i="14703"/>
  <c r="T147" i="14703"/>
  <c r="P155" i="14703"/>
  <c r="O155" i="14703"/>
  <c r="H155" i="14703"/>
  <c r="J155" i="14703"/>
  <c r="N155" i="14703"/>
  <c r="E158" i="14703"/>
  <c r="N158" i="14703"/>
  <c r="D158" i="14703"/>
  <c r="J158" i="14703"/>
  <c r="L158" i="14703"/>
  <c r="J243" i="14703"/>
  <c r="Q243" i="14703"/>
  <c r="N243" i="14703"/>
  <c r="H243" i="14703"/>
  <c r="I243" i="14703"/>
  <c r="K247" i="14703"/>
  <c r="F247" i="14703"/>
  <c r="M247" i="14703"/>
  <c r="I247" i="14703"/>
  <c r="E247" i="14703"/>
  <c r="Q209" i="14703"/>
  <c r="H209" i="14703"/>
  <c r="F209" i="14703"/>
  <c r="P209" i="14703"/>
  <c r="K209" i="14703"/>
  <c r="O206" i="14703"/>
  <c r="P206" i="14703"/>
  <c r="T206" i="14703"/>
  <c r="R206" i="14703"/>
  <c r="L206" i="14703"/>
  <c r="H244" i="14698"/>
  <c r="L244" i="14698"/>
  <c r="N244" i="14698"/>
  <c r="M244" i="14698"/>
  <c r="P244" i="14698"/>
  <c r="K249" i="14698"/>
  <c r="L249" i="14698"/>
  <c r="E249" i="14698"/>
  <c r="D249" i="14698"/>
  <c r="B249" i="14698"/>
  <c r="B250" i="14698" s="1"/>
  <c r="D248" i="14698"/>
  <c r="M248" i="14698"/>
  <c r="F248" i="14698"/>
  <c r="J248" i="14698"/>
  <c r="L248" i="14698"/>
  <c r="N245" i="14698"/>
  <c r="F245" i="14698"/>
  <c r="O245" i="14698"/>
  <c r="H245" i="14698"/>
  <c r="L245" i="14698"/>
  <c r="J139" i="14698"/>
  <c r="K139" i="14698"/>
  <c r="M139" i="14698"/>
  <c r="I139" i="14698"/>
  <c r="E139" i="14698"/>
  <c r="J138" i="14698"/>
  <c r="O138" i="14698"/>
  <c r="P138" i="14698"/>
  <c r="N138" i="14698"/>
  <c r="M138" i="14698"/>
  <c r="L134" i="14698"/>
  <c r="T134" i="14698"/>
  <c r="Q134" i="14698"/>
  <c r="P134" i="14698"/>
  <c r="O134" i="14698"/>
  <c r="O203" i="14698"/>
  <c r="P203" i="14698"/>
  <c r="R203" i="14698"/>
  <c r="U203" i="14698"/>
  <c r="L203" i="14698"/>
  <c r="I210" i="14698"/>
  <c r="K210" i="14698"/>
  <c r="L210" i="14698"/>
  <c r="G210" i="14698"/>
  <c r="E210" i="14698"/>
  <c r="O184" i="14703"/>
  <c r="R184" i="14703"/>
  <c r="M184" i="14703"/>
  <c r="N184" i="14703"/>
  <c r="V184" i="14703"/>
  <c r="T188" i="14703"/>
  <c r="M188" i="14703"/>
  <c r="K188" i="14703"/>
  <c r="R188" i="14703"/>
  <c r="I188" i="14703"/>
  <c r="E140" i="14703"/>
  <c r="I140" i="14703"/>
  <c r="F140" i="14703"/>
  <c r="G140" i="14703"/>
  <c r="K140" i="14703"/>
  <c r="M132" i="14703"/>
  <c r="O132" i="14703"/>
  <c r="R132" i="14703"/>
  <c r="K132" i="14703"/>
  <c r="V132" i="14703"/>
  <c r="S135" i="14703"/>
  <c r="L135" i="14703"/>
  <c r="R135" i="14703"/>
  <c r="I135" i="14703"/>
  <c r="J135" i="14703"/>
  <c r="M85" i="14698"/>
  <c r="N28" i="14698"/>
  <c r="D13" i="14657" s="1"/>
  <c r="H85" i="14698"/>
  <c r="T169" i="14703"/>
  <c r="O169" i="14703"/>
  <c r="S169" i="14703"/>
  <c r="X166" i="14703"/>
  <c r="P166" i="14703"/>
  <c r="N166" i="14703"/>
  <c r="G172" i="14703"/>
  <c r="Q172" i="14703"/>
  <c r="I172" i="14703"/>
  <c r="F227" i="14703"/>
  <c r="Q227" i="14703"/>
  <c r="G227" i="14703"/>
  <c r="N219" i="14703"/>
  <c r="W219" i="14703"/>
  <c r="Y219" i="14703"/>
  <c r="H226" i="14703"/>
  <c r="G226" i="14703"/>
  <c r="L226" i="14703"/>
  <c r="V150" i="14703"/>
  <c r="Q150" i="14703"/>
  <c r="S150" i="14703"/>
  <c r="T149" i="14703"/>
  <c r="R149" i="14703"/>
  <c r="O149" i="14703"/>
  <c r="T151" i="14703"/>
  <c r="O151" i="14703"/>
  <c r="S151" i="14703"/>
  <c r="P239" i="14703"/>
  <c r="V239" i="14703"/>
  <c r="L239" i="14703"/>
  <c r="J245" i="14703"/>
  <c r="H245" i="14703"/>
  <c r="I245" i="14703"/>
  <c r="L249" i="14703"/>
  <c r="M249" i="14703"/>
  <c r="F249" i="14703"/>
  <c r="U238" i="14703"/>
  <c r="Q238" i="14703"/>
  <c r="S238" i="14703"/>
  <c r="T203" i="14703"/>
  <c r="S203" i="14703"/>
  <c r="V203" i="14703"/>
  <c r="D213" i="14703"/>
  <c r="K213" i="14703"/>
  <c r="E213" i="14703"/>
  <c r="I211" i="14703"/>
  <c r="O211" i="14703"/>
  <c r="D211" i="14703"/>
  <c r="S204" i="14703"/>
  <c r="T204" i="14703"/>
  <c r="Q204" i="14703"/>
  <c r="E141" i="14698"/>
  <c r="K141" i="14698"/>
  <c r="O211" i="14698"/>
  <c r="G211" i="14698"/>
  <c r="L211" i="14698"/>
  <c r="T206" i="14698"/>
  <c r="K206" i="14698"/>
  <c r="P206" i="14698"/>
  <c r="K230" i="14698"/>
  <c r="J230" i="14698"/>
  <c r="L230" i="14698"/>
  <c r="P228" i="14698"/>
  <c r="L228" i="14698"/>
  <c r="M228" i="14698"/>
  <c r="U221" i="14698"/>
  <c r="R221" i="14698"/>
  <c r="L221" i="14698"/>
  <c r="X74" i="14703" a="1"/>
  <c r="X80" i="14703" s="1"/>
  <c r="W75" i="14703" a="1"/>
  <c r="W78" i="14703" s="1"/>
  <c r="I119" i="14703"/>
  <c r="O119" i="14703"/>
  <c r="K119" i="14703"/>
  <c r="F141" i="14698"/>
  <c r="I141" i="14698"/>
  <c r="M141" i="14698"/>
  <c r="D141" i="14698"/>
  <c r="J141" i="14698"/>
  <c r="C141" i="14698"/>
  <c r="E40" i="14643" a="1"/>
  <c r="E41" i="14643" s="1"/>
  <c r="L85" i="14703"/>
  <c r="C27" i="14683"/>
  <c r="D19" i="14683" s="1" a="1"/>
  <c r="D21" i="14683" s="1"/>
  <c r="N38" i="14630"/>
  <c r="N34" i="14630"/>
  <c r="N28" i="14703"/>
  <c r="C13" i="14657" s="1"/>
  <c r="F85" i="14703"/>
  <c r="N37" i="14630"/>
  <c r="Y165" i="14703"/>
  <c r="R165" i="14703"/>
  <c r="N165" i="14703"/>
  <c r="W165" i="14703"/>
  <c r="V165" i="14703"/>
  <c r="K173" i="14703"/>
  <c r="L173" i="14703"/>
  <c r="Q173" i="14703"/>
  <c r="M173" i="14703"/>
  <c r="N173" i="14703"/>
  <c r="J176" i="14703"/>
  <c r="L176" i="14703"/>
  <c r="E176" i="14703"/>
  <c r="I176" i="14703"/>
  <c r="D176" i="14703"/>
  <c r="O171" i="14703"/>
  <c r="J171" i="14703"/>
  <c r="L171" i="14703"/>
  <c r="S171" i="14703"/>
  <c r="N171" i="14703"/>
  <c r="D230" i="14703"/>
  <c r="K230" i="14703"/>
  <c r="M230" i="14703"/>
  <c r="F230" i="14703"/>
  <c r="L230" i="14703"/>
  <c r="R220" i="14703"/>
  <c r="M220" i="14703"/>
  <c r="T220" i="14703"/>
  <c r="V220" i="14703"/>
  <c r="O220" i="14703"/>
  <c r="D229" i="14703"/>
  <c r="K229" i="14703"/>
  <c r="G229" i="14703"/>
  <c r="M229" i="14703"/>
  <c r="L229" i="14703"/>
  <c r="G156" i="14703"/>
  <c r="P156" i="14703"/>
  <c r="O156" i="14703"/>
  <c r="N156" i="14703"/>
  <c r="F156" i="14703"/>
  <c r="Q154" i="14703"/>
  <c r="M154" i="14703"/>
  <c r="G154" i="14703"/>
  <c r="J154" i="14703"/>
  <c r="I154" i="14703"/>
  <c r="B159" i="14703"/>
  <c r="B160" i="14703" s="1"/>
  <c r="K159" i="14703"/>
  <c r="L159" i="14703"/>
  <c r="E159" i="14703"/>
  <c r="M159" i="14703"/>
  <c r="N152" i="14703"/>
  <c r="L152" i="14703"/>
  <c r="R152" i="14703"/>
  <c r="P152" i="14703"/>
  <c r="T152" i="14703"/>
  <c r="Q237" i="14703"/>
  <c r="T237" i="14703"/>
  <c r="X237" i="14703"/>
  <c r="Y237" i="14703"/>
  <c r="U237" i="14703"/>
  <c r="R241" i="14703"/>
  <c r="P241" i="14703"/>
  <c r="S241" i="14703"/>
  <c r="U241" i="14703"/>
  <c r="L241" i="14703"/>
  <c r="L246" i="14703"/>
  <c r="N246" i="14703"/>
  <c r="G246" i="14703"/>
  <c r="F246" i="14703"/>
  <c r="H246" i="14703"/>
  <c r="L205" i="14703"/>
  <c r="R205" i="14703"/>
  <c r="K205" i="14703"/>
  <c r="N205" i="14703"/>
  <c r="P205" i="14703"/>
  <c r="L210" i="14703"/>
  <c r="N210" i="14703"/>
  <c r="E210" i="14703"/>
  <c r="G210" i="14703"/>
  <c r="K210" i="14703"/>
  <c r="N212" i="14703"/>
  <c r="E212" i="14703"/>
  <c r="L212" i="14703"/>
  <c r="D212" i="14703"/>
  <c r="G212" i="14703"/>
  <c r="C6" i="14625" a="1"/>
  <c r="C6" i="14625" s="1"/>
  <c r="O99" i="14687"/>
  <c r="O19" i="14657" s="1"/>
  <c r="J18" i="14706"/>
  <c r="B27" i="14672"/>
  <c r="N25" i="14672"/>
  <c r="J15" i="14617" s="1"/>
  <c r="B17" i="14649"/>
  <c r="B32" i="11"/>
  <c r="B15" i="14649" s="1"/>
  <c r="C62" i="4128"/>
  <c r="C61" i="4128"/>
  <c r="C63" i="4128"/>
  <c r="N6" i="14667"/>
  <c r="M47" i="14692"/>
  <c r="B47" i="14692"/>
  <c r="G47" i="14692"/>
  <c r="L47" i="14692"/>
  <c r="C47" i="14692"/>
  <c r="D47" i="14692"/>
  <c r="I47" i="14692"/>
  <c r="F47" i="14692"/>
  <c r="J47" i="14692"/>
  <c r="K47" i="14692"/>
  <c r="E47" i="14692"/>
  <c r="H47" i="14692"/>
  <c r="K55" i="14692"/>
  <c r="M55" i="14692"/>
  <c r="L55" i="14692"/>
  <c r="I55" i="14692"/>
  <c r="J55" i="14692"/>
  <c r="G55" i="14692"/>
  <c r="B55" i="14692"/>
  <c r="F55" i="14692"/>
  <c r="E55" i="14692"/>
  <c r="D55" i="14692"/>
  <c r="C55" i="14692"/>
  <c r="H55" i="14692"/>
  <c r="I22" i="14640"/>
  <c r="D22" i="14640"/>
  <c r="M22" i="14640"/>
  <c r="C22" i="14640"/>
  <c r="F22" i="14640"/>
  <c r="J22" i="14640"/>
  <c r="H22" i="14640"/>
  <c r="B22" i="14640"/>
  <c r="G22" i="14640"/>
  <c r="L22" i="14640"/>
  <c r="E22" i="14640"/>
  <c r="K22" i="14640"/>
  <c r="B56" i="14695" a="1"/>
  <c r="N57" i="14695"/>
  <c r="D22" i="14705"/>
  <c r="B84" i="14689"/>
  <c r="D21" i="14682" a="1"/>
  <c r="O24" i="14624"/>
  <c r="O25" i="14624"/>
  <c r="O23" i="14624"/>
  <c r="O7" i="14624"/>
  <c r="O14" i="14624"/>
  <c r="O12" i="14624"/>
  <c r="O10" i="14624"/>
  <c r="O11" i="14624"/>
  <c r="O13" i="14624"/>
  <c r="O8" i="14624"/>
  <c r="O9" i="14624"/>
  <c r="O15" i="14624"/>
  <c r="D15" i="14673"/>
  <c r="K15" i="14673"/>
  <c r="L15" i="14673"/>
  <c r="C15" i="14673"/>
  <c r="D19" i="14673" a="1"/>
  <c r="D19" i="14673" s="1"/>
  <c r="D20" i="14673" s="1"/>
  <c r="L19" i="14673" a="1"/>
  <c r="L19" i="14673" s="1"/>
  <c r="L20" i="14673" s="1"/>
  <c r="J15" i="14673"/>
  <c r="N7" i="14673"/>
  <c r="B15" i="14673"/>
  <c r="N10" i="14673"/>
  <c r="F19" i="14673" a="1"/>
  <c r="F19" i="14673" s="1"/>
  <c r="F20" i="14673" s="1"/>
  <c r="K19" i="14673" a="1"/>
  <c r="K19" i="14673" s="1"/>
  <c r="K20" i="14673" s="1"/>
  <c r="N14" i="14673"/>
  <c r="F47" i="14649"/>
  <c r="E47" i="14649"/>
  <c r="B47" i="14649"/>
  <c r="D47" i="14649"/>
  <c r="C47" i="14649"/>
  <c r="J8" i="14667"/>
  <c r="D15" i="14617"/>
  <c r="B45" i="14667"/>
  <c r="B44" i="14667"/>
  <c r="B46" i="14667"/>
  <c r="H6" i="14690"/>
  <c r="G6" i="14690"/>
  <c r="F6" i="14690"/>
  <c r="N15" i="8"/>
  <c r="E10" i="14682"/>
  <c r="E9" i="14682"/>
  <c r="E7" i="14682"/>
  <c r="E6" i="14682"/>
  <c r="E12" i="14682"/>
  <c r="E11" i="14682"/>
  <c r="E5" i="14682"/>
  <c r="E8" i="14682"/>
  <c r="H22" i="14671"/>
  <c r="J22" i="14671"/>
  <c r="K22" i="14671"/>
  <c r="B22" i="14671"/>
  <c r="I22" i="14671"/>
  <c r="L22" i="14671"/>
  <c r="F22" i="14671"/>
  <c r="G22" i="14671"/>
  <c r="D22" i="14671"/>
  <c r="M22" i="14671"/>
  <c r="C22" i="14671"/>
  <c r="E22" i="14671"/>
  <c r="H22" i="14631"/>
  <c r="I22" i="14631"/>
  <c r="B22" i="14631"/>
  <c r="E22" i="14631"/>
  <c r="K22" i="14631"/>
  <c r="G22" i="14631"/>
  <c r="F22" i="14631"/>
  <c r="D22" i="14631"/>
  <c r="L22" i="14631"/>
  <c r="J22" i="14631"/>
  <c r="M22" i="14631"/>
  <c r="C22" i="14631"/>
  <c r="C21" i="14682"/>
  <c r="C22" i="14682"/>
  <c r="E21" i="14682" a="1"/>
  <c r="E32" i="14692"/>
  <c r="K63" i="14692"/>
  <c r="D40" i="14692"/>
  <c r="L40" i="14692"/>
  <c r="K24" i="14692"/>
  <c r="B56" i="14692"/>
  <c r="L56" i="14692"/>
  <c r="C32" i="14692"/>
  <c r="J24" i="14692"/>
  <c r="I63" i="14692"/>
  <c r="H48" i="14692"/>
  <c r="I32" i="14692"/>
  <c r="M56" i="14692"/>
  <c r="B40" i="14692"/>
  <c r="L32" i="14692"/>
  <c r="G24" i="14692"/>
  <c r="K48" i="14692"/>
  <c r="H56" i="14692"/>
  <c r="F40" i="14692"/>
  <c r="C63" i="14692"/>
  <c r="I24" i="14692"/>
  <c r="B24" i="14692"/>
  <c r="E24" i="14692"/>
  <c r="M63" i="14692"/>
  <c r="B48" i="14692"/>
  <c r="I48" i="14692"/>
  <c r="B32" i="14692"/>
  <c r="H24" i="14692"/>
  <c r="C56" i="14692"/>
  <c r="F56" i="14692"/>
  <c r="M24" i="14692"/>
  <c r="E48" i="14692"/>
  <c r="H32" i="14692"/>
  <c r="J63" i="14692"/>
  <c r="J56" i="14692"/>
  <c r="E63" i="14692"/>
  <c r="B30" i="14692" a="1"/>
  <c r="B38" i="14692" a="1"/>
  <c r="F32" i="14692"/>
  <c r="I40" i="14692"/>
  <c r="G48" i="14692"/>
  <c r="D48" i="14692"/>
  <c r="F24" i="14692"/>
  <c r="C48" i="14692"/>
  <c r="G32" i="14692"/>
  <c r="E40" i="14692"/>
  <c r="K56" i="14692"/>
  <c r="L48" i="14692"/>
  <c r="C40" i="14692"/>
  <c r="H40" i="14692"/>
  <c r="B63" i="14692"/>
  <c r="C24" i="14692"/>
  <c r="M32" i="14692"/>
  <c r="F63" i="14692"/>
  <c r="M40" i="14692"/>
  <c r="D56" i="14692"/>
  <c r="L63" i="14692"/>
  <c r="J32" i="14692"/>
  <c r="K32" i="14692"/>
  <c r="D24" i="14692"/>
  <c r="G56" i="14692"/>
  <c r="J40" i="14692"/>
  <c r="H63" i="14692"/>
  <c r="D63" i="14692"/>
  <c r="F48" i="14692"/>
  <c r="G63" i="14692"/>
  <c r="J48" i="14692"/>
  <c r="M48" i="14692"/>
  <c r="G40" i="14692"/>
  <c r="K40" i="14692"/>
  <c r="D32" i="14692"/>
  <c r="E56" i="14692"/>
  <c r="L24" i="14692"/>
  <c r="I56" i="14692"/>
  <c r="B46" i="14692" a="1"/>
  <c r="B54" i="14692" a="1"/>
  <c r="B23" i="14692" a="1"/>
  <c r="B62" i="14692" a="1"/>
  <c r="I39" i="14692"/>
  <c r="G39" i="14692"/>
  <c r="D39" i="14692"/>
  <c r="C39" i="14692"/>
  <c r="L39" i="14692"/>
  <c r="K39" i="14692"/>
  <c r="E39" i="14692"/>
  <c r="H39" i="14692"/>
  <c r="B39" i="14692"/>
  <c r="J39" i="14692"/>
  <c r="M39" i="14692"/>
  <c r="F39" i="14692"/>
  <c r="L31" i="14692"/>
  <c r="B31" i="14692"/>
  <c r="C31" i="14692"/>
  <c r="I31" i="14692"/>
  <c r="F31" i="14692"/>
  <c r="D31" i="14692"/>
  <c r="M31" i="14692"/>
  <c r="G31" i="14692"/>
  <c r="H31" i="14692"/>
  <c r="E31" i="14692"/>
  <c r="K31" i="14692"/>
  <c r="J31" i="14692"/>
  <c r="D16" i="14682"/>
  <c r="D17" i="14682"/>
  <c r="B42" i="14695" a="1"/>
  <c r="N43" i="14695"/>
  <c r="B35" i="14695" a="1"/>
  <c r="N36" i="14695"/>
  <c r="D10" i="14682"/>
  <c r="D11" i="14682"/>
  <c r="D6" i="14682"/>
  <c r="D12" i="14682"/>
  <c r="D5" i="14682"/>
  <c r="D7" i="14682"/>
  <c r="D9" i="14682"/>
  <c r="D8" i="14682"/>
  <c r="N25" i="14636"/>
  <c r="B27" i="14636"/>
  <c r="C18" i="14682"/>
  <c r="O19" i="14624"/>
  <c r="O20" i="14624"/>
  <c r="O18" i="14624"/>
  <c r="E19" i="14673" a="1"/>
  <c r="E19" i="14673" s="1"/>
  <c r="E20" i="14673" s="1"/>
  <c r="N11" i="14673"/>
  <c r="N13" i="14673"/>
  <c r="G15" i="14673"/>
  <c r="C19" i="14673" a="1"/>
  <c r="C19" i="14673" s="1"/>
  <c r="C20" i="14673" s="1"/>
  <c r="G19" i="14673" a="1"/>
  <c r="G19" i="14673" s="1"/>
  <c r="H19" i="14673" a="1"/>
  <c r="H19" i="14673" s="1"/>
  <c r="H20" i="14673" s="1"/>
  <c r="B19" i="14673" a="1"/>
  <c r="B19" i="14673" s="1"/>
  <c r="N9" i="14673"/>
  <c r="I19" i="14673" a="1"/>
  <c r="I19" i="14673" s="1"/>
  <c r="I20" i="14673" s="1"/>
  <c r="M19" i="14673" a="1"/>
  <c r="M19" i="14673" s="1"/>
  <c r="M20" i="14673" s="1"/>
  <c r="M15" i="14673"/>
  <c r="E15" i="14673"/>
  <c r="N8" i="14673"/>
  <c r="H15" i="14673"/>
  <c r="N12" i="14673"/>
  <c r="E24" i="14673"/>
  <c r="J24" i="14673"/>
  <c r="M23" i="14673"/>
  <c r="K24" i="14673"/>
  <c r="G23" i="14673"/>
  <c r="C24" i="14673"/>
  <c r="I24" i="14673"/>
  <c r="F23" i="14673"/>
  <c r="H23" i="14673"/>
  <c r="L24" i="14673"/>
  <c r="F24" i="14673"/>
  <c r="K23" i="14673"/>
  <c r="K25" i="14673" s="1"/>
  <c r="D24" i="14673"/>
  <c r="G24" i="14673"/>
  <c r="I23" i="14673"/>
  <c r="J23" i="14673"/>
  <c r="B24" i="14673"/>
  <c r="H24" i="14673"/>
  <c r="D23" i="14673"/>
  <c r="D25" i="14673" s="1"/>
  <c r="M24" i="14673"/>
  <c r="E23" i="14673"/>
  <c r="E25" i="14673" s="1"/>
  <c r="C23" i="14673"/>
  <c r="L23" i="14673"/>
  <c r="B23" i="14673"/>
  <c r="B46" i="14706"/>
  <c r="B45" i="14706"/>
  <c r="B47" i="14706"/>
  <c r="C20" i="14649"/>
  <c r="E6" i="14690"/>
  <c r="B49" i="14695" a="1"/>
  <c r="N50" i="14695"/>
  <c r="B28" i="14695" a="1"/>
  <c r="N29" i="14695"/>
  <c r="B21" i="14695" a="1"/>
  <c r="N22" i="14695"/>
  <c r="L76" i="14665"/>
  <c r="E17" i="14682"/>
  <c r="E16" i="14682"/>
  <c r="M22" i="14670"/>
  <c r="B22" i="14670"/>
  <c r="E22" i="14670"/>
  <c r="G22" i="14670"/>
  <c r="K22" i="14670"/>
  <c r="F22" i="14670"/>
  <c r="D22" i="14670"/>
  <c r="H22" i="14670"/>
  <c r="C22" i="14670"/>
  <c r="I22" i="14670"/>
  <c r="L22" i="14670"/>
  <c r="J22" i="14670"/>
  <c r="B22" i="8" a="1"/>
  <c r="D9" i="14643" a="1"/>
  <c r="B27" i="14632"/>
  <c r="B10" i="14640" s="1"/>
  <c r="D27" i="14632"/>
  <c r="D10" i="14640" s="1"/>
  <c r="C18" i="14648" a="1"/>
  <c r="L18" i="14648" s="1"/>
  <c r="N7" i="8"/>
  <c r="F16" i="14667"/>
  <c r="F12" i="14706"/>
  <c r="N141" i="14703"/>
  <c r="B142" i="14698"/>
  <c r="D41" i="14643"/>
  <c r="D45" i="14643"/>
  <c r="D40" i="14643"/>
  <c r="D47" i="14643"/>
  <c r="D42" i="14643"/>
  <c r="D44" i="14643"/>
  <c r="D43" i="14643"/>
  <c r="D46" i="14643"/>
  <c r="E27" i="14632"/>
  <c r="E10" i="14640" s="1"/>
  <c r="C27" i="14632"/>
  <c r="C10" i="14640" s="1"/>
  <c r="F27" i="14632"/>
  <c r="F10" i="14640" s="1"/>
  <c r="F14" i="14707"/>
  <c r="F20" i="14707" s="1"/>
  <c r="P24" i="14655"/>
  <c r="H24" i="14655"/>
  <c r="L24" i="14655"/>
  <c r="O41" i="14628"/>
  <c r="O42" i="14628" s="1"/>
  <c r="C11" i="14628" s="1" a="1"/>
  <c r="C214" i="14703"/>
  <c r="F11" i="14706"/>
  <c r="E21" i="14645"/>
  <c r="E22" i="14645" s="1"/>
  <c r="G7" i="14633"/>
  <c r="G21" i="14645"/>
  <c r="G22" i="14645" s="1"/>
  <c r="K7" i="14633"/>
  <c r="H7" i="14633"/>
  <c r="D7" i="14633"/>
  <c r="F7" i="14633"/>
  <c r="L7" i="14633"/>
  <c r="L21" i="14645"/>
  <c r="L22" i="14645" s="1"/>
  <c r="C7" i="14633"/>
  <c r="H21" i="14645"/>
  <c r="H22" i="14645" s="1"/>
  <c r="N7" i="14633"/>
  <c r="J7" i="14633"/>
  <c r="I21" i="14645"/>
  <c r="I22" i="14645" s="1"/>
  <c r="C21" i="14645"/>
  <c r="C22" i="14645" s="1"/>
  <c r="I7" i="14633"/>
  <c r="B21" i="14645"/>
  <c r="D21" i="14645"/>
  <c r="D22" i="14645" s="1"/>
  <c r="J21" i="14645"/>
  <c r="J22" i="14645" s="1"/>
  <c r="F21" i="14645"/>
  <c r="F22" i="14645" s="1"/>
  <c r="F17" i="14667"/>
  <c r="M21" i="14645"/>
  <c r="E7" i="14633"/>
  <c r="K21" i="14645"/>
  <c r="K22" i="14645" s="1"/>
  <c r="M7" i="14633"/>
  <c r="C15" i="14617"/>
  <c r="C35" i="4128"/>
  <c r="B7" i="14617"/>
  <c r="D15" i="14643"/>
  <c r="C10" i="14637" l="1"/>
  <c r="E6" i="14637"/>
  <c r="M5" i="14637"/>
  <c r="C6" i="14637"/>
  <c r="J11" i="14637"/>
  <c r="M10" i="14637"/>
  <c r="G9" i="14637"/>
  <c r="K10" i="14637"/>
  <c r="L9" i="14637"/>
  <c r="E8" i="14637"/>
  <c r="F10" i="14637"/>
  <c r="G5" i="14637"/>
  <c r="K5" i="14637"/>
  <c r="I9" i="14637"/>
  <c r="L8" i="14637"/>
  <c r="D10" i="14637"/>
  <c r="N40" i="14653"/>
  <c r="E10" i="14637"/>
  <c r="L11" i="14637"/>
  <c r="K8" i="14637"/>
  <c r="B12" i="14637"/>
  <c r="G10" i="14637"/>
  <c r="J9" i="14637"/>
  <c r="D6" i="14637"/>
  <c r="H10" i="14637"/>
  <c r="M12" i="14637"/>
  <c r="K11" i="14637"/>
  <c r="I5" i="14637"/>
  <c r="M9" i="14637"/>
  <c r="B8" i="14637"/>
  <c r="J7" i="14637"/>
  <c r="D5" i="14637"/>
  <c r="H5" i="14637"/>
  <c r="C8" i="14637"/>
  <c r="H12" i="14637"/>
  <c r="M11" i="14637"/>
  <c r="C7" i="14637"/>
  <c r="B11" i="14637"/>
  <c r="H7" i="14637"/>
  <c r="L12" i="14637"/>
  <c r="D12" i="14637"/>
  <c r="K6" i="14637"/>
  <c r="J5" i="14637"/>
  <c r="F11" i="14637"/>
  <c r="J12" i="14637"/>
  <c r="K9" i="14637"/>
  <c r="E7" i="14637"/>
  <c r="L5" i="14637"/>
  <c r="E9" i="14637"/>
  <c r="B65" i="14653"/>
  <c r="B53" i="14653"/>
  <c r="N53" i="14653" s="1"/>
  <c r="B5" i="14668" a="1"/>
  <c r="M7" i="14637"/>
  <c r="I7" i="14637"/>
  <c r="C65" i="14653"/>
  <c r="C53" i="14653"/>
  <c r="H9" i="14637"/>
  <c r="G7" i="14637"/>
  <c r="E12" i="14637"/>
  <c r="G6" i="14637"/>
  <c r="H6" i="14637"/>
  <c r="F8" i="14637"/>
  <c r="H11" i="14637"/>
  <c r="G12" i="14637"/>
  <c r="N52" i="14653"/>
  <c r="F6" i="14637"/>
  <c r="M8" i="14637"/>
  <c r="D7" i="14637"/>
  <c r="C9" i="14637"/>
  <c r="C11" i="14637"/>
  <c r="I8" i="14637"/>
  <c r="G8" i="14637"/>
  <c r="F5" i="14637"/>
  <c r="J8" i="14637"/>
  <c r="L7" i="14637"/>
  <c r="F12" i="14637"/>
  <c r="M6" i="14637"/>
  <c r="K7" i="14637"/>
  <c r="C5" i="14637"/>
  <c r="B10" i="14637"/>
  <c r="G11" i="14637"/>
  <c r="I11" i="14637"/>
  <c r="J6" i="14637"/>
  <c r="L6" i="14637"/>
  <c r="E5" i="14637"/>
  <c r="I12" i="14637"/>
  <c r="C12" i="14637"/>
  <c r="J65" i="14653"/>
  <c r="J53" i="14653"/>
  <c r="B5" i="14637"/>
  <c r="I6" i="14637"/>
  <c r="F7" i="14637"/>
  <c r="F9" i="14637"/>
  <c r="D8" i="14637"/>
  <c r="I10" i="14637"/>
  <c r="D11" i="14637"/>
  <c r="B9" i="14637"/>
  <c r="D9" i="14637"/>
  <c r="B7" i="14637"/>
  <c r="L10" i="14637"/>
  <c r="E11" i="14637"/>
  <c r="H8" i="14637"/>
  <c r="B6" i="14637"/>
  <c r="K12" i="14637"/>
  <c r="F65" i="14653"/>
  <c r="F53" i="14653"/>
  <c r="O158" i="14703" a="1"/>
  <c r="O158" i="14703" s="1"/>
  <c r="J25" i="14673"/>
  <c r="D27" i="14673"/>
  <c r="E250" i="14703"/>
  <c r="I25" i="14673"/>
  <c r="C44" i="14694"/>
  <c r="H44" i="14694"/>
  <c r="J44" i="14694"/>
  <c r="L44" i="14694"/>
  <c r="G44" i="14694"/>
  <c r="M44" i="14694"/>
  <c r="D44" i="14694"/>
  <c r="I44" i="14694"/>
  <c r="B44" i="14694"/>
  <c r="F44" i="14694"/>
  <c r="E44" i="14694"/>
  <c r="K44" i="14694"/>
  <c r="C31" i="14648"/>
  <c r="J31" i="14648"/>
  <c r="H31" i="14648"/>
  <c r="G31" i="14648"/>
  <c r="F31" i="14648"/>
  <c r="N31" i="14648"/>
  <c r="D31" i="14648"/>
  <c r="K31" i="14648"/>
  <c r="L31" i="14648"/>
  <c r="M31" i="14648"/>
  <c r="E31" i="14648"/>
  <c r="I31" i="14648"/>
  <c r="L61" i="14648"/>
  <c r="D61" i="14648"/>
  <c r="K61" i="14648"/>
  <c r="G61" i="14648"/>
  <c r="F61" i="14648"/>
  <c r="H61" i="14648"/>
  <c r="I61" i="14648"/>
  <c r="E61" i="14648"/>
  <c r="J61" i="14648"/>
  <c r="N61" i="14648"/>
  <c r="C61" i="14648"/>
  <c r="M61" i="14648"/>
  <c r="D28" i="14694"/>
  <c r="K28" i="14694"/>
  <c r="B28" i="14694"/>
  <c r="C28" i="14694"/>
  <c r="F28" i="14694"/>
  <c r="J28" i="14694"/>
  <c r="E28" i="14694"/>
  <c r="I28" i="14694"/>
  <c r="H28" i="14694"/>
  <c r="G28" i="14694"/>
  <c r="L28" i="14694"/>
  <c r="M28" i="14694"/>
  <c r="C25" i="14673"/>
  <c r="C160" i="14703"/>
  <c r="N77" i="14653"/>
  <c r="O212" i="14703" a="1"/>
  <c r="O213" i="14703" s="1"/>
  <c r="C16" i="14648"/>
  <c r="M16" i="14648"/>
  <c r="L16" i="14648"/>
  <c r="E16" i="14648"/>
  <c r="H16" i="14648"/>
  <c r="J16" i="14648"/>
  <c r="D16" i="14648"/>
  <c r="K16" i="14648"/>
  <c r="I16" i="14648"/>
  <c r="N16" i="14648"/>
  <c r="G16" i="14648"/>
  <c r="F16" i="14648"/>
  <c r="J60" i="14694"/>
  <c r="B60" i="14694"/>
  <c r="E60" i="14694"/>
  <c r="G60" i="14694"/>
  <c r="L60" i="14694"/>
  <c r="F60" i="14694"/>
  <c r="H60" i="14694"/>
  <c r="C60" i="14694"/>
  <c r="M60" i="14694"/>
  <c r="I60" i="14694"/>
  <c r="K60" i="14694"/>
  <c r="D60" i="14694"/>
  <c r="E27" i="14673"/>
  <c r="L52" i="14694"/>
  <c r="E52" i="14694"/>
  <c r="I52" i="14694"/>
  <c r="G52" i="14694"/>
  <c r="D52" i="14694"/>
  <c r="K52" i="14694"/>
  <c r="J52" i="14694"/>
  <c r="H52" i="14694"/>
  <c r="B52" i="14694"/>
  <c r="F52" i="14694"/>
  <c r="C52" i="14694"/>
  <c r="M52" i="14694"/>
  <c r="I79" i="14653"/>
  <c r="I66" i="14653"/>
  <c r="F21" i="14694"/>
  <c r="B21" i="14694"/>
  <c r="H21" i="14694"/>
  <c r="M21" i="14694"/>
  <c r="D21" i="14694"/>
  <c r="L21" i="14694"/>
  <c r="J21" i="14694"/>
  <c r="E21" i="14694"/>
  <c r="I21" i="14694"/>
  <c r="G21" i="14694"/>
  <c r="C21" i="14694"/>
  <c r="K21" i="14694"/>
  <c r="G36" i="14694"/>
  <c r="D36" i="14694"/>
  <c r="H36" i="14694"/>
  <c r="F36" i="14694"/>
  <c r="E36" i="14694"/>
  <c r="C36" i="14694"/>
  <c r="M36" i="14694"/>
  <c r="L36" i="14694"/>
  <c r="K36" i="14694"/>
  <c r="J36" i="14694"/>
  <c r="B36" i="14694"/>
  <c r="I36" i="14694"/>
  <c r="E76" i="14648"/>
  <c r="N76" i="14648"/>
  <c r="D76" i="14648"/>
  <c r="M76" i="14648"/>
  <c r="K76" i="14648"/>
  <c r="J76" i="14648"/>
  <c r="H76" i="14648"/>
  <c r="F76" i="14648"/>
  <c r="L76" i="14648"/>
  <c r="I76" i="14648"/>
  <c r="C76" i="14648"/>
  <c r="G76" i="14648"/>
  <c r="E46" i="14648"/>
  <c r="F46" i="14648"/>
  <c r="D46" i="14648"/>
  <c r="N46" i="14648"/>
  <c r="C46" i="14648"/>
  <c r="I46" i="14648"/>
  <c r="H46" i="14648"/>
  <c r="M46" i="14648"/>
  <c r="K46" i="14648"/>
  <c r="G46" i="14648"/>
  <c r="J46" i="14648"/>
  <c r="L46" i="14648"/>
  <c r="J27" i="14673"/>
  <c r="C23" i="14682"/>
  <c r="E13" i="14682"/>
  <c r="C42" i="14634"/>
  <c r="C11" i="14628"/>
  <c r="E11" i="14628"/>
  <c r="G11" i="14628"/>
  <c r="I11" i="14628"/>
  <c r="K11" i="14628"/>
  <c r="M11" i="14628"/>
  <c r="O11" i="14628"/>
  <c r="D11" i="14628"/>
  <c r="F11" i="14628"/>
  <c r="H11" i="14628"/>
  <c r="J11" i="14628"/>
  <c r="L11" i="14628"/>
  <c r="N11" i="14628"/>
  <c r="C45" i="14667"/>
  <c r="H7" i="14652" a="1"/>
  <c r="F33" i="14652" a="1"/>
  <c r="F25" i="14673"/>
  <c r="F27" i="14673" s="1"/>
  <c r="F26" i="14638"/>
  <c r="K27" i="14673"/>
  <c r="D18" i="14682"/>
  <c r="C27" i="14673"/>
  <c r="E18" i="14682"/>
  <c r="N177" i="14703"/>
  <c r="N178" i="14703" s="1"/>
  <c r="O122" i="14703" a="1"/>
  <c r="O122" i="14703" s="1"/>
  <c r="F9" i="8"/>
  <c r="B22" i="14638"/>
  <c r="C26" i="14638"/>
  <c r="X83" i="14703"/>
  <c r="Q81" i="14703"/>
  <c r="Y81" i="14703"/>
  <c r="Q82" i="14703"/>
  <c r="X79" i="14703"/>
  <c r="Y77" i="14703"/>
  <c r="E59" i="14643"/>
  <c r="I97" i="14698" a="1"/>
  <c r="I97" i="14698" s="1"/>
  <c r="Q83" i="14703"/>
  <c r="X82" i="14703"/>
  <c r="X84" i="14703"/>
  <c r="X78" i="14703"/>
  <c r="V78" i="14703"/>
  <c r="Y83" i="14703"/>
  <c r="E55" i="14643"/>
  <c r="L9" i="8"/>
  <c r="N249" i="14703"/>
  <c r="N250" i="14703" s="1"/>
  <c r="B23" i="14638"/>
  <c r="C25" i="14638"/>
  <c r="H196" i="14698"/>
  <c r="L103" i="14703" a="1"/>
  <c r="L103" i="14703" s="1"/>
  <c r="H8" i="14707"/>
  <c r="U24" i="14655" s="1"/>
  <c r="N34" i="14703"/>
  <c r="N95" i="14698" a="1"/>
  <c r="N95" i="14698" s="1"/>
  <c r="W79" i="14703"/>
  <c r="C142" i="14703"/>
  <c r="U152" i="14703" a="1"/>
  <c r="U157" i="14703" s="1"/>
  <c r="X167" i="14703" a="1"/>
  <c r="X176" i="14703" s="1"/>
  <c r="D103" i="14698" a="1"/>
  <c r="D103" i="14698" s="1"/>
  <c r="U92" i="14698" a="1"/>
  <c r="U92" i="14698" s="1"/>
  <c r="N34" i="14698"/>
  <c r="X91" i="14698" a="1"/>
  <c r="X91" i="14698" s="1"/>
  <c r="C102" i="14698" a="1"/>
  <c r="C102" i="14698" s="1"/>
  <c r="Q99" i="14698" a="1"/>
  <c r="Q99" i="14698" s="1"/>
  <c r="E196" i="14703"/>
  <c r="N39" i="14703"/>
  <c r="K100" i="14703" a="1"/>
  <c r="K100" i="14703" s="1"/>
  <c r="Y91" i="14703" a="1"/>
  <c r="Y91" i="14703" s="1"/>
  <c r="G102" i="14703" a="1"/>
  <c r="G102" i="14703" s="1"/>
  <c r="T153" i="14703" a="1"/>
  <c r="T159" i="14703" s="1"/>
  <c r="R119" i="14703" a="1"/>
  <c r="R119" i="14703" s="1"/>
  <c r="Q95" i="14698" a="1"/>
  <c r="Q95" i="14698" s="1"/>
  <c r="N100" i="14698" a="1"/>
  <c r="N100" i="14698" s="1"/>
  <c r="N37" i="14698"/>
  <c r="M98" i="14698" a="1"/>
  <c r="M98" i="14698" s="1"/>
  <c r="U224" i="14703" a="1"/>
  <c r="U226" i="14703" s="1"/>
  <c r="M92" i="14703" a="1"/>
  <c r="M92" i="14703" s="1"/>
  <c r="W82" i="14703"/>
  <c r="L102" i="14698" a="1"/>
  <c r="L102" i="14698" s="1"/>
  <c r="M102" i="14698" a="1"/>
  <c r="M102" i="14698" s="1"/>
  <c r="T95" i="14703" a="1"/>
  <c r="T95" i="14703" s="1"/>
  <c r="B103" i="14698" a="1"/>
  <c r="B103" i="14698" s="1"/>
  <c r="N103" i="14703" s="1"/>
  <c r="Q174" i="14703" a="1"/>
  <c r="Q177" i="14703" s="1"/>
  <c r="Q156" i="14703" a="1"/>
  <c r="Q159" i="14703" s="1"/>
  <c r="D102" i="14703" a="1"/>
  <c r="D102" i="14703" s="1"/>
  <c r="W91" i="14703" a="1"/>
  <c r="W91" i="14703" s="1"/>
  <c r="S84" i="14703"/>
  <c r="C124" i="14698"/>
  <c r="O97" i="14698" a="1"/>
  <c r="O97" i="14698" s="1"/>
  <c r="E160" i="14698"/>
  <c r="B9" i="14631"/>
  <c r="B36" i="14683"/>
  <c r="O91" i="14698" a="1"/>
  <c r="O91" i="14698" s="1"/>
  <c r="C38" i="14683"/>
  <c r="O93" i="14698" a="1"/>
  <c r="O93" i="14698" s="1"/>
  <c r="P97" i="14698" a="1"/>
  <c r="P97" i="14698" s="1"/>
  <c r="O94" i="14698" a="1"/>
  <c r="O94" i="14698" s="1"/>
  <c r="R96" i="14703" a="1"/>
  <c r="R96" i="14703" s="1"/>
  <c r="E40" i="14703"/>
  <c r="P98" i="14698" a="1"/>
  <c r="P98" i="14698" s="1"/>
  <c r="F103" i="14703" a="1"/>
  <c r="F103" i="14703" s="1"/>
  <c r="D7" i="14631"/>
  <c r="E40" i="14698"/>
  <c r="S94" i="14703" a="1"/>
  <c r="S94" i="14703" s="1"/>
  <c r="K99" i="14703" a="1"/>
  <c r="K99" i="14703" s="1"/>
  <c r="O97" i="14703" a="1"/>
  <c r="O97" i="14703" s="1"/>
  <c r="F102" i="14703" a="1"/>
  <c r="F102" i="14703" s="1"/>
  <c r="S97" i="14703" a="1"/>
  <c r="S97" i="14703" s="1"/>
  <c r="H99" i="14703" a="1"/>
  <c r="H99" i="14703" s="1"/>
  <c r="H102" i="14698" a="1"/>
  <c r="H102" i="14698" s="1"/>
  <c r="F103" i="14698" a="1"/>
  <c r="F103" i="14698" s="1"/>
  <c r="D24" i="14638"/>
  <c r="G40" i="14698"/>
  <c r="L100" i="14703" a="1"/>
  <c r="L100" i="14703" s="1"/>
  <c r="M100" i="14703" a="1"/>
  <c r="M100" i="14703" s="1"/>
  <c r="M97" i="14698" a="1"/>
  <c r="M97" i="14698" s="1"/>
  <c r="L99" i="14698" a="1"/>
  <c r="L99" i="14698" s="1"/>
  <c r="N102" i="14698" a="1"/>
  <c r="N102" i="14698" s="1"/>
  <c r="T94" i="14698" a="1"/>
  <c r="T94" i="14698" s="1"/>
  <c r="K103" i="14698" a="1"/>
  <c r="K103" i="14698" s="1"/>
  <c r="T92" i="14698" a="1"/>
  <c r="T92" i="14698" s="1"/>
  <c r="G103" i="14698" a="1"/>
  <c r="G103" i="14698" s="1"/>
  <c r="H103" i="14698" a="1"/>
  <c r="H103" i="14698" s="1"/>
  <c r="J7" i="14631"/>
  <c r="U93" i="14698" a="1"/>
  <c r="U93" i="14698" s="1"/>
  <c r="W91" i="14698" a="1"/>
  <c r="W91" i="14698" s="1"/>
  <c r="Q94" i="14698" a="1"/>
  <c r="Q94" i="14698" s="1"/>
  <c r="I101" i="14703" a="1"/>
  <c r="I101" i="14703" s="1"/>
  <c r="G9" i="14631"/>
  <c r="I98" i="14698" a="1"/>
  <c r="I98" i="14698" s="1"/>
  <c r="K96" i="14703" a="1"/>
  <c r="K96" i="14703" s="1"/>
  <c r="O176" i="14703" a="1"/>
  <c r="O177" i="14703" s="1"/>
  <c r="G178" i="14698"/>
  <c r="Q120" i="14703" a="1"/>
  <c r="Q120" i="14703" s="1"/>
  <c r="D196" i="14698"/>
  <c r="N36" i="14698"/>
  <c r="N36" i="14703"/>
  <c r="Y91" i="14698" a="1"/>
  <c r="Y91" i="14698" s="1"/>
  <c r="N35" i="14703"/>
  <c r="M99" i="14698" a="1"/>
  <c r="M99" i="14698" s="1"/>
  <c r="W75" i="14703"/>
  <c r="F124" i="14698"/>
  <c r="T96" i="14698" a="1"/>
  <c r="T96" i="14698" s="1"/>
  <c r="M101" i="14698" a="1"/>
  <c r="M101" i="14698" s="1"/>
  <c r="P96" i="14698" a="1"/>
  <c r="P96" i="14698" s="1"/>
  <c r="T91" i="14698" a="1"/>
  <c r="T91" i="14698" s="1"/>
  <c r="B214" i="14698"/>
  <c r="L9" i="14631"/>
  <c r="E232" i="14703"/>
  <c r="R82" i="14703"/>
  <c r="R84" i="14703"/>
  <c r="U77" i="14703"/>
  <c r="U78" i="14703"/>
  <c r="J41" i="14634"/>
  <c r="J42" i="14634" s="1"/>
  <c r="F41" i="14634"/>
  <c r="F42" i="14634" s="1"/>
  <c r="V187" i="14703" a="1"/>
  <c r="V194" i="14703" s="1"/>
  <c r="W150" i="14703" a="1"/>
  <c r="W156" i="14703" s="1"/>
  <c r="N231" i="14703"/>
  <c r="N232" i="14703" s="1"/>
  <c r="B232" i="14698"/>
  <c r="F196" i="14703"/>
  <c r="E24" i="14638"/>
  <c r="E25" i="14638"/>
  <c r="D59" i="14643"/>
  <c r="D56" i="14643"/>
  <c r="T135" i="14703" a="1"/>
  <c r="T136" i="14703" s="1"/>
  <c r="N32" i="14698"/>
  <c r="M94" i="14698" a="1"/>
  <c r="M94" i="14698" s="1"/>
  <c r="F101" i="14698" a="1"/>
  <c r="F101" i="14698" s="1"/>
  <c r="N93" i="14698" a="1"/>
  <c r="N93" i="14698" s="1"/>
  <c r="L96" i="14698" a="1"/>
  <c r="L96" i="14698" s="1"/>
  <c r="E103" i="14698" a="1"/>
  <c r="E103" i="14698" s="1"/>
  <c r="N94" i="14698" a="1"/>
  <c r="N94" i="14698" s="1"/>
  <c r="P92" i="14698" a="1"/>
  <c r="P92" i="14698" s="1"/>
  <c r="W92" i="14698" a="1"/>
  <c r="W92" i="14698" s="1"/>
  <c r="P99" i="14698" a="1"/>
  <c r="P99" i="14698" s="1"/>
  <c r="U94" i="14698" a="1"/>
  <c r="U94" i="14698" s="1"/>
  <c r="Q98" i="14698" a="1"/>
  <c r="Q98" i="14698" s="1"/>
  <c r="K95" i="14698" a="1"/>
  <c r="K95" i="14698" s="1"/>
  <c r="N92" i="14698" a="1"/>
  <c r="N92" i="14698" s="1"/>
  <c r="M93" i="14698" a="1"/>
  <c r="M93" i="14698" s="1"/>
  <c r="G99" i="14698" a="1"/>
  <c r="G99" i="14698" s="1"/>
  <c r="N99" i="14698" a="1"/>
  <c r="N99" i="14698" s="1"/>
  <c r="L101" i="14698" a="1"/>
  <c r="L101" i="14698" s="1"/>
  <c r="Q96" i="14698" a="1"/>
  <c r="Q96" i="14698" s="1"/>
  <c r="G102" i="14698" a="1"/>
  <c r="G102" i="14698" s="1"/>
  <c r="L98" i="14703" a="1"/>
  <c r="L98" i="14703" s="1"/>
  <c r="H102" i="14703" a="1"/>
  <c r="H102" i="14703" s="1"/>
  <c r="M97" i="14703" a="1"/>
  <c r="M97" i="14703" s="1"/>
  <c r="P94" i="14703" a="1"/>
  <c r="P94" i="14703" s="1"/>
  <c r="O91" i="14703" a="1"/>
  <c r="O91" i="14703" s="1"/>
  <c r="E101" i="14703" a="1"/>
  <c r="E101" i="14703" s="1"/>
  <c r="C103" i="14703" a="1"/>
  <c r="C103" i="14703" s="1"/>
  <c r="F100" i="14703" a="1"/>
  <c r="F100" i="14703" s="1"/>
  <c r="N97" i="14703" a="1"/>
  <c r="N97" i="14703" s="1"/>
  <c r="O96" i="14703" a="1"/>
  <c r="O96" i="14703" s="1"/>
  <c r="P95" i="14703" a="1"/>
  <c r="P95" i="14703" s="1"/>
  <c r="S92" i="14703" a="1"/>
  <c r="S92" i="14703" s="1"/>
  <c r="W93" i="14703" a="1"/>
  <c r="W93" i="14703" s="1"/>
  <c r="U95" i="14703" a="1"/>
  <c r="U95" i="14703" s="1"/>
  <c r="Q99" i="14703" a="1"/>
  <c r="Q99" i="14703" s="1"/>
  <c r="R98" i="14703" a="1"/>
  <c r="R98" i="14703" s="1"/>
  <c r="B103" i="14703" a="1"/>
  <c r="B103" i="14703" s="1"/>
  <c r="B104" i="14703" s="1"/>
  <c r="L93" i="14703" a="1"/>
  <c r="L93" i="14703" s="1"/>
  <c r="D101" i="14703" a="1"/>
  <c r="D101" i="14703" s="1"/>
  <c r="H97" i="14703" a="1"/>
  <c r="H97" i="14703" s="1"/>
  <c r="M96" i="14703" a="1"/>
  <c r="M96" i="14703" s="1"/>
  <c r="I100" i="14703" a="1"/>
  <c r="I100" i="14703" s="1"/>
  <c r="O94" i="14703" a="1"/>
  <c r="O94" i="14703" s="1"/>
  <c r="U94" i="14703" a="1"/>
  <c r="U94" i="14703" s="1"/>
  <c r="P99" i="14703" a="1"/>
  <c r="P99" i="14703" s="1"/>
  <c r="M102" i="14703" a="1"/>
  <c r="M102" i="14703" s="1"/>
  <c r="D40" i="14703"/>
  <c r="G100" i="14703" a="1"/>
  <c r="G100" i="14703" s="1"/>
  <c r="J97" i="14703" a="1"/>
  <c r="J97" i="14703" s="1"/>
  <c r="N98" i="14703" a="1"/>
  <c r="N98" i="14703" s="1"/>
  <c r="T92" i="14703" a="1"/>
  <c r="T92" i="14703" s="1"/>
  <c r="U91" i="14703" a="1"/>
  <c r="U91" i="14703" s="1"/>
  <c r="R94" i="14703" a="1"/>
  <c r="R94" i="14703" s="1"/>
  <c r="L96" i="14703" a="1"/>
  <c r="L96" i="14703" s="1"/>
  <c r="K97" i="14703" a="1"/>
  <c r="K97" i="14703" s="1"/>
  <c r="Q91" i="14703" a="1"/>
  <c r="Q91" i="14703" s="1"/>
  <c r="L102" i="14703" a="1"/>
  <c r="L102" i="14703" s="1"/>
  <c r="Q97" i="14703" a="1"/>
  <c r="Q97" i="14703" s="1"/>
  <c r="M101" i="14703" a="1"/>
  <c r="M101" i="14703" s="1"/>
  <c r="J103" i="14703" a="1"/>
  <c r="J103" i="14703" s="1"/>
  <c r="Q96" i="14703" a="1"/>
  <c r="Q96" i="14703" s="1"/>
  <c r="J40" i="14703"/>
  <c r="N99" i="14703" a="1"/>
  <c r="N99" i="14703" s="1"/>
  <c r="N91" i="14698" a="1"/>
  <c r="N91" i="14698" s="1"/>
  <c r="G98" i="14698" a="1"/>
  <c r="G98" i="14698" s="1"/>
  <c r="I96" i="14698" a="1"/>
  <c r="I96" i="14698" s="1"/>
  <c r="K7" i="14631"/>
  <c r="I7" i="14631"/>
  <c r="C7" i="14631"/>
  <c r="M7" i="14631"/>
  <c r="L7" i="14631"/>
  <c r="G7" i="14631"/>
  <c r="D5" i="14617"/>
  <c r="S80" i="14703"/>
  <c r="W83" i="14703"/>
  <c r="W80" i="14703"/>
  <c r="M103" i="14698" a="1"/>
  <c r="M103" i="14698" s="1"/>
  <c r="O101" i="14698" a="1"/>
  <c r="O101" i="14698" s="1"/>
  <c r="V94" i="14698" a="1"/>
  <c r="V94" i="14698" s="1"/>
  <c r="R96" i="14698" a="1"/>
  <c r="R96" i="14698" s="1"/>
  <c r="O99" i="14698" a="1"/>
  <c r="O99" i="14698" s="1"/>
  <c r="V92" i="14698" a="1"/>
  <c r="V92" i="14698" s="1"/>
  <c r="K40" i="14698"/>
  <c r="S95" i="14698" a="1"/>
  <c r="S95" i="14698" s="1"/>
  <c r="Q97" i="14698" a="1"/>
  <c r="Q97" i="14698" s="1"/>
  <c r="J102" i="14698" a="1"/>
  <c r="J102" i="14698" s="1"/>
  <c r="N98" i="14698" a="1"/>
  <c r="N98" i="14698" s="1"/>
  <c r="O95" i="14698" a="1"/>
  <c r="O95" i="14698" s="1"/>
  <c r="I101" i="14698" a="1"/>
  <c r="I101" i="14698" s="1"/>
  <c r="K99" i="14698" a="1"/>
  <c r="K99" i="14698" s="1"/>
  <c r="K100" i="14698" a="1"/>
  <c r="K100" i="14698" s="1"/>
  <c r="I102" i="14698" a="1"/>
  <c r="I102" i="14698" s="1"/>
  <c r="H101" i="14698" a="1"/>
  <c r="H101" i="14698" s="1"/>
  <c r="R91" i="14698" a="1"/>
  <c r="R91" i="14698" s="1"/>
  <c r="I100" i="14698" a="1"/>
  <c r="I100" i="14698" s="1"/>
  <c r="P96" i="14703" a="1"/>
  <c r="P96" i="14703" s="1"/>
  <c r="K40" i="14703"/>
  <c r="S95" i="14703" a="1"/>
  <c r="S95" i="14703" s="1"/>
  <c r="J101" i="14703" a="1"/>
  <c r="J101" i="14703" s="1"/>
  <c r="Q94" i="14703" a="1"/>
  <c r="Q94" i="14703" s="1"/>
  <c r="W92" i="14703" a="1"/>
  <c r="W92" i="14703" s="1"/>
  <c r="S96" i="14703" a="1"/>
  <c r="S96" i="14703" s="1"/>
  <c r="N96" i="14703" a="1"/>
  <c r="N96" i="14703" s="1"/>
  <c r="H101" i="14703" a="1"/>
  <c r="H101" i="14703" s="1"/>
  <c r="P93" i="14703" a="1"/>
  <c r="P93" i="14703" s="1"/>
  <c r="L94" i="14703" a="1"/>
  <c r="L94" i="14703" s="1"/>
  <c r="C40" i="14703"/>
  <c r="K41" i="14634"/>
  <c r="K42" i="14634" s="1"/>
  <c r="D58" i="14643"/>
  <c r="H7" i="14631"/>
  <c r="F7" i="14631"/>
  <c r="E7" i="14631"/>
  <c r="E102" i="14698" a="1"/>
  <c r="E102" i="14698" s="1"/>
  <c r="P91" i="14698" a="1"/>
  <c r="P91" i="14698" s="1"/>
  <c r="C40" i="14698"/>
  <c r="I99" i="14698" a="1"/>
  <c r="I99" i="14698" s="1"/>
  <c r="L40" i="14698"/>
  <c r="J40" i="14698"/>
  <c r="J103" i="14698" a="1"/>
  <c r="J103" i="14698" s="1"/>
  <c r="F99" i="14698" a="1"/>
  <c r="F99" i="14698" s="1"/>
  <c r="M92" i="14698" a="1"/>
  <c r="M92" i="14698" s="1"/>
  <c r="P91" i="14703" a="1"/>
  <c r="P91" i="14703" s="1"/>
  <c r="D103" i="14703" a="1"/>
  <c r="D103" i="14703" s="1"/>
  <c r="K94" i="14703" a="1"/>
  <c r="K94" i="14703" s="1"/>
  <c r="J95" i="14703" a="1"/>
  <c r="J95" i="14703" s="1"/>
  <c r="J98" i="14703" a="1"/>
  <c r="J98" i="14703" s="1"/>
  <c r="G101" i="14703" a="1"/>
  <c r="G101" i="14703" s="1"/>
  <c r="T93" i="14703" a="1"/>
  <c r="T93" i="14703" s="1"/>
  <c r="T96" i="14703" a="1"/>
  <c r="T96" i="14703" s="1"/>
  <c r="L232" i="14698"/>
  <c r="G142" i="14703"/>
  <c r="P247" i="14703" a="1"/>
  <c r="P247" i="14703" s="1"/>
  <c r="R173" i="14703" a="1"/>
  <c r="R174" i="14703" s="1"/>
  <c r="D124" i="14698"/>
  <c r="T189" i="14703" a="1"/>
  <c r="T193" i="14703" s="1"/>
  <c r="K160" i="14698"/>
  <c r="E124" i="14698"/>
  <c r="I160" i="14698"/>
  <c r="D142" i="14703"/>
  <c r="W114" i="14703" a="1"/>
  <c r="W118" i="14703" s="1"/>
  <c r="I124" i="14698"/>
  <c r="M196" i="14698"/>
  <c r="L178" i="14698"/>
  <c r="S172" i="14703" a="1"/>
  <c r="S176" i="14703" s="1"/>
  <c r="S118" i="14703" a="1"/>
  <c r="S123" i="14703" s="1"/>
  <c r="C124" i="14703"/>
  <c r="P193" i="14703" a="1"/>
  <c r="P194" i="14703" s="1"/>
  <c r="L196" i="14703"/>
  <c r="G196" i="14698"/>
  <c r="K96" i="14698" a="1"/>
  <c r="K96" i="14698" s="1"/>
  <c r="S92" i="14698" a="1"/>
  <c r="S92" i="14698" s="1"/>
  <c r="N35" i="14698"/>
  <c r="L103" i="14698" a="1"/>
  <c r="L103" i="14698" s="1"/>
  <c r="J95" i="14698" a="1"/>
  <c r="J95" i="14698" s="1"/>
  <c r="U95" i="14698" a="1"/>
  <c r="U95" i="14698" s="1"/>
  <c r="N38" i="14703"/>
  <c r="J100" i="14703" a="1"/>
  <c r="J100" i="14703" s="1"/>
  <c r="N92" i="14703" a="1"/>
  <c r="N92" i="14703" s="1"/>
  <c r="N37" i="14703"/>
  <c r="N32" i="14703"/>
  <c r="H124" i="14703"/>
  <c r="T207" i="14703" a="1"/>
  <c r="T212" i="14703" s="1"/>
  <c r="Q192" i="14703" a="1"/>
  <c r="Q193" i="14703" s="1"/>
  <c r="N33" i="14698"/>
  <c r="L100" i="14698" a="1"/>
  <c r="L100" i="14698" s="1"/>
  <c r="H100" i="14698" a="1"/>
  <c r="H100" i="14698" s="1"/>
  <c r="S91" i="14698" a="1"/>
  <c r="S91" i="14698" s="1"/>
  <c r="N38" i="14698"/>
  <c r="N39" i="14698"/>
  <c r="K102" i="14698" a="1"/>
  <c r="K102" i="14698" s="1"/>
  <c r="K98" i="14698" a="1"/>
  <c r="K98" i="14698" s="1"/>
  <c r="D178" i="14698"/>
  <c r="E178" i="14698"/>
  <c r="L99" i="14703" a="1"/>
  <c r="L99" i="14703" s="1"/>
  <c r="O101" i="14703" a="1"/>
  <c r="O101" i="14703" s="1"/>
  <c r="E100" i="14703" a="1"/>
  <c r="E100" i="14703" s="1"/>
  <c r="X91" i="14703" a="1"/>
  <c r="X91" i="14703" s="1"/>
  <c r="F101" i="14703" a="1"/>
  <c r="F101" i="14703" s="1"/>
  <c r="J102" i="14703" a="1"/>
  <c r="J102" i="14703" s="1"/>
  <c r="H100" i="14703" a="1"/>
  <c r="H100" i="14703" s="1"/>
  <c r="N100" i="14703" a="1"/>
  <c r="N100" i="14703" s="1"/>
  <c r="K102" i="14703" a="1"/>
  <c r="K102" i="14703" s="1"/>
  <c r="U116" i="14703" a="1"/>
  <c r="U120" i="14703" s="1"/>
  <c r="F250" i="14698"/>
  <c r="J214" i="14698"/>
  <c r="S30" i="14632"/>
  <c r="H16" i="14667" s="1"/>
  <c r="H178" i="14698"/>
  <c r="J124" i="14698"/>
  <c r="V151" i="14703" a="1"/>
  <c r="V152" i="14703" s="1"/>
  <c r="F160" i="14698"/>
  <c r="E124" i="14703"/>
  <c r="J124" i="14703"/>
  <c r="M124" i="14698"/>
  <c r="D23" i="14638"/>
  <c r="H7" i="14707"/>
  <c r="Y184" i="14703" a="1"/>
  <c r="Y191" i="14703" s="1"/>
  <c r="S190" i="14703" a="1"/>
  <c r="S194" i="14703" s="1"/>
  <c r="C178" i="14698"/>
  <c r="T171" i="14703" a="1"/>
  <c r="T171" i="14703" s="1"/>
  <c r="G124" i="14698"/>
  <c r="S79" i="14703"/>
  <c r="Y112" i="14703" a="1"/>
  <c r="Y119" i="14703" s="1"/>
  <c r="W77" i="14703"/>
  <c r="W76" i="14703"/>
  <c r="W81" i="14703"/>
  <c r="W84" i="14703"/>
  <c r="M40" i="14698"/>
  <c r="R98" i="14698" a="1"/>
  <c r="R98" i="14698" s="1"/>
  <c r="X92" i="14698" a="1"/>
  <c r="X92" i="14698" s="1"/>
  <c r="S97" i="14698" a="1"/>
  <c r="S97" i="14698" s="1"/>
  <c r="W93" i="14698" a="1"/>
  <c r="W93" i="14698" s="1"/>
  <c r="P100" i="14698" a="1"/>
  <c r="P100" i="14698" s="1"/>
  <c r="R94" i="14698" a="1"/>
  <c r="R94" i="14698" s="1"/>
  <c r="K101" i="14698" a="1"/>
  <c r="K101" i="14698" s="1"/>
  <c r="U91" i="14698" a="1"/>
  <c r="U91" i="14698" s="1"/>
  <c r="I40" i="14698"/>
  <c r="S93" i="14698" a="1"/>
  <c r="S93" i="14698" s="1"/>
  <c r="I103" i="14698" a="1"/>
  <c r="I103" i="14698" s="1"/>
  <c r="R92" i="14698" a="1"/>
  <c r="R92" i="14698" s="1"/>
  <c r="L98" i="14698" a="1"/>
  <c r="L98" i="14698" s="1"/>
  <c r="N96" i="14698" a="1"/>
  <c r="N96" i="14698" s="1"/>
  <c r="Q93" i="14698" a="1"/>
  <c r="Q93" i="14698" s="1"/>
  <c r="P94" i="14698" a="1"/>
  <c r="P94" i="14698" s="1"/>
  <c r="J100" i="14698" a="1"/>
  <c r="J100" i="14698" s="1"/>
  <c r="H40" i="14698"/>
  <c r="N97" i="14698" a="1"/>
  <c r="N97" i="14698" s="1"/>
  <c r="R93" i="14698" a="1"/>
  <c r="R93" i="14698" s="1"/>
  <c r="P95" i="14698" a="1"/>
  <c r="P95" i="14698" s="1"/>
  <c r="J101" i="14698" a="1"/>
  <c r="J101" i="14698" s="1"/>
  <c r="O96" i="14698" a="1"/>
  <c r="O96" i="14698" s="1"/>
  <c r="F40" i="14698"/>
  <c r="J99" i="14698" a="1"/>
  <c r="J99" i="14698" s="1"/>
  <c r="M96" i="14698" a="1"/>
  <c r="M96" i="14698" s="1"/>
  <c r="P93" i="14698" a="1"/>
  <c r="P93" i="14698" s="1"/>
  <c r="Q92" i="14698" a="1"/>
  <c r="Q92" i="14698" s="1"/>
  <c r="L97" i="14698" a="1"/>
  <c r="L97" i="14698" s="1"/>
  <c r="N159" i="14703"/>
  <c r="N160" i="14703" s="1"/>
  <c r="N33" i="14703"/>
  <c r="I40" i="14703"/>
  <c r="S93" i="14703" a="1"/>
  <c r="S93" i="14703" s="1"/>
  <c r="Q95" i="14703" a="1"/>
  <c r="Q95" i="14703" s="1"/>
  <c r="K101" i="14703" a="1"/>
  <c r="K101" i="14703" s="1"/>
  <c r="I103" i="14703" a="1"/>
  <c r="I103" i="14703" s="1"/>
  <c r="M99" i="14703" a="1"/>
  <c r="M99" i="14703" s="1"/>
  <c r="V92" i="14703" a="1"/>
  <c r="V92" i="14703" s="1"/>
  <c r="O99" i="14703" a="1"/>
  <c r="O99" i="14703" s="1"/>
  <c r="P98" i="14703" a="1"/>
  <c r="P98" i="14703" s="1"/>
  <c r="K103" i="14703" a="1"/>
  <c r="K103" i="14703" s="1"/>
  <c r="T94" i="14703" a="1"/>
  <c r="T94" i="14703" s="1"/>
  <c r="U93" i="14703" a="1"/>
  <c r="U93" i="14703" s="1"/>
  <c r="H40" i="14703"/>
  <c r="I102" i="14703" a="1"/>
  <c r="I102" i="14703" s="1"/>
  <c r="R93" i="14703" a="1"/>
  <c r="R93" i="14703" s="1"/>
  <c r="M98" i="14703" a="1"/>
  <c r="M98" i="14703" s="1"/>
  <c r="H103" i="14703" a="1"/>
  <c r="H103" i="14703" s="1"/>
  <c r="T91" i="14703" a="1"/>
  <c r="T91" i="14703" s="1"/>
  <c r="L40" i="14703"/>
  <c r="Q98" i="14703" a="1"/>
  <c r="Q98" i="14703" s="1"/>
  <c r="O100" i="14703" a="1"/>
  <c r="O100" i="14703" s="1"/>
  <c r="V93" i="14703" a="1"/>
  <c r="V93" i="14703" s="1"/>
  <c r="R97" i="14703" a="1"/>
  <c r="R97" i="14703" s="1"/>
  <c r="N101" i="14703" a="1"/>
  <c r="N101" i="14703" s="1"/>
  <c r="S91" i="14703" a="1"/>
  <c r="S91" i="14703" s="1"/>
  <c r="R92" i="14703" a="1"/>
  <c r="R92" i="14703" s="1"/>
  <c r="G40" i="14703"/>
  <c r="G103" i="14703" a="1"/>
  <c r="G103" i="14703" s="1"/>
  <c r="Q93" i="14703" a="1"/>
  <c r="Q93" i="14703" s="1"/>
  <c r="O95" i="14703" a="1"/>
  <c r="O95" i="14703" s="1"/>
  <c r="F40" i="14703"/>
  <c r="K98" i="14703" a="1"/>
  <c r="K98" i="14703" s="1"/>
  <c r="R91" i="14703" a="1"/>
  <c r="R91" i="14703" s="1"/>
  <c r="L97" i="14703" a="1"/>
  <c r="L97" i="14703" s="1"/>
  <c r="N95" i="14703" a="1"/>
  <c r="N95" i="14703" s="1"/>
  <c r="Q92" i="14703" a="1"/>
  <c r="Q92" i="14703" s="1"/>
  <c r="J99" i="14703" a="1"/>
  <c r="J99" i="14703" s="1"/>
  <c r="H98" i="14703" a="1"/>
  <c r="H98" i="14703" s="1"/>
  <c r="G99" i="14703" a="1"/>
  <c r="G99" i="14703" s="1"/>
  <c r="I97" i="14703" a="1"/>
  <c r="I97" i="14703" s="1"/>
  <c r="M93" i="14703" a="1"/>
  <c r="M93" i="14703" s="1"/>
  <c r="J96" i="14703" a="1"/>
  <c r="J96" i="14703" s="1"/>
  <c r="K95" i="14703" a="1"/>
  <c r="K95" i="14703" s="1"/>
  <c r="C41" i="14634"/>
  <c r="M41" i="14634"/>
  <c r="M42" i="14634" s="1"/>
  <c r="N41" i="14634"/>
  <c r="N42" i="14634" s="1"/>
  <c r="D60" i="14643"/>
  <c r="D53" i="14643"/>
  <c r="T78" i="14703"/>
  <c r="J97" i="14698" a="1"/>
  <c r="J97" i="14698" s="1"/>
  <c r="H99" i="14698" a="1"/>
  <c r="H99" i="14698" s="1"/>
  <c r="G100" i="14698" a="1"/>
  <c r="G100" i="14698" s="1"/>
  <c r="L95" i="14698" a="1"/>
  <c r="L95" i="14698" s="1"/>
  <c r="O92" i="14698" a="1"/>
  <c r="O92" i="14698" s="1"/>
  <c r="D40" i="14698"/>
  <c r="H98" i="14698" a="1"/>
  <c r="H98" i="14698" s="1"/>
  <c r="F100" i="14698" a="1"/>
  <c r="F100" i="14698" s="1"/>
  <c r="L94" i="14698" a="1"/>
  <c r="L94" i="14698" s="1"/>
  <c r="J96" i="14698" a="1"/>
  <c r="J96" i="14698" s="1"/>
  <c r="D102" i="14698" a="1"/>
  <c r="D102" i="14698" s="1"/>
  <c r="E101" i="14698" a="1"/>
  <c r="E101" i="14698" s="1"/>
  <c r="C103" i="14698" a="1"/>
  <c r="C103" i="14698" s="1"/>
  <c r="K97" i="14698" a="1"/>
  <c r="K97" i="14698" s="1"/>
  <c r="M95" i="14698" a="1"/>
  <c r="M95" i="14698" s="1"/>
  <c r="F102" i="14698" a="1"/>
  <c r="F102" i="14698" s="1"/>
  <c r="G101" i="14698" a="1"/>
  <c r="G101" i="14698" s="1"/>
  <c r="Q91" i="14698" a="1"/>
  <c r="Q91" i="14698" s="1"/>
  <c r="J98" i="14698" a="1"/>
  <c r="J98" i="14698" s="1"/>
  <c r="S96" i="14698" a="1"/>
  <c r="S96" i="14698" s="1"/>
  <c r="V93" i="14698" a="1"/>
  <c r="V93" i="14698" s="1"/>
  <c r="N101" i="14698" a="1"/>
  <c r="N101" i="14698" s="1"/>
  <c r="O100" i="14698" a="1"/>
  <c r="O100" i="14698" s="1"/>
  <c r="R97" i="14698" a="1"/>
  <c r="R97" i="14698" s="1"/>
  <c r="T95" i="14698" a="1"/>
  <c r="T95" i="14698" s="1"/>
  <c r="R95" i="14698" a="1"/>
  <c r="R95" i="14698" s="1"/>
  <c r="O98" i="14698" a="1"/>
  <c r="O98" i="14698" s="1"/>
  <c r="S94" i="14698" a="1"/>
  <c r="S94" i="14698" s="1"/>
  <c r="T93" i="14698" a="1"/>
  <c r="T93" i="14698" s="1"/>
  <c r="M100" i="14698" a="1"/>
  <c r="M100" i="14698" s="1"/>
  <c r="V91" i="14698" a="1"/>
  <c r="V91" i="14698" s="1"/>
  <c r="L93" i="14698" a="1"/>
  <c r="L93" i="14698" s="1"/>
  <c r="H97" i="14698" a="1"/>
  <c r="H97" i="14698" s="1"/>
  <c r="D101" i="14698" a="1"/>
  <c r="D101" i="14698" s="1"/>
  <c r="B40" i="14698"/>
  <c r="E100" i="14698" a="1"/>
  <c r="E100" i="14698" s="1"/>
  <c r="K94" i="14698" a="1"/>
  <c r="K94" i="14698" s="1"/>
  <c r="R155" i="14703" a="1"/>
  <c r="L95" i="14703" a="1"/>
  <c r="L95" i="14703" s="1"/>
  <c r="N93" i="14703" a="1"/>
  <c r="N93" i="14703" s="1"/>
  <c r="E102" i="14703" a="1"/>
  <c r="E102" i="14703" s="1"/>
  <c r="I98" i="14703" a="1"/>
  <c r="I98" i="14703" s="1"/>
  <c r="O92" i="14703" a="1"/>
  <c r="O92" i="14703" s="1"/>
  <c r="M94" i="14703" a="1"/>
  <c r="M94" i="14703" s="1"/>
  <c r="B40" i="14703"/>
  <c r="G98" i="14703" a="1"/>
  <c r="G98" i="14703" s="1"/>
  <c r="C102" i="14703" a="1"/>
  <c r="C102" i="14703" s="1"/>
  <c r="F99" i="14703" a="1"/>
  <c r="F99" i="14703" s="1"/>
  <c r="N91" i="14703" a="1"/>
  <c r="N91" i="14703" s="1"/>
  <c r="I96" i="14703" a="1"/>
  <c r="I96" i="14703" s="1"/>
  <c r="E103" i="14703" a="1"/>
  <c r="E103" i="14703" s="1"/>
  <c r="I99" i="14703" a="1"/>
  <c r="I99" i="14703" s="1"/>
  <c r="N94" i="14703" a="1"/>
  <c r="N94" i="14703" s="1"/>
  <c r="O93" i="14703" a="1"/>
  <c r="O93" i="14703" s="1"/>
  <c r="M95" i="14703" a="1"/>
  <c r="M95" i="14703" s="1"/>
  <c r="P92" i="14703" a="1"/>
  <c r="P92" i="14703" s="1"/>
  <c r="L101" i="14703" a="1"/>
  <c r="L101" i="14703" s="1"/>
  <c r="V91" i="14703" a="1"/>
  <c r="V91" i="14703" s="1"/>
  <c r="R95" i="14703" a="1"/>
  <c r="R95" i="14703" s="1"/>
  <c r="U92" i="14703" a="1"/>
  <c r="U92" i="14703" s="1"/>
  <c r="O98" i="14703" a="1"/>
  <c r="O98" i="14703" s="1"/>
  <c r="P97" i="14703" a="1"/>
  <c r="P97" i="14703" s="1"/>
  <c r="N102" i="14703" a="1"/>
  <c r="N102" i="14703" s="1"/>
  <c r="M103" i="14703" a="1"/>
  <c r="M103" i="14703" s="1"/>
  <c r="P100" i="14703" a="1"/>
  <c r="P100" i="14703" s="1"/>
  <c r="V94" i="14703" a="1"/>
  <c r="V94" i="14703" s="1"/>
  <c r="X92" i="14703" a="1"/>
  <c r="X92" i="14703" s="1"/>
  <c r="M40" i="14703"/>
  <c r="J28" i="14632"/>
  <c r="U79" i="14703"/>
  <c r="U80" i="14703"/>
  <c r="E46" i="14643"/>
  <c r="M28" i="14632"/>
  <c r="D232" i="14703"/>
  <c r="E178" i="14703"/>
  <c r="D160" i="14703"/>
  <c r="E160" i="14703"/>
  <c r="F178" i="14703"/>
  <c r="P211" i="14703" a="1"/>
  <c r="P211" i="14703" s="1"/>
  <c r="H160" i="14698"/>
  <c r="P157" i="14703" a="1"/>
  <c r="P159" i="14703" s="1"/>
  <c r="D26" i="14638"/>
  <c r="S83" i="14703"/>
  <c r="S82" i="14703"/>
  <c r="X81" i="14703"/>
  <c r="X75" i="14703"/>
  <c r="X74" i="14703"/>
  <c r="X76" i="14703"/>
  <c r="X77" i="14703"/>
  <c r="G41" i="14634"/>
  <c r="G42" i="14634" s="1"/>
  <c r="E41" i="14634"/>
  <c r="E42" i="14634" s="1"/>
  <c r="H41" i="14634"/>
  <c r="H42" i="14634" s="1"/>
  <c r="I41" i="14634"/>
  <c r="I42" i="14634" s="1"/>
  <c r="D41" i="14634"/>
  <c r="D42" i="14634" s="1"/>
  <c r="D57" i="14643"/>
  <c r="E14" i="14643"/>
  <c r="D55" i="14643"/>
  <c r="D54" i="14643"/>
  <c r="F178" i="14698"/>
  <c r="V82" i="14703"/>
  <c r="D9" i="8"/>
  <c r="E26" i="14638"/>
  <c r="U81" i="14703"/>
  <c r="U82" i="14703"/>
  <c r="U84" i="14703"/>
  <c r="C39" i="14683"/>
  <c r="P121" i="14703" a="1"/>
  <c r="P123" i="14703" s="1"/>
  <c r="I28" i="14632"/>
  <c r="W222" i="14703" a="1"/>
  <c r="W230" i="14703" s="1"/>
  <c r="H232" i="14703"/>
  <c r="I142" i="14703"/>
  <c r="I196" i="14703"/>
  <c r="O230" i="14703" a="1"/>
  <c r="H214" i="14698"/>
  <c r="R209" i="14703" a="1"/>
  <c r="R210" i="14703" s="1"/>
  <c r="P175" i="14703" a="1"/>
  <c r="P176" i="14703" s="1"/>
  <c r="E196" i="14698"/>
  <c r="L142" i="14703"/>
  <c r="J250" i="14703"/>
  <c r="K250" i="14698"/>
  <c r="G124" i="14703"/>
  <c r="D196" i="14703"/>
  <c r="I178" i="14698"/>
  <c r="R191" i="14703" a="1"/>
  <c r="R195" i="14703" s="1"/>
  <c r="E142" i="14698"/>
  <c r="D250" i="14703"/>
  <c r="O140" i="14703" a="1"/>
  <c r="O140" i="14703" s="1"/>
  <c r="Y238" i="14703" a="1"/>
  <c r="Y249" i="14703" s="1"/>
  <c r="H160" i="14703"/>
  <c r="J196" i="14703"/>
  <c r="K124" i="14703"/>
  <c r="L160" i="14698"/>
  <c r="I142" i="14698"/>
  <c r="O194" i="14703" a="1"/>
  <c r="O195" i="14703" s="1"/>
  <c r="G232" i="14698"/>
  <c r="I196" i="14698"/>
  <c r="F124" i="14703"/>
  <c r="G214" i="14698"/>
  <c r="V223" i="14703" a="1"/>
  <c r="V226" i="14703" s="1"/>
  <c r="K232" i="14698"/>
  <c r="Q228" i="14703" a="1"/>
  <c r="C178" i="14703"/>
  <c r="G142" i="14698"/>
  <c r="Q246" i="14703" a="1"/>
  <c r="Q249" i="14703" s="1"/>
  <c r="F196" i="14698"/>
  <c r="N195" i="14703"/>
  <c r="N196" i="14703" s="1"/>
  <c r="K9" i="14631"/>
  <c r="M9" i="14631"/>
  <c r="Y84" i="14703"/>
  <c r="Y82" i="14703"/>
  <c r="E58" i="14643"/>
  <c r="C160" i="14698"/>
  <c r="D160" i="14698"/>
  <c r="F18" i="14648"/>
  <c r="C214" i="14698"/>
  <c r="C232" i="14698"/>
  <c r="E44" i="14643"/>
  <c r="E42" i="14643"/>
  <c r="E45" i="14643"/>
  <c r="Q210" i="14703" a="1"/>
  <c r="Q210" i="14703" s="1"/>
  <c r="E214" i="14698"/>
  <c r="T80" i="14703"/>
  <c r="T81" i="14703"/>
  <c r="J178" i="14703"/>
  <c r="B39" i="14683"/>
  <c r="B40" i="14683"/>
  <c r="B35" i="14683"/>
  <c r="R227" i="14703" a="1"/>
  <c r="R228" i="14703" s="1"/>
  <c r="E56" i="14643"/>
  <c r="E57" i="14643"/>
  <c r="E60" i="14643"/>
  <c r="E54" i="14643"/>
  <c r="C250" i="14698"/>
  <c r="V133" i="14703" a="1"/>
  <c r="V134" i="14703" s="1"/>
  <c r="I9" i="14631"/>
  <c r="F9" i="14631"/>
  <c r="H9" i="14631"/>
  <c r="C9" i="14631"/>
  <c r="J9" i="14631"/>
  <c r="E9" i="14631"/>
  <c r="Y76" i="14703"/>
  <c r="Y79" i="14703"/>
  <c r="Y75" i="14703"/>
  <c r="Y78" i="14703"/>
  <c r="Y74" i="14703"/>
  <c r="Y80" i="14703"/>
  <c r="B21" i="14638"/>
  <c r="B25" i="14638"/>
  <c r="B26" i="14638"/>
  <c r="K178" i="14698"/>
  <c r="J196" i="14698"/>
  <c r="D124" i="14703"/>
  <c r="C22" i="14638"/>
  <c r="C24" i="14638"/>
  <c r="X149" i="14703" a="1"/>
  <c r="X159" i="14703" s="1"/>
  <c r="L10" i="14640"/>
  <c r="L28" i="14632"/>
  <c r="G10" i="14640"/>
  <c r="G28" i="14632"/>
  <c r="L124" i="14698"/>
  <c r="X239" i="14703" a="1"/>
  <c r="X239" i="14703" s="1"/>
  <c r="J232" i="14703"/>
  <c r="F214" i="14698"/>
  <c r="D250" i="14698"/>
  <c r="J214" i="14703"/>
  <c r="I160" i="14703"/>
  <c r="D178" i="14703"/>
  <c r="C142" i="14698"/>
  <c r="I124" i="14703"/>
  <c r="K142" i="14703"/>
  <c r="E142" i="14703"/>
  <c r="H214" i="14703"/>
  <c r="S226" i="14703" a="1"/>
  <c r="S226" i="14703" s="1"/>
  <c r="E232" i="14698"/>
  <c r="I232" i="14698"/>
  <c r="H178" i="14703"/>
  <c r="C250" i="14703"/>
  <c r="U188" i="14703" a="1"/>
  <c r="U194" i="14703" s="1"/>
  <c r="H196" i="14703"/>
  <c r="D232" i="14698"/>
  <c r="C196" i="14698"/>
  <c r="X113" i="14703" a="1"/>
  <c r="X120" i="14703" s="1"/>
  <c r="J160" i="14698"/>
  <c r="G196" i="14703"/>
  <c r="J142" i="14703"/>
  <c r="W204" i="14703" a="1"/>
  <c r="W210" i="14703" s="1"/>
  <c r="K250" i="14703"/>
  <c r="H232" i="14698"/>
  <c r="M214" i="14703"/>
  <c r="H142" i="14703"/>
  <c r="W168" i="14703" a="1"/>
  <c r="W173" i="14703" s="1"/>
  <c r="V115" i="14703" a="1"/>
  <c r="V169" i="14703" a="1"/>
  <c r="V169" i="14703" s="1"/>
  <c r="K124" i="14698"/>
  <c r="U170" i="14703" a="1"/>
  <c r="U175" i="14703" s="1"/>
  <c r="E214" i="14703"/>
  <c r="D214" i="14703"/>
  <c r="I178" i="14703"/>
  <c r="X203" i="14703" a="1"/>
  <c r="X204" i="14703" s="1"/>
  <c r="I214" i="14698"/>
  <c r="M160" i="14703"/>
  <c r="L196" i="14698"/>
  <c r="M196" i="14703"/>
  <c r="S208" i="14703" a="1"/>
  <c r="M250" i="14698"/>
  <c r="M214" i="14698"/>
  <c r="W240" i="14703" a="1"/>
  <c r="W244" i="14703" s="1"/>
  <c r="P139" i="14703" a="1"/>
  <c r="P139" i="14703" s="1"/>
  <c r="R137" i="14703" a="1"/>
  <c r="R141" i="14703" s="1"/>
  <c r="W132" i="14703" a="1"/>
  <c r="W137" i="14703" s="1"/>
  <c r="K232" i="14703"/>
  <c r="M250" i="14703"/>
  <c r="H142" i="14698"/>
  <c r="G250" i="14698"/>
  <c r="J250" i="14698"/>
  <c r="T243" i="14703" a="1"/>
  <c r="T243" i="14703" s="1"/>
  <c r="G250" i="14703"/>
  <c r="Y148" i="14703" a="1"/>
  <c r="Y156" i="14703" s="1"/>
  <c r="W186" i="14703" a="1"/>
  <c r="W195" i="14703" s="1"/>
  <c r="M178" i="14698"/>
  <c r="T117" i="14703" a="1"/>
  <c r="T119" i="14703" s="1"/>
  <c r="S154" i="14703" a="1"/>
  <c r="S159" i="14703" s="1"/>
  <c r="J178" i="14698"/>
  <c r="V80" i="14703"/>
  <c r="B124" i="14698"/>
  <c r="J9" i="8"/>
  <c r="G9" i="8"/>
  <c r="P229" i="14703" a="1"/>
  <c r="P231" i="14703" s="1"/>
  <c r="O84" i="14703"/>
  <c r="O85" i="14703" s="1"/>
  <c r="B87" i="14703" s="1"/>
  <c r="B15" i="14622" s="1"/>
  <c r="B11" i="14622" s="1"/>
  <c r="R81" i="14703"/>
  <c r="H124" i="14698"/>
  <c r="D214" i="14698"/>
  <c r="X185" i="14703" a="1"/>
  <c r="X186" i="14703" s="1"/>
  <c r="C35" i="14683"/>
  <c r="G160" i="14698"/>
  <c r="L6" i="14625"/>
  <c r="G6" i="14625"/>
  <c r="U134" i="14703" a="1"/>
  <c r="U140" i="14703" s="1"/>
  <c r="Y220" i="14703" a="1"/>
  <c r="Y225" i="14703" s="1"/>
  <c r="C40" i="14683"/>
  <c r="C41" i="14683"/>
  <c r="C34" i="14683"/>
  <c r="C36" i="14683"/>
  <c r="V83" i="14703"/>
  <c r="V81" i="14703"/>
  <c r="V77" i="14703"/>
  <c r="V76" i="14703"/>
  <c r="V79" i="14703"/>
  <c r="J160" i="14703"/>
  <c r="B9" i="8"/>
  <c r="K9" i="8"/>
  <c r="H9" i="8"/>
  <c r="E9" i="8"/>
  <c r="C9" i="8"/>
  <c r="M9" i="8"/>
  <c r="Y202" i="14703" a="1"/>
  <c r="Y206" i="14703" s="1"/>
  <c r="E250" i="14698"/>
  <c r="D142" i="14698"/>
  <c r="K142" i="14698"/>
  <c r="Y130" i="14703" a="1"/>
  <c r="Y131" i="14703" s="1"/>
  <c r="R80" i="14703"/>
  <c r="R83" i="14703"/>
  <c r="K10" i="14640"/>
  <c r="K28" i="14632"/>
  <c r="S244" i="14703" a="1"/>
  <c r="S248" i="14703" s="1"/>
  <c r="F142" i="14703"/>
  <c r="P84" i="14703"/>
  <c r="P82" i="14703"/>
  <c r="N124" i="14703"/>
  <c r="J232" i="14698"/>
  <c r="L142" i="14698"/>
  <c r="U242" i="14703" a="1"/>
  <c r="U248" i="14703" s="1"/>
  <c r="M124" i="14703"/>
  <c r="H10" i="14640"/>
  <c r="H28" i="14632"/>
  <c r="M160" i="14698"/>
  <c r="K196" i="14698"/>
  <c r="Y166" i="14703" a="1"/>
  <c r="Y167" i="14703" s="1"/>
  <c r="L124" i="14703"/>
  <c r="N142" i="14703"/>
  <c r="X221" i="14703" a="1"/>
  <c r="X222" i="14703" s="1"/>
  <c r="M142" i="14703"/>
  <c r="K196" i="14703"/>
  <c r="D24" i="14683"/>
  <c r="L160" i="14703"/>
  <c r="F160" i="14703"/>
  <c r="G160" i="14703"/>
  <c r="K214" i="14698"/>
  <c r="U206" i="14703" a="1"/>
  <c r="U210" i="14703" s="1"/>
  <c r="X131" i="14703" a="1"/>
  <c r="R245" i="14703" a="1"/>
  <c r="R247" i="14703" s="1"/>
  <c r="F214" i="14703"/>
  <c r="L250" i="14698"/>
  <c r="G178" i="14703"/>
  <c r="T225" i="14703" a="1"/>
  <c r="T231" i="14703" s="1"/>
  <c r="M232" i="14698"/>
  <c r="V205" i="14703" a="1"/>
  <c r="V208" i="14703" s="1"/>
  <c r="I250" i="14698"/>
  <c r="H250" i="14703"/>
  <c r="F232" i="14703"/>
  <c r="Q138" i="14703" a="1"/>
  <c r="Q141" i="14703" s="1"/>
  <c r="M142" i="14698"/>
  <c r="J142" i="14698"/>
  <c r="H250" i="14698"/>
  <c r="F250" i="14703"/>
  <c r="I250" i="14703"/>
  <c r="L232" i="14703"/>
  <c r="L214" i="14698"/>
  <c r="L214" i="14703"/>
  <c r="K214" i="14703"/>
  <c r="K178" i="14703"/>
  <c r="F232" i="14698"/>
  <c r="B87" i="14698"/>
  <c r="O248" i="14703" a="1"/>
  <c r="S136" i="14703" a="1"/>
  <c r="S140" i="14703" s="1"/>
  <c r="F142" i="14698"/>
  <c r="G214" i="14703"/>
  <c r="I232" i="14703"/>
  <c r="V241" i="14703" a="1"/>
  <c r="V243" i="14703" s="1"/>
  <c r="I214" i="14703"/>
  <c r="D19" i="14683"/>
  <c r="T79" i="14703"/>
  <c r="T83" i="14703"/>
  <c r="T82" i="14703"/>
  <c r="B34" i="14683"/>
  <c r="B41" i="14683"/>
  <c r="B37" i="14683"/>
  <c r="E43" i="14643"/>
  <c r="E40" i="14643"/>
  <c r="E47" i="14643"/>
  <c r="I6" i="14625"/>
  <c r="D25" i="14683"/>
  <c r="K160" i="14703"/>
  <c r="G232" i="14703"/>
  <c r="M178" i="14703"/>
  <c r="L250" i="14703"/>
  <c r="M232" i="14703"/>
  <c r="L178" i="14703"/>
  <c r="N214" i="14703"/>
  <c r="H6" i="14625"/>
  <c r="E6" i="14625"/>
  <c r="K6" i="14625"/>
  <c r="D23" i="14683"/>
  <c r="D20" i="14683"/>
  <c r="F6" i="14625"/>
  <c r="N6" i="14625"/>
  <c r="J6" i="14625"/>
  <c r="M6" i="14625"/>
  <c r="D6" i="14625"/>
  <c r="N18" i="14648"/>
  <c r="D26" i="14683"/>
  <c r="D27" i="14683"/>
  <c r="D22" i="14683"/>
  <c r="I18" i="14648"/>
  <c r="B28" i="14632"/>
  <c r="L22" i="8"/>
  <c r="H22" i="8"/>
  <c r="B22" i="8"/>
  <c r="J22" i="8"/>
  <c r="D22" i="8"/>
  <c r="F22" i="8"/>
  <c r="K22" i="8"/>
  <c r="G22" i="8"/>
  <c r="E22" i="8"/>
  <c r="M22" i="8"/>
  <c r="C22" i="8"/>
  <c r="I22" i="8"/>
  <c r="N22" i="14670"/>
  <c r="J22" i="14617" s="1"/>
  <c r="E21" i="14695"/>
  <c r="G21" i="14695"/>
  <c r="C21" i="14695"/>
  <c r="M21" i="14695"/>
  <c r="L21" i="14695"/>
  <c r="H21" i="14695"/>
  <c r="F21" i="14695"/>
  <c r="K21" i="14695"/>
  <c r="D21" i="14695"/>
  <c r="I21" i="14695"/>
  <c r="J21" i="14695"/>
  <c r="B21" i="14695"/>
  <c r="F28" i="14695"/>
  <c r="K28" i="14695"/>
  <c r="C28" i="14695"/>
  <c r="E28" i="14695"/>
  <c r="L28" i="14695"/>
  <c r="B28" i="14695"/>
  <c r="G28" i="14695"/>
  <c r="J28" i="14695"/>
  <c r="I28" i="14695"/>
  <c r="H28" i="14695"/>
  <c r="M28" i="14695"/>
  <c r="D28" i="14695"/>
  <c r="K49" i="14695"/>
  <c r="L49" i="14695"/>
  <c r="G49" i="14695"/>
  <c r="H49" i="14695"/>
  <c r="B49" i="14695"/>
  <c r="D49" i="14695"/>
  <c r="C49" i="14695"/>
  <c r="F49" i="14695"/>
  <c r="M49" i="14695"/>
  <c r="E49" i="14695"/>
  <c r="I49" i="14695"/>
  <c r="J49" i="14695"/>
  <c r="C28" i="14706"/>
  <c r="C31" i="14706"/>
  <c r="C30" i="14706"/>
  <c r="C32" i="14706"/>
  <c r="C41" i="14706"/>
  <c r="C29" i="14706"/>
  <c r="C37" i="14706"/>
  <c r="C36" i="14706"/>
  <c r="C40" i="14706"/>
  <c r="C42" i="14706"/>
  <c r="C43" i="14706"/>
  <c r="C39" i="14706"/>
  <c r="C27" i="14706"/>
  <c r="C26" i="14706"/>
  <c r="C35" i="14706"/>
  <c r="C34" i="14706"/>
  <c r="B25" i="14673"/>
  <c r="N23" i="14673"/>
  <c r="N19" i="14673"/>
  <c r="F16" i="14682" s="1" a="1"/>
  <c r="B20" i="14673"/>
  <c r="D13" i="14682"/>
  <c r="M35" i="14695"/>
  <c r="I35" i="14695"/>
  <c r="F35" i="14695"/>
  <c r="J35" i="14695"/>
  <c r="L35" i="14695"/>
  <c r="C35" i="14695"/>
  <c r="H35" i="14695"/>
  <c r="E35" i="14695"/>
  <c r="B35" i="14695"/>
  <c r="K35" i="14695"/>
  <c r="G35" i="14695"/>
  <c r="D35" i="14695"/>
  <c r="F42" i="14695"/>
  <c r="L42" i="14695"/>
  <c r="J42" i="14695"/>
  <c r="H42" i="14695"/>
  <c r="E42" i="14695"/>
  <c r="M42" i="14695"/>
  <c r="B42" i="14695"/>
  <c r="I42" i="14695"/>
  <c r="G42" i="14695"/>
  <c r="C42" i="14695"/>
  <c r="K42" i="14695"/>
  <c r="D42" i="14695"/>
  <c r="N39" i="14692"/>
  <c r="M23" i="14692"/>
  <c r="D23" i="14692"/>
  <c r="E23" i="14692"/>
  <c r="G23" i="14692"/>
  <c r="H23" i="14692"/>
  <c r="L23" i="14692"/>
  <c r="B23" i="14692"/>
  <c r="J23" i="14692"/>
  <c r="K23" i="14692"/>
  <c r="F23" i="14692"/>
  <c r="C23" i="14692"/>
  <c r="I23" i="14692"/>
  <c r="D46" i="14692"/>
  <c r="K46" i="14692"/>
  <c r="L46" i="14692"/>
  <c r="J46" i="14692"/>
  <c r="M46" i="14692"/>
  <c r="H46" i="14692"/>
  <c r="B46" i="14692"/>
  <c r="E46" i="14692"/>
  <c r="I46" i="14692"/>
  <c r="C46" i="14692"/>
  <c r="G46" i="14692"/>
  <c r="F46" i="14692"/>
  <c r="N63" i="14692"/>
  <c r="G18" i="14648"/>
  <c r="H18" i="14648"/>
  <c r="E18" i="14648"/>
  <c r="F9" i="14643"/>
  <c r="G9" i="14643"/>
  <c r="H9" i="14643"/>
  <c r="E9" i="14643"/>
  <c r="D9" i="14643"/>
  <c r="M76" i="14665"/>
  <c r="B49" i="14706"/>
  <c r="C49" i="14706" s="1"/>
  <c r="C45" i="14706"/>
  <c r="C46" i="14706"/>
  <c r="L25" i="14673"/>
  <c r="L27" i="14673" s="1"/>
  <c r="N24" i="14673"/>
  <c r="I27" i="14673"/>
  <c r="H25" i="14673"/>
  <c r="H27" i="14673" s="1"/>
  <c r="G25" i="14673"/>
  <c r="M25" i="14673"/>
  <c r="M27" i="14673" s="1"/>
  <c r="N31" i="14692"/>
  <c r="D62" i="14692"/>
  <c r="B62" i="14692"/>
  <c r="L62" i="14692"/>
  <c r="G62" i="14692"/>
  <c r="I62" i="14692"/>
  <c r="M62" i="14692"/>
  <c r="K62" i="14692"/>
  <c r="H62" i="14692"/>
  <c r="E62" i="14692"/>
  <c r="C62" i="14692"/>
  <c r="F62" i="14692"/>
  <c r="J62" i="14692"/>
  <c r="H54" i="14692"/>
  <c r="J54" i="14692"/>
  <c r="C54" i="14692"/>
  <c r="D54" i="14692"/>
  <c r="L54" i="14692"/>
  <c r="F54" i="14692"/>
  <c r="I54" i="14692"/>
  <c r="G54" i="14692"/>
  <c r="B54" i="14692"/>
  <c r="M54" i="14692"/>
  <c r="K54" i="14692"/>
  <c r="E54" i="14692"/>
  <c r="L38" i="14692"/>
  <c r="B38" i="14692"/>
  <c r="F38" i="14692"/>
  <c r="K38" i="14692"/>
  <c r="G38" i="14692"/>
  <c r="I38" i="14692"/>
  <c r="M38" i="14692"/>
  <c r="C38" i="14692"/>
  <c r="H38" i="14692"/>
  <c r="D38" i="14692"/>
  <c r="E38" i="14692"/>
  <c r="J38" i="14692"/>
  <c r="N24" i="14692"/>
  <c r="C23" i="11" s="1"/>
  <c r="C20" i="14625" a="1"/>
  <c r="C20" i="14641" a="1"/>
  <c r="N40" i="14692"/>
  <c r="C20" i="14677" a="1"/>
  <c r="N56" i="14692"/>
  <c r="N22" i="14631"/>
  <c r="D22" i="14617" s="1"/>
  <c r="C44" i="14667"/>
  <c r="B48" i="14667"/>
  <c r="C48" i="14667" s="1"/>
  <c r="L8" i="14667"/>
  <c r="N15" i="14673"/>
  <c r="D22" i="14682"/>
  <c r="D21" i="14682"/>
  <c r="N55" i="14692"/>
  <c r="M30" i="14692"/>
  <c r="L30" i="14692"/>
  <c r="G30" i="14692"/>
  <c r="H30" i="14692"/>
  <c r="K30" i="14692"/>
  <c r="D30" i="14692"/>
  <c r="C30" i="14692"/>
  <c r="J30" i="14692"/>
  <c r="I30" i="14692"/>
  <c r="E30" i="14692"/>
  <c r="F30" i="14692"/>
  <c r="B30" i="14692"/>
  <c r="C20" i="14633" a="1"/>
  <c r="N32" i="14692"/>
  <c r="C20" i="14676" a="1"/>
  <c r="N48" i="14692"/>
  <c r="E22" i="14682"/>
  <c r="E21" i="14682"/>
  <c r="N22" i="14671"/>
  <c r="M22" i="14617" s="1"/>
  <c r="G9" i="14696" s="1"/>
  <c r="G15" i="14617"/>
  <c r="I15" i="14617" s="1"/>
  <c r="L12" i="14662"/>
  <c r="C30" i="14667"/>
  <c r="C34" i="14667"/>
  <c r="C39" i="14667"/>
  <c r="C43" i="14667"/>
  <c r="C42" i="14667"/>
  <c r="C40" i="14667"/>
  <c r="C29" i="14667"/>
  <c r="C35" i="14667"/>
  <c r="C28" i="14667"/>
  <c r="C27" i="14667"/>
  <c r="C41" i="14667"/>
  <c r="C26" i="14667"/>
  <c r="C38" i="14667"/>
  <c r="C33" i="14667"/>
  <c r="C37" i="14667"/>
  <c r="C32" i="14667"/>
  <c r="F15" i="14617"/>
  <c r="F5" i="14682" a="1"/>
  <c r="D33" i="14705"/>
  <c r="H34" i="14705" s="1"/>
  <c r="G34" i="14705" s="1"/>
  <c r="B82" i="14689"/>
  <c r="B86" i="14689" s="1"/>
  <c r="G56" i="14695"/>
  <c r="E56" i="14695"/>
  <c r="L56" i="14695"/>
  <c r="D56" i="14695"/>
  <c r="H56" i="14695"/>
  <c r="F56" i="14695"/>
  <c r="I56" i="14695"/>
  <c r="J56" i="14695"/>
  <c r="K56" i="14695"/>
  <c r="M56" i="14695"/>
  <c r="C56" i="14695"/>
  <c r="B56" i="14695"/>
  <c r="N22" i="14640"/>
  <c r="G22" i="14617" s="1"/>
  <c r="N47" i="14692"/>
  <c r="L18" i="14706"/>
  <c r="J18" i="14648"/>
  <c r="C18" i="14648"/>
  <c r="K18" i="14648"/>
  <c r="M18" i="14648"/>
  <c r="D18" i="14648"/>
  <c r="D28" i="14632"/>
  <c r="O7" i="14633"/>
  <c r="Q24" i="14655"/>
  <c r="D48" i="14643"/>
  <c r="E28" i="14632"/>
  <c r="C5" i="14617" a="1"/>
  <c r="N21" i="14645"/>
  <c r="B22" i="14645"/>
  <c r="J22" i="14655"/>
  <c r="P22" i="14655"/>
  <c r="C23" i="4128"/>
  <c r="S31" i="14632"/>
  <c r="F28" i="14632"/>
  <c r="C28" i="14632"/>
  <c r="O159" i="14703" l="1"/>
  <c r="N9" i="14637"/>
  <c r="N11" i="14637"/>
  <c r="N12" i="14637"/>
  <c r="N5" i="14637"/>
  <c r="N6" i="14637"/>
  <c r="N7" i="14637"/>
  <c r="N10" i="14637"/>
  <c r="N8" i="14637"/>
  <c r="B8" i="14700" a="1"/>
  <c r="D8" i="14700" s="1"/>
  <c r="B17" i="14637" a="1"/>
  <c r="J22" i="14637" s="1"/>
  <c r="J78" i="14653"/>
  <c r="J79" i="14653" s="1"/>
  <c r="J66" i="14653"/>
  <c r="J5" i="14668"/>
  <c r="M10" i="14668"/>
  <c r="M12" i="14668"/>
  <c r="B11" i="14668"/>
  <c r="J9" i="14668"/>
  <c r="D8" i="14668"/>
  <c r="C11" i="14668"/>
  <c r="G5" i="14668"/>
  <c r="H5" i="14668"/>
  <c r="L6" i="14668"/>
  <c r="E5" i="14668"/>
  <c r="M8" i="14668"/>
  <c r="H12" i="14668"/>
  <c r="L7" i="14668"/>
  <c r="K11" i="14668"/>
  <c r="D11" i="14668"/>
  <c r="D10" i="14668"/>
  <c r="J12" i="14668"/>
  <c r="K7" i="14668"/>
  <c r="J10" i="14668"/>
  <c r="B9" i="14668"/>
  <c r="K8" i="14668"/>
  <c r="G6" i="14668"/>
  <c r="K12" i="14668"/>
  <c r="B5" i="14668"/>
  <c r="I6" i="14668"/>
  <c r="F6" i="14668"/>
  <c r="I11" i="14668"/>
  <c r="B6" i="14668"/>
  <c r="D5" i="14668"/>
  <c r="G7" i="14668"/>
  <c r="J11" i="14668"/>
  <c r="L8" i="14668"/>
  <c r="M11" i="14668"/>
  <c r="J8" i="14668"/>
  <c r="K6" i="14668"/>
  <c r="D7" i="14668"/>
  <c r="L12" i="14668"/>
  <c r="C6" i="14668"/>
  <c r="G8" i="14668"/>
  <c r="H8" i="14668"/>
  <c r="D12" i="14668"/>
  <c r="F9" i="14668"/>
  <c r="E7" i="14668"/>
  <c r="K5" i="14668"/>
  <c r="B7" i="14668"/>
  <c r="B10" i="14668"/>
  <c r="C5" i="14668"/>
  <c r="F8" i="14668"/>
  <c r="E9" i="14668"/>
  <c r="K9" i="14668"/>
  <c r="M9" i="14668"/>
  <c r="M6" i="14668"/>
  <c r="H10" i="14668"/>
  <c r="I10" i="14668"/>
  <c r="I5" i="14668"/>
  <c r="J6" i="14668"/>
  <c r="I9" i="14668"/>
  <c r="F7" i="14668"/>
  <c r="E6" i="14668"/>
  <c r="I8" i="14668"/>
  <c r="G10" i="14668"/>
  <c r="C8" i="14668"/>
  <c r="E12" i="14668"/>
  <c r="G9" i="14668"/>
  <c r="G12" i="14668"/>
  <c r="L5" i="14668"/>
  <c r="F11" i="14668"/>
  <c r="H6" i="14668"/>
  <c r="D6" i="14668"/>
  <c r="M5" i="14668"/>
  <c r="C9" i="14668"/>
  <c r="B8" i="14668"/>
  <c r="C10" i="14668"/>
  <c r="H9" i="14668"/>
  <c r="L11" i="14668"/>
  <c r="I12" i="14668"/>
  <c r="B12" i="14668"/>
  <c r="E11" i="14668"/>
  <c r="M7" i="14668"/>
  <c r="L9" i="14668"/>
  <c r="F10" i="14668"/>
  <c r="C12" i="14668"/>
  <c r="I7" i="14668"/>
  <c r="E8" i="14668"/>
  <c r="H11" i="14668"/>
  <c r="H7" i="14668"/>
  <c r="F5" i="14668"/>
  <c r="F12" i="14668"/>
  <c r="G11" i="14668"/>
  <c r="K10" i="14668"/>
  <c r="C7" i="14668"/>
  <c r="L10" i="14668"/>
  <c r="E10" i="14668"/>
  <c r="J7" i="14668"/>
  <c r="D9" i="14668"/>
  <c r="B78" i="14653"/>
  <c r="B79" i="14653" s="1"/>
  <c r="B5" i="14669" a="1"/>
  <c r="B66" i="14653"/>
  <c r="N66" i="14653" s="1"/>
  <c r="N65" i="14653"/>
  <c r="F78" i="14653"/>
  <c r="F79" i="14653" s="1"/>
  <c r="F66" i="14653"/>
  <c r="C78" i="14653"/>
  <c r="C79" i="14653" s="1"/>
  <c r="C66" i="14653"/>
  <c r="D35" i="4128"/>
  <c r="O212" i="14703"/>
  <c r="O214" i="14703" s="1"/>
  <c r="O46" i="14648"/>
  <c r="O16" i="14648"/>
  <c r="N52" i="14694"/>
  <c r="B56" i="14694" a="1"/>
  <c r="D23" i="14682"/>
  <c r="N60" i="14694"/>
  <c r="B63" i="14694" a="1"/>
  <c r="B48" i="14694" a="1"/>
  <c r="N44" i="14694"/>
  <c r="B32" i="14694" a="1"/>
  <c r="N28" i="14694"/>
  <c r="O31" i="14648"/>
  <c r="B24" i="14694" a="1"/>
  <c r="N21" i="14694"/>
  <c r="O61" i="14648"/>
  <c r="O76" i="14648"/>
  <c r="B40" i="14694" a="1"/>
  <c r="N36" i="14694"/>
  <c r="F33" i="14652"/>
  <c r="F34" i="14652"/>
  <c r="F35" i="14652"/>
  <c r="F40" i="14652"/>
  <c r="F37" i="14652"/>
  <c r="F36" i="14652"/>
  <c r="F38" i="14652"/>
  <c r="F39" i="14652"/>
  <c r="H9" i="14652"/>
  <c r="H13" i="14652"/>
  <c r="H8" i="14652"/>
  <c r="H10" i="14652"/>
  <c r="H11" i="14652"/>
  <c r="H7" i="14652"/>
  <c r="H12" i="14652"/>
  <c r="H14" i="14652"/>
  <c r="H14" i="14707"/>
  <c r="H20" i="14707" s="1"/>
  <c r="U22" i="14655"/>
  <c r="T24" i="14655"/>
  <c r="B104" i="14698"/>
  <c r="O123" i="14703"/>
  <c r="O124" i="14703" s="1"/>
  <c r="U122" i="14703"/>
  <c r="Q192" i="14703"/>
  <c r="W120" i="14703"/>
  <c r="U227" i="14703"/>
  <c r="Y185" i="14703"/>
  <c r="R192" i="14703"/>
  <c r="S177" i="14703"/>
  <c r="T135" i="14703"/>
  <c r="Q85" i="14703"/>
  <c r="X121" i="14703"/>
  <c r="U243" i="14703"/>
  <c r="U209" i="14703"/>
  <c r="W242" i="14703"/>
  <c r="T189" i="14703"/>
  <c r="U225" i="14703"/>
  <c r="X155" i="14703"/>
  <c r="V192" i="14703"/>
  <c r="T155" i="14703"/>
  <c r="U224" i="14703"/>
  <c r="U228" i="14703"/>
  <c r="U117" i="14703"/>
  <c r="X172" i="14703"/>
  <c r="R231" i="14703"/>
  <c r="R123" i="14703"/>
  <c r="Q248" i="14703"/>
  <c r="U190" i="14703"/>
  <c r="Y241" i="14703"/>
  <c r="Y189" i="14703"/>
  <c r="W157" i="14703"/>
  <c r="W117" i="14703"/>
  <c r="T157" i="14703"/>
  <c r="Y246" i="14703"/>
  <c r="U152" i="14703"/>
  <c r="X173" i="14703"/>
  <c r="T246" i="14703"/>
  <c r="T156" i="14703"/>
  <c r="X168" i="14703"/>
  <c r="W174" i="14703"/>
  <c r="W152" i="14703"/>
  <c r="S175" i="14703"/>
  <c r="P175" i="14703"/>
  <c r="Q211" i="14703"/>
  <c r="Y245" i="14703"/>
  <c r="U156" i="14703"/>
  <c r="X169" i="14703"/>
  <c r="Y186" i="14703"/>
  <c r="D23" i="4128"/>
  <c r="C104" i="14698"/>
  <c r="Q123" i="14703"/>
  <c r="T158" i="14703"/>
  <c r="O194" i="14703"/>
  <c r="O196" i="14703" s="1"/>
  <c r="X177" i="14703"/>
  <c r="X167" i="14703"/>
  <c r="P141" i="14703"/>
  <c r="S121" i="14703"/>
  <c r="P140" i="14703"/>
  <c r="T249" i="14703"/>
  <c r="Y224" i="14703"/>
  <c r="R176" i="14703"/>
  <c r="W231" i="14703"/>
  <c r="R121" i="14703"/>
  <c r="Q174" i="14703"/>
  <c r="O102" i="14703" a="1"/>
  <c r="O103" i="14703" s="1"/>
  <c r="R122" i="14703"/>
  <c r="R120" i="14703"/>
  <c r="Q176" i="14703"/>
  <c r="T153" i="14703"/>
  <c r="T154" i="14703"/>
  <c r="X171" i="14703"/>
  <c r="X174" i="14703"/>
  <c r="X175" i="14703"/>
  <c r="R175" i="14703"/>
  <c r="X170" i="14703"/>
  <c r="W169" i="14703"/>
  <c r="W154" i="14703"/>
  <c r="W151" i="14703"/>
  <c r="W123" i="14703"/>
  <c r="P249" i="14703"/>
  <c r="W240" i="14703"/>
  <c r="S174" i="14703"/>
  <c r="Q246" i="14703"/>
  <c r="P158" i="14703"/>
  <c r="R191" i="14703"/>
  <c r="Y244" i="14703"/>
  <c r="Y243" i="14703"/>
  <c r="T137" i="14703"/>
  <c r="T141" i="14703"/>
  <c r="U154" i="14703"/>
  <c r="U153" i="14703"/>
  <c r="Y187" i="14703"/>
  <c r="Y193" i="14703"/>
  <c r="X156" i="14703"/>
  <c r="W168" i="14703"/>
  <c r="Y148" i="14703"/>
  <c r="W150" i="14703"/>
  <c r="W155" i="14703"/>
  <c r="W119" i="14703"/>
  <c r="W122" i="14703"/>
  <c r="X213" i="14703"/>
  <c r="R230" i="14703"/>
  <c r="P248" i="14703"/>
  <c r="S172" i="14703"/>
  <c r="T194" i="14703"/>
  <c r="W186" i="14703"/>
  <c r="V207" i="14703"/>
  <c r="U172" i="14703"/>
  <c r="Q213" i="14703"/>
  <c r="U230" i="14703"/>
  <c r="U229" i="14703"/>
  <c r="P157" i="14703"/>
  <c r="R193" i="14703"/>
  <c r="Y239" i="14703"/>
  <c r="Y242" i="14703"/>
  <c r="T139" i="14703"/>
  <c r="U159" i="14703"/>
  <c r="U158" i="14703"/>
  <c r="Y194" i="14703"/>
  <c r="Y184" i="14703"/>
  <c r="C104" i="14703"/>
  <c r="D104" i="14698"/>
  <c r="G104" i="14698"/>
  <c r="W172" i="14703"/>
  <c r="Y150" i="14703"/>
  <c r="W158" i="14703"/>
  <c r="W116" i="14703"/>
  <c r="W121" i="14703"/>
  <c r="U136" i="14703"/>
  <c r="X212" i="14703"/>
  <c r="R229" i="14703"/>
  <c r="V187" i="14703"/>
  <c r="X221" i="14703"/>
  <c r="S173" i="14703"/>
  <c r="P193" i="14703"/>
  <c r="W207" i="14703"/>
  <c r="P177" i="14703"/>
  <c r="Q247" i="14703"/>
  <c r="V213" i="14703"/>
  <c r="Q212" i="14703"/>
  <c r="U231" i="14703"/>
  <c r="R194" i="14703"/>
  <c r="Y248" i="14703"/>
  <c r="Y247" i="14703"/>
  <c r="T140" i="14703"/>
  <c r="Q158" i="14703"/>
  <c r="U155" i="14703"/>
  <c r="Y192" i="14703"/>
  <c r="Y188" i="14703"/>
  <c r="S246" i="14703"/>
  <c r="V231" i="14703"/>
  <c r="S154" i="14703"/>
  <c r="Q121" i="14703"/>
  <c r="Y213" i="14703"/>
  <c r="Y85" i="14703"/>
  <c r="R99" i="14703" a="1"/>
  <c r="R99" i="14703" s="1"/>
  <c r="U96" i="14703" a="1"/>
  <c r="U98" i="14703" s="1"/>
  <c r="D104" i="14703"/>
  <c r="M104" i="14698"/>
  <c r="V188" i="14703"/>
  <c r="V195" i="14703"/>
  <c r="T190" i="14703"/>
  <c r="W136" i="14703"/>
  <c r="U242" i="14703"/>
  <c r="Q157" i="14703"/>
  <c r="U119" i="14703"/>
  <c r="U121" i="14703"/>
  <c r="T175" i="14703"/>
  <c r="N40" i="14698"/>
  <c r="W85" i="14703"/>
  <c r="N40" i="14703"/>
  <c r="L104" i="14703"/>
  <c r="S247" i="14703"/>
  <c r="X122" i="14703"/>
  <c r="V193" i="14703"/>
  <c r="V189" i="14703"/>
  <c r="Q175" i="14703"/>
  <c r="O176" i="14703"/>
  <c r="O178" i="14703" s="1"/>
  <c r="T195" i="14703"/>
  <c r="T192" i="14703"/>
  <c r="W134" i="14703"/>
  <c r="V228" i="14703"/>
  <c r="Q156" i="14703"/>
  <c r="U116" i="14703"/>
  <c r="U123" i="14703"/>
  <c r="T177" i="14703"/>
  <c r="E104" i="14698"/>
  <c r="X151" i="14703"/>
  <c r="Q194" i="14703"/>
  <c r="Y151" i="14703"/>
  <c r="S245" i="14703"/>
  <c r="X116" i="14703"/>
  <c r="V191" i="14703"/>
  <c r="T191" i="14703"/>
  <c r="P195" i="14703"/>
  <c r="W212" i="14703"/>
  <c r="S155" i="14703"/>
  <c r="R211" i="14703"/>
  <c r="J104" i="14698"/>
  <c r="E104" i="14703"/>
  <c r="L104" i="14698"/>
  <c r="X153" i="14703"/>
  <c r="Q195" i="14703"/>
  <c r="Y155" i="14703"/>
  <c r="X149" i="14703"/>
  <c r="X150" i="14703"/>
  <c r="Y158" i="14703"/>
  <c r="Y149" i="14703"/>
  <c r="V190" i="14703"/>
  <c r="W139" i="14703"/>
  <c r="V227" i="14703"/>
  <c r="T123" i="14703"/>
  <c r="U189" i="14703"/>
  <c r="U118" i="14703"/>
  <c r="T173" i="14703"/>
  <c r="Y138" i="14703"/>
  <c r="Y137" i="14703"/>
  <c r="Y140" i="14703"/>
  <c r="S231" i="14703"/>
  <c r="S229" i="14703"/>
  <c r="V137" i="14703"/>
  <c r="V141" i="14703"/>
  <c r="V138" i="14703"/>
  <c r="V136" i="14703"/>
  <c r="V135" i="14703"/>
  <c r="Y118" i="14703"/>
  <c r="Y112" i="14703"/>
  <c r="Y115" i="14703"/>
  <c r="Y113" i="14703"/>
  <c r="Y117" i="14703"/>
  <c r="Y116" i="14703"/>
  <c r="T210" i="14703"/>
  <c r="T208" i="14703"/>
  <c r="T211" i="14703"/>
  <c r="I104" i="14698"/>
  <c r="P122" i="14703"/>
  <c r="Y130" i="14703"/>
  <c r="Y207" i="14703"/>
  <c r="V171" i="14703"/>
  <c r="X189" i="14703"/>
  <c r="T228" i="14703"/>
  <c r="T213" i="14703"/>
  <c r="V133" i="14703"/>
  <c r="Y122" i="14703"/>
  <c r="H12" i="14706"/>
  <c r="O249" i="14703"/>
  <c r="O248" i="14703"/>
  <c r="X139" i="14703"/>
  <c r="X135" i="14703"/>
  <c r="X136" i="14703"/>
  <c r="Y166" i="14703"/>
  <c r="Y172" i="14703"/>
  <c r="Y174" i="14703"/>
  <c r="S210" i="14703"/>
  <c r="S209" i="14703"/>
  <c r="V119" i="14703"/>
  <c r="V118" i="14703"/>
  <c r="X243" i="14703"/>
  <c r="X248" i="14703"/>
  <c r="X240" i="14703"/>
  <c r="Q231" i="14703"/>
  <c r="Q229" i="14703"/>
  <c r="O230" i="14703"/>
  <c r="O231" i="14703"/>
  <c r="W223" i="14703"/>
  <c r="W228" i="14703"/>
  <c r="I104" i="14703"/>
  <c r="R157" i="14703"/>
  <c r="R156" i="14703"/>
  <c r="S193" i="14703"/>
  <c r="S190" i="14703"/>
  <c r="V157" i="14703"/>
  <c r="V156" i="14703"/>
  <c r="V155" i="14703"/>
  <c r="S122" i="14703"/>
  <c r="S119" i="14703"/>
  <c r="D7" i="14617"/>
  <c r="E5" i="14617" s="1" a="1"/>
  <c r="E15" i="14617"/>
  <c r="N7" i="14631"/>
  <c r="S98" i="14703" a="1"/>
  <c r="S100" i="14703" s="1"/>
  <c r="P121" i="14703"/>
  <c r="Y135" i="14703"/>
  <c r="Q228" i="14703"/>
  <c r="Y223" i="14703"/>
  <c r="R177" i="14703"/>
  <c r="S118" i="14703"/>
  <c r="X192" i="14703"/>
  <c r="V248" i="14703"/>
  <c r="P213" i="14703"/>
  <c r="R155" i="14703"/>
  <c r="V117" i="14703"/>
  <c r="T209" i="14703"/>
  <c r="X133" i="14703"/>
  <c r="V154" i="14703"/>
  <c r="V139" i="14703"/>
  <c r="Y123" i="14703"/>
  <c r="Y120" i="14703"/>
  <c r="W94" i="14703" a="1"/>
  <c r="W100" i="14703" s="1"/>
  <c r="H104" i="14698"/>
  <c r="H104" i="14703"/>
  <c r="Q122" i="14703"/>
  <c r="Y139" i="14703"/>
  <c r="Y228" i="14703"/>
  <c r="R173" i="14703"/>
  <c r="S120" i="14703"/>
  <c r="P212" i="14703"/>
  <c r="T207" i="14703"/>
  <c r="V158" i="14703"/>
  <c r="V140" i="14703"/>
  <c r="S213" i="14703"/>
  <c r="Y114" i="14703"/>
  <c r="Y121" i="14703"/>
  <c r="S191" i="14703"/>
  <c r="F5" i="14617"/>
  <c r="W176" i="14703"/>
  <c r="W159" i="14703"/>
  <c r="W153" i="14703"/>
  <c r="W115" i="14703"/>
  <c r="W114" i="14703"/>
  <c r="R227" i="14703"/>
  <c r="G15" i="14622"/>
  <c r="G11" i="14622" s="1"/>
  <c r="Y238" i="14703"/>
  <c r="Y240" i="14703"/>
  <c r="T138" i="14703"/>
  <c r="Y195" i="14703"/>
  <c r="Y190" i="14703"/>
  <c r="Q100" i="14703" a="1"/>
  <c r="Q103" i="14703" s="1"/>
  <c r="V249" i="14703"/>
  <c r="F104" i="14703"/>
  <c r="G104" i="14703"/>
  <c r="P101" i="14703" a="1"/>
  <c r="P101" i="14703" s="1"/>
  <c r="X93" i="14703" a="1"/>
  <c r="X94" i="14703" s="1"/>
  <c r="D61" i="14643"/>
  <c r="K104" i="14703"/>
  <c r="S85" i="14703"/>
  <c r="G53" i="14643" a="1"/>
  <c r="G57" i="14643" s="1"/>
  <c r="U85" i="14703"/>
  <c r="K104" i="14698"/>
  <c r="V95" i="14703" a="1"/>
  <c r="V99" i="14703" s="1"/>
  <c r="F104" i="14698"/>
  <c r="T97" i="14703" a="1"/>
  <c r="T101" i="14703" s="1"/>
  <c r="M104" i="14703"/>
  <c r="J104" i="14703"/>
  <c r="Y92" i="14703" a="1"/>
  <c r="Y100" i="14703" s="1"/>
  <c r="X157" i="14703"/>
  <c r="X154" i="14703"/>
  <c r="X158" i="14703"/>
  <c r="X152" i="14703"/>
  <c r="Q230" i="14703"/>
  <c r="Y152" i="14703"/>
  <c r="Y154" i="14703"/>
  <c r="Y153" i="14703"/>
  <c r="Y159" i="14703"/>
  <c r="Y157" i="14703"/>
  <c r="N104" i="14703"/>
  <c r="S244" i="14703"/>
  <c r="S249" i="14703"/>
  <c r="Y231" i="14703"/>
  <c r="Y221" i="14703"/>
  <c r="X114" i="14703"/>
  <c r="O141" i="14703"/>
  <c r="O142" i="14703" s="1"/>
  <c r="W222" i="14703"/>
  <c r="O41" i="14634"/>
  <c r="O42" i="14634" s="1"/>
  <c r="C42" i="14639" s="1"/>
  <c r="W132" i="14703"/>
  <c r="W211" i="14703"/>
  <c r="W204" i="14703"/>
  <c r="V230" i="14703"/>
  <c r="R209" i="14703"/>
  <c r="R159" i="14703"/>
  <c r="R158" i="14703"/>
  <c r="V115" i="14703"/>
  <c r="Y173" i="14703"/>
  <c r="Y175" i="14703"/>
  <c r="U191" i="14703"/>
  <c r="X245" i="14703"/>
  <c r="X249" i="14703"/>
  <c r="U247" i="14703"/>
  <c r="X137" i="14703"/>
  <c r="X132" i="14703"/>
  <c r="V151" i="14703"/>
  <c r="V153" i="14703"/>
  <c r="V159" i="14703"/>
  <c r="T174" i="14703"/>
  <c r="T172" i="14703"/>
  <c r="T176" i="14703"/>
  <c r="S192" i="14703"/>
  <c r="S195" i="14703"/>
  <c r="X141" i="14703"/>
  <c r="X138" i="14703"/>
  <c r="X134" i="14703"/>
  <c r="X140" i="14703"/>
  <c r="X131" i="14703"/>
  <c r="Y169" i="14703"/>
  <c r="Y177" i="14703"/>
  <c r="Y176" i="14703"/>
  <c r="Y170" i="14703"/>
  <c r="Y168" i="14703"/>
  <c r="Y171" i="14703"/>
  <c r="U249" i="14703"/>
  <c r="U244" i="14703"/>
  <c r="U245" i="14703"/>
  <c r="U246" i="14703"/>
  <c r="Y230" i="14703"/>
  <c r="Y220" i="14703"/>
  <c r="Y222" i="14703"/>
  <c r="Y227" i="14703"/>
  <c r="Y226" i="14703"/>
  <c r="Y229" i="14703"/>
  <c r="C49" i="14683" a="1"/>
  <c r="C52" i="14683" s="1"/>
  <c r="P229" i="14703"/>
  <c r="P230" i="14703"/>
  <c r="S156" i="14703"/>
  <c r="S158" i="14703"/>
  <c r="S157" i="14703"/>
  <c r="T247" i="14703"/>
  <c r="T248" i="14703"/>
  <c r="T245" i="14703"/>
  <c r="T244" i="14703"/>
  <c r="W140" i="14703"/>
  <c r="W133" i="14703"/>
  <c r="W141" i="14703"/>
  <c r="W138" i="14703"/>
  <c r="W135" i="14703"/>
  <c r="S208" i="14703"/>
  <c r="S211" i="14703"/>
  <c r="S212" i="14703"/>
  <c r="V121" i="14703"/>
  <c r="V120" i="14703"/>
  <c r="V122" i="14703"/>
  <c r="V116" i="14703"/>
  <c r="V123" i="14703"/>
  <c r="W205" i="14703"/>
  <c r="W209" i="14703"/>
  <c r="W208" i="14703"/>
  <c r="W213" i="14703"/>
  <c r="W206" i="14703"/>
  <c r="X115" i="14703"/>
  <c r="X119" i="14703"/>
  <c r="X113" i="14703"/>
  <c r="X123" i="14703"/>
  <c r="X117" i="14703"/>
  <c r="X118" i="14703"/>
  <c r="U192" i="14703"/>
  <c r="U195" i="14703"/>
  <c r="U193" i="14703"/>
  <c r="U188" i="14703"/>
  <c r="X247" i="14703"/>
  <c r="X246" i="14703"/>
  <c r="X244" i="14703"/>
  <c r="X241" i="14703"/>
  <c r="X242" i="14703"/>
  <c r="N9" i="14631"/>
  <c r="E61" i="14643"/>
  <c r="F59" i="14643" s="1"/>
  <c r="V223" i="14703"/>
  <c r="V229" i="14703"/>
  <c r="V224" i="14703"/>
  <c r="V225" i="14703"/>
  <c r="R212" i="14703"/>
  <c r="R213" i="14703"/>
  <c r="W227" i="14703"/>
  <c r="W224" i="14703"/>
  <c r="W226" i="14703"/>
  <c r="W225" i="14703"/>
  <c r="W229" i="14703"/>
  <c r="X85" i="14703"/>
  <c r="G40" i="14643" a="1"/>
  <c r="G47" i="14643" s="1"/>
  <c r="T85" i="14703"/>
  <c r="P85" i="14703"/>
  <c r="R85" i="14703"/>
  <c r="C42" i="14683"/>
  <c r="S227" i="14703"/>
  <c r="S230" i="14703"/>
  <c r="S228" i="14703"/>
  <c r="B49" i="14683" a="1"/>
  <c r="B54" i="14683" s="1"/>
  <c r="V242" i="14703"/>
  <c r="V247" i="14703"/>
  <c r="V245" i="14703"/>
  <c r="V244" i="14703"/>
  <c r="S141" i="14703"/>
  <c r="S137" i="14703"/>
  <c r="S139" i="14703"/>
  <c r="Q140" i="14703"/>
  <c r="Q138" i="14703"/>
  <c r="V209" i="14703"/>
  <c r="V210" i="14703"/>
  <c r="V211" i="14703"/>
  <c r="V205" i="14703"/>
  <c r="T226" i="14703"/>
  <c r="T227" i="14703"/>
  <c r="T230" i="14703"/>
  <c r="R245" i="14703"/>
  <c r="R248" i="14703"/>
  <c r="R249" i="14703"/>
  <c r="U211" i="14703"/>
  <c r="U207" i="14703"/>
  <c r="U206" i="14703"/>
  <c r="U212" i="14703"/>
  <c r="X224" i="14703"/>
  <c r="X230" i="14703"/>
  <c r="X226" i="14703"/>
  <c r="X228" i="14703"/>
  <c r="X227" i="14703"/>
  <c r="X223" i="14703"/>
  <c r="Y212" i="14703"/>
  <c r="Y210" i="14703"/>
  <c r="Y211" i="14703"/>
  <c r="Y202" i="14703"/>
  <c r="Y208" i="14703"/>
  <c r="N9" i="8"/>
  <c r="V85" i="14703"/>
  <c r="U135" i="14703"/>
  <c r="U137" i="14703"/>
  <c r="U141" i="14703"/>
  <c r="U139" i="14703"/>
  <c r="X191" i="14703"/>
  <c r="X195" i="14703"/>
  <c r="X185" i="14703"/>
  <c r="X188" i="14703"/>
  <c r="X187" i="14703"/>
  <c r="T118" i="14703"/>
  <c r="T117" i="14703"/>
  <c r="T122" i="14703"/>
  <c r="W188" i="14703"/>
  <c r="W193" i="14703"/>
  <c r="W187" i="14703"/>
  <c r="W190" i="14703"/>
  <c r="W192" i="14703"/>
  <c r="R138" i="14703"/>
  <c r="R137" i="14703"/>
  <c r="R140" i="14703"/>
  <c r="W241" i="14703"/>
  <c r="W247" i="14703"/>
  <c r="W245" i="14703"/>
  <c r="W246" i="14703"/>
  <c r="W243" i="14703"/>
  <c r="X207" i="14703"/>
  <c r="X203" i="14703"/>
  <c r="X211" i="14703"/>
  <c r="X206" i="14703"/>
  <c r="X210" i="14703"/>
  <c r="U171" i="14703"/>
  <c r="U177" i="14703"/>
  <c r="U170" i="14703"/>
  <c r="U176" i="14703"/>
  <c r="V176" i="14703"/>
  <c r="V173" i="14703"/>
  <c r="V170" i="14703"/>
  <c r="V175" i="14703"/>
  <c r="W170" i="14703"/>
  <c r="W177" i="14703"/>
  <c r="W175" i="14703"/>
  <c r="W171" i="14703"/>
  <c r="Y134" i="14703"/>
  <c r="Y133" i="14703"/>
  <c r="Y132" i="14703"/>
  <c r="Y141" i="14703"/>
  <c r="Y136" i="14703"/>
  <c r="Y203" i="14703"/>
  <c r="Y209" i="14703"/>
  <c r="Y204" i="14703"/>
  <c r="Y205" i="14703"/>
  <c r="S138" i="14703"/>
  <c r="S136" i="14703"/>
  <c r="U134" i="14703"/>
  <c r="U138" i="14703"/>
  <c r="X208" i="14703"/>
  <c r="X205" i="14703"/>
  <c r="X209" i="14703"/>
  <c r="B42" i="14622"/>
  <c r="C42" i="14622" s="1"/>
  <c r="V177" i="14703"/>
  <c r="V174" i="14703"/>
  <c r="V172" i="14703"/>
  <c r="W248" i="14703"/>
  <c r="W249" i="14703"/>
  <c r="X229" i="14703"/>
  <c r="X225" i="14703"/>
  <c r="X231" i="14703"/>
  <c r="Q139" i="14703"/>
  <c r="X193" i="14703"/>
  <c r="X194" i="14703"/>
  <c r="X190" i="14703"/>
  <c r="W189" i="14703"/>
  <c r="W191" i="14703"/>
  <c r="W194" i="14703"/>
  <c r="V241" i="14703"/>
  <c r="V246" i="14703"/>
  <c r="V206" i="14703"/>
  <c r="V212" i="14703"/>
  <c r="U213" i="14703"/>
  <c r="U208" i="14703"/>
  <c r="T225" i="14703"/>
  <c r="T229" i="14703"/>
  <c r="T121" i="14703"/>
  <c r="T120" i="14703"/>
  <c r="U174" i="14703"/>
  <c r="U173" i="14703"/>
  <c r="R139" i="14703"/>
  <c r="R246" i="14703"/>
  <c r="B42" i="14683"/>
  <c r="B55" i="14698"/>
  <c r="E48" i="14643"/>
  <c r="F40" i="14643" s="1" a="1"/>
  <c r="O6" i="14625"/>
  <c r="O18" i="14648"/>
  <c r="L22" i="14617"/>
  <c r="E9" i="14696"/>
  <c r="F9" i="14682"/>
  <c r="F6" i="14682"/>
  <c r="F7" i="14682"/>
  <c r="F10" i="14682"/>
  <c r="F5" i="14682"/>
  <c r="F8" i="14682"/>
  <c r="F12" i="14682"/>
  <c r="F11" i="14682"/>
  <c r="C46" i="14667"/>
  <c r="M12" i="14662"/>
  <c r="L73" i="14662"/>
  <c r="N18" i="14706"/>
  <c r="B59" i="14695" a="1"/>
  <c r="N56" i="14695"/>
  <c r="L15" i="14617"/>
  <c r="N20" i="14676"/>
  <c r="G20" i="14676"/>
  <c r="F20" i="14676"/>
  <c r="J20" i="14676"/>
  <c r="K20" i="14676"/>
  <c r="E20" i="14676"/>
  <c r="D20" i="14676"/>
  <c r="C20" i="14676"/>
  <c r="M20" i="14676"/>
  <c r="H20" i="14676"/>
  <c r="L20" i="14676"/>
  <c r="I20" i="14676"/>
  <c r="F20" i="14633"/>
  <c r="K20" i="14633"/>
  <c r="C20" i="14633"/>
  <c r="L20" i="14633"/>
  <c r="J20" i="14633"/>
  <c r="N20" i="14633"/>
  <c r="G20" i="14633"/>
  <c r="H20" i="14633"/>
  <c r="D20" i="14633"/>
  <c r="I20" i="14633"/>
  <c r="M20" i="14633"/>
  <c r="E20" i="14633"/>
  <c r="N8" i="14667"/>
  <c r="D9" i="14696"/>
  <c r="I22" i="14617"/>
  <c r="L32" i="14706"/>
  <c r="L38" i="14667"/>
  <c r="H38" i="14667"/>
  <c r="H32" i="14706"/>
  <c r="F20" i="14625"/>
  <c r="N20" i="14625"/>
  <c r="M20" i="14625"/>
  <c r="C20" i="14625"/>
  <c r="J20" i="14625"/>
  <c r="L20" i="14625"/>
  <c r="D20" i="14625"/>
  <c r="I20" i="14625"/>
  <c r="H20" i="14625"/>
  <c r="G20" i="14625"/>
  <c r="K20" i="14625"/>
  <c r="E20" i="14625"/>
  <c r="C47" i="14648" a="1"/>
  <c r="B37" i="14692" a="1"/>
  <c r="N38" i="14692"/>
  <c r="B61" i="14692" a="1"/>
  <c r="N62" i="14692"/>
  <c r="N38" i="14667"/>
  <c r="N32" i="14706"/>
  <c r="B45" i="14692" a="1"/>
  <c r="C62" i="14648" a="1"/>
  <c r="N46" i="14692"/>
  <c r="C17" i="14648" a="1"/>
  <c r="B22" i="14692" a="1"/>
  <c r="N23" i="14692"/>
  <c r="F16" i="14682"/>
  <c r="F17" i="14682"/>
  <c r="B27" i="14673"/>
  <c r="N25" i="14673"/>
  <c r="B52" i="14695" a="1"/>
  <c r="C75" i="14648" a="1"/>
  <c r="N49" i="14695"/>
  <c r="E23" i="14682"/>
  <c r="J32" i="14706"/>
  <c r="J38" i="14667"/>
  <c r="F32" i="14706"/>
  <c r="F38" i="14667"/>
  <c r="C32" i="14648" a="1"/>
  <c r="B29" i="14692" a="1"/>
  <c r="N30" i="14692"/>
  <c r="G20" i="14677"/>
  <c r="F20" i="14677"/>
  <c r="J20" i="14677"/>
  <c r="K20" i="14677"/>
  <c r="L20" i="14677"/>
  <c r="C20" i="14677"/>
  <c r="H20" i="14677"/>
  <c r="M20" i="14677"/>
  <c r="E20" i="14677"/>
  <c r="N20" i="14677"/>
  <c r="I20" i="14677"/>
  <c r="D20" i="14677"/>
  <c r="K20" i="14641"/>
  <c r="E20" i="14641"/>
  <c r="D20" i="14641"/>
  <c r="N20" i="14641"/>
  <c r="H20" i="14641"/>
  <c r="L20" i="14641"/>
  <c r="I20" i="14641"/>
  <c r="F20" i="14641"/>
  <c r="C20" i="14641"/>
  <c r="J20" i="14641"/>
  <c r="G20" i="14641"/>
  <c r="M20" i="14641"/>
  <c r="C18" i="11"/>
  <c r="D23" i="11"/>
  <c r="B53" i="14692" a="1"/>
  <c r="C77" i="14648" a="1"/>
  <c r="N54" i="14692"/>
  <c r="B61" i="14665" a="1"/>
  <c r="B45" i="14695" a="1"/>
  <c r="C60" i="14648" a="1"/>
  <c r="N42" i="14695"/>
  <c r="C45" i="14648" a="1"/>
  <c r="B38" i="14695" a="1"/>
  <c r="N35" i="14695"/>
  <c r="F21" i="14682" a="1"/>
  <c r="C47" i="14706"/>
  <c r="B31" i="14695" a="1"/>
  <c r="C30" i="14648" a="1"/>
  <c r="N28" i="14695"/>
  <c r="C15" i="14648" a="1"/>
  <c r="B24" i="14695" a="1"/>
  <c r="N21" i="14695"/>
  <c r="F9" i="14696"/>
  <c r="O22" i="14617"/>
  <c r="N22" i="8"/>
  <c r="B22" i="14617" s="1"/>
  <c r="C33" i="14648" a="1"/>
  <c r="C6" i="14633" a="1"/>
  <c r="Q22" i="14655"/>
  <c r="G31" i="14645"/>
  <c r="G32" i="14645" s="1"/>
  <c r="B31" i="14645"/>
  <c r="D31" i="14645"/>
  <c r="D32" i="14645" s="1"/>
  <c r="H11" i="14706"/>
  <c r="L31" i="14645"/>
  <c r="L32" i="14645" s="1"/>
  <c r="C7" i="14641" a="1"/>
  <c r="J31" i="14645"/>
  <c r="J32" i="14645" s="1"/>
  <c r="F31" i="14645"/>
  <c r="F32" i="14645" s="1"/>
  <c r="M31" i="14645"/>
  <c r="C31" i="14645"/>
  <c r="C32" i="14645" s="1"/>
  <c r="H17" i="14667"/>
  <c r="I31" i="14645"/>
  <c r="I32" i="14645" s="1"/>
  <c r="E31" i="14645"/>
  <c r="E32" i="14645" s="1"/>
  <c r="K31" i="14645"/>
  <c r="K32" i="14645" s="1"/>
  <c r="H31" i="14645"/>
  <c r="H32" i="14645" s="1"/>
  <c r="O160" i="14703"/>
  <c r="C5" i="14617"/>
  <c r="C6" i="14617"/>
  <c r="C7" i="14617"/>
  <c r="J13" i="14700" l="1"/>
  <c r="K12" i="14700"/>
  <c r="D11" i="14700"/>
  <c r="G10" i="14700"/>
  <c r="C13" i="14700"/>
  <c r="E14" i="14700"/>
  <c r="M12" i="14700"/>
  <c r="B13" i="14700"/>
  <c r="J12" i="14700"/>
  <c r="J14" i="14700"/>
  <c r="G24" i="14637"/>
  <c r="I8" i="14700"/>
  <c r="E6" i="14683" a="1"/>
  <c r="E10" i="14683" s="1"/>
  <c r="D9" i="14700"/>
  <c r="H18" i="14637"/>
  <c r="C8" i="14700"/>
  <c r="B11" i="14700"/>
  <c r="I12" i="14700"/>
  <c r="K20" i="14637"/>
  <c r="G23" i="14637"/>
  <c r="H15" i="14700"/>
  <c r="K13" i="14700"/>
  <c r="D13" i="14700"/>
  <c r="K19" i="14637"/>
  <c r="F24" i="14637"/>
  <c r="I15" i="14700"/>
  <c r="H13" i="14700"/>
  <c r="J8" i="14700"/>
  <c r="I13" i="14700"/>
  <c r="F10" i="14700"/>
  <c r="L8" i="14700"/>
  <c r="L15" i="14700"/>
  <c r="J11" i="14700"/>
  <c r="C14" i="14700"/>
  <c r="F15" i="14700"/>
  <c r="J15" i="14700"/>
  <c r="F8" i="14700"/>
  <c r="K10" i="14700"/>
  <c r="M15" i="14700"/>
  <c r="M13" i="14700"/>
  <c r="L14" i="14700"/>
  <c r="E8" i="14700"/>
  <c r="D14" i="14700"/>
  <c r="H14" i="14700"/>
  <c r="M22" i="14637"/>
  <c r="H9" i="14700"/>
  <c r="L11" i="14700"/>
  <c r="I11" i="14700"/>
  <c r="E17" i="14637"/>
  <c r="E24" i="14637"/>
  <c r="I23" i="14637"/>
  <c r="L22" i="14637"/>
  <c r="I14" i="14700"/>
  <c r="F9" i="14700"/>
  <c r="B15" i="14700"/>
  <c r="L10" i="14700"/>
  <c r="H11" i="14700"/>
  <c r="K22" i="14637"/>
  <c r="E18" i="14637"/>
  <c r="F12" i="14700"/>
  <c r="F20" i="14637"/>
  <c r="J23" i="14637"/>
  <c r="C18" i="14637"/>
  <c r="B20" i="14637"/>
  <c r="K14" i="14700"/>
  <c r="C12" i="14700"/>
  <c r="B12" i="14700"/>
  <c r="E11" i="14700"/>
  <c r="L12" i="14700"/>
  <c r="B14" i="14700"/>
  <c r="J18" i="14637"/>
  <c r="D17" i="14637"/>
  <c r="F14" i="14700"/>
  <c r="K9" i="14700"/>
  <c r="E9" i="14700"/>
  <c r="H8" i="14700"/>
  <c r="L9" i="14700"/>
  <c r="K15" i="14700"/>
  <c r="M19" i="14637"/>
  <c r="B24" i="14637"/>
  <c r="J21" i="14637"/>
  <c r="I20" i="14637"/>
  <c r="C11" i="14700"/>
  <c r="G9" i="14700"/>
  <c r="B9" i="14700"/>
  <c r="I10" i="14700"/>
  <c r="F13" i="14700"/>
  <c r="C9" i="14700"/>
  <c r="F19" i="14637"/>
  <c r="L17" i="14637"/>
  <c r="D24" i="14637"/>
  <c r="M14" i="14700"/>
  <c r="G13" i="14700"/>
  <c r="I9" i="14700"/>
  <c r="F11" i="14700"/>
  <c r="C15" i="14700"/>
  <c r="L19" i="14637"/>
  <c r="H21" i="14637"/>
  <c r="F21" i="14637"/>
  <c r="K8" i="14700"/>
  <c r="G12" i="14700"/>
  <c r="D10" i="14700"/>
  <c r="B8" i="14700"/>
  <c r="M10" i="14700"/>
  <c r="E15" i="14700"/>
  <c r="C10" i="14700"/>
  <c r="B22" i="14637"/>
  <c r="F18" i="14637"/>
  <c r="K17" i="14637"/>
  <c r="H10" i="14700"/>
  <c r="M8" i="14700"/>
  <c r="G19" i="14637"/>
  <c r="M21" i="14637"/>
  <c r="J19" i="14637"/>
  <c r="D12" i="14700"/>
  <c r="E10" i="14700"/>
  <c r="L13" i="14700"/>
  <c r="K11" i="14700"/>
  <c r="I18" i="14637"/>
  <c r="J20" i="14637"/>
  <c r="H20" i="14637"/>
  <c r="E12" i="14700"/>
  <c r="H12" i="14700"/>
  <c r="G14" i="14700"/>
  <c r="M11" i="14700"/>
  <c r="G15" i="14700"/>
  <c r="J10" i="14700"/>
  <c r="M9" i="14700"/>
  <c r="E13" i="14700"/>
  <c r="G21" i="14637"/>
  <c r="H24" i="14637"/>
  <c r="I17" i="14637"/>
  <c r="M24" i="14637"/>
  <c r="L20" i="14637"/>
  <c r="B18" i="14637"/>
  <c r="G18" i="14637"/>
  <c r="L23" i="14637"/>
  <c r="B23" i="14637"/>
  <c r="D20" i="14637"/>
  <c r="C22" i="14637"/>
  <c r="E21" i="14637"/>
  <c r="B19" i="14637"/>
  <c r="H17" i="14637"/>
  <c r="H22" i="14637"/>
  <c r="K18" i="14637"/>
  <c r="K21" i="14637"/>
  <c r="C17" i="14637"/>
  <c r="C20" i="14637"/>
  <c r="H19" i="14637"/>
  <c r="C21" i="14637"/>
  <c r="I19" i="14637"/>
  <c r="D18" i="14637"/>
  <c r="D22" i="14637"/>
  <c r="E19" i="14637"/>
  <c r="K23" i="14637"/>
  <c r="C24" i="14637"/>
  <c r="K24" i="14637"/>
  <c r="D23" i="14637"/>
  <c r="E20" i="14637"/>
  <c r="E23" i="14637"/>
  <c r="F23" i="14637"/>
  <c r="L18" i="14637"/>
  <c r="I21" i="14637"/>
  <c r="J17" i="14637"/>
  <c r="M18" i="14637"/>
  <c r="F17" i="14637"/>
  <c r="C23" i="14637"/>
  <c r="C19" i="14637"/>
  <c r="H23" i="14637"/>
  <c r="M23" i="14637"/>
  <c r="M20" i="14637"/>
  <c r="D15" i="14700"/>
  <c r="G8" i="14700"/>
  <c r="B10" i="14700"/>
  <c r="J9" i="14700"/>
  <c r="E22" i="14637"/>
  <c r="G17" i="14637"/>
  <c r="M17" i="14637"/>
  <c r="G20" i="14637"/>
  <c r="B17" i="14637"/>
  <c r="I24" i="14637"/>
  <c r="J24" i="14637"/>
  <c r="D21" i="14637"/>
  <c r="B21" i="14637"/>
  <c r="D19" i="14637"/>
  <c r="L21" i="14637"/>
  <c r="G22" i="14637"/>
  <c r="I22" i="14637"/>
  <c r="F22" i="14637"/>
  <c r="L24" i="14637"/>
  <c r="G11" i="14700"/>
  <c r="N79" i="14653"/>
  <c r="N9" i="14668"/>
  <c r="B8" i="14704" a="1"/>
  <c r="L14" i="14704" s="1"/>
  <c r="N12" i="14668"/>
  <c r="N6" i="14668"/>
  <c r="N11" i="14668"/>
  <c r="B5" i="14669"/>
  <c r="B9" i="14669"/>
  <c r="H10" i="14669"/>
  <c r="L6" i="14669"/>
  <c r="H12" i="14669"/>
  <c r="D6" i="14669"/>
  <c r="I10" i="14669"/>
  <c r="G11" i="14669"/>
  <c r="K5" i="14669"/>
  <c r="B8" i="14669"/>
  <c r="M6" i="14669"/>
  <c r="D11" i="14669"/>
  <c r="E5" i="14669"/>
  <c r="L10" i="14669"/>
  <c r="C12" i="14669"/>
  <c r="G8" i="14669"/>
  <c r="L9" i="14669"/>
  <c r="D9" i="14669"/>
  <c r="D7" i="14669"/>
  <c r="J11" i="14669"/>
  <c r="M9" i="14669"/>
  <c r="K7" i="14669"/>
  <c r="J9" i="14669"/>
  <c r="L11" i="14669"/>
  <c r="K10" i="14669"/>
  <c r="B7" i="14669"/>
  <c r="F6" i="14669"/>
  <c r="H7" i="14669"/>
  <c r="J10" i="14669"/>
  <c r="C10" i="14669"/>
  <c r="C8" i="14669"/>
  <c r="F11" i="14669"/>
  <c r="E9" i="14669"/>
  <c r="F8" i="14669"/>
  <c r="H6" i="14669"/>
  <c r="M11" i="14669"/>
  <c r="E7" i="14669"/>
  <c r="L8" i="14669"/>
  <c r="F10" i="14669"/>
  <c r="J5" i="14669"/>
  <c r="D12" i="14669"/>
  <c r="D5" i="14669"/>
  <c r="M5" i="14669"/>
  <c r="C9" i="14669"/>
  <c r="G12" i="14669"/>
  <c r="J12" i="14669"/>
  <c r="E12" i="14669"/>
  <c r="J8" i="14669"/>
  <c r="K8" i="14669"/>
  <c r="B10" i="14669"/>
  <c r="C7" i="14669"/>
  <c r="B12" i="14669"/>
  <c r="C11" i="14669"/>
  <c r="I11" i="14669"/>
  <c r="I9" i="14669"/>
  <c r="E6" i="14669"/>
  <c r="G9" i="14669"/>
  <c r="I12" i="14669"/>
  <c r="G10" i="14669"/>
  <c r="C5" i="14669"/>
  <c r="F12" i="14669"/>
  <c r="H8" i="14669"/>
  <c r="D8" i="14669"/>
  <c r="I7" i="14669"/>
  <c r="G5" i="14669"/>
  <c r="I5" i="14669"/>
  <c r="F7" i="14669"/>
  <c r="M12" i="14669"/>
  <c r="L5" i="14669"/>
  <c r="E11" i="14669"/>
  <c r="C6" i="14669"/>
  <c r="D10" i="14669"/>
  <c r="E8" i="14669"/>
  <c r="M8" i="14669"/>
  <c r="H11" i="14669"/>
  <c r="K12" i="14669"/>
  <c r="L12" i="14669"/>
  <c r="B11" i="14669"/>
  <c r="J7" i="14669"/>
  <c r="F5" i="14669"/>
  <c r="H5" i="14669"/>
  <c r="G6" i="14669"/>
  <c r="K6" i="14669"/>
  <c r="L7" i="14669"/>
  <c r="K11" i="14669"/>
  <c r="G7" i="14669"/>
  <c r="I6" i="14669"/>
  <c r="F9" i="14669"/>
  <c r="E10" i="14669"/>
  <c r="M7" i="14669"/>
  <c r="H9" i="14669"/>
  <c r="I8" i="14669"/>
  <c r="J6" i="14669"/>
  <c r="M10" i="14669"/>
  <c r="K9" i="14669"/>
  <c r="B6" i="14669"/>
  <c r="N8" i="14668"/>
  <c r="B8" i="14701" a="1"/>
  <c r="N5" i="14668"/>
  <c r="N78" i="14653"/>
  <c r="N10" i="14668"/>
  <c r="N7" i="14668"/>
  <c r="P160" i="14703"/>
  <c r="G40" i="14694"/>
  <c r="C40" i="14694"/>
  <c r="K40" i="14694"/>
  <c r="E40" i="14694"/>
  <c r="L40" i="14694"/>
  <c r="H40" i="14694"/>
  <c r="D40" i="14694"/>
  <c r="B40" i="14694"/>
  <c r="F40" i="14694"/>
  <c r="M40" i="14694"/>
  <c r="J40" i="14694"/>
  <c r="I40" i="14694"/>
  <c r="E11" i="14683"/>
  <c r="G48" i="14694"/>
  <c r="M48" i="14694"/>
  <c r="B48" i="14694"/>
  <c r="K48" i="14694"/>
  <c r="J48" i="14694"/>
  <c r="E48" i="14694"/>
  <c r="I48" i="14694"/>
  <c r="F48" i="14694"/>
  <c r="H48" i="14694"/>
  <c r="L48" i="14694"/>
  <c r="D48" i="14694"/>
  <c r="C48" i="14694"/>
  <c r="C11" i="14634" a="1"/>
  <c r="M11" i="14634" s="1"/>
  <c r="D24" i="14694"/>
  <c r="F24" i="14694"/>
  <c r="L24" i="14694"/>
  <c r="I24" i="14694"/>
  <c r="J24" i="14694"/>
  <c r="H24" i="14694"/>
  <c r="K24" i="14694"/>
  <c r="M24" i="14694"/>
  <c r="G24" i="14694"/>
  <c r="C24" i="14694"/>
  <c r="B24" i="14694"/>
  <c r="E24" i="14694"/>
  <c r="M63" i="14694"/>
  <c r="L63" i="14694"/>
  <c r="E63" i="14694"/>
  <c r="D63" i="14694"/>
  <c r="J63" i="14694"/>
  <c r="F63" i="14694"/>
  <c r="K63" i="14694"/>
  <c r="I63" i="14694"/>
  <c r="B63" i="14694"/>
  <c r="H63" i="14694"/>
  <c r="G63" i="14694"/>
  <c r="C63" i="14694"/>
  <c r="G32" i="14694"/>
  <c r="C32" i="14694"/>
  <c r="E32" i="14694"/>
  <c r="D32" i="14694"/>
  <c r="K32" i="14694"/>
  <c r="J32" i="14694"/>
  <c r="B32" i="14694"/>
  <c r="H32" i="14694"/>
  <c r="F32" i="14694"/>
  <c r="M32" i="14694"/>
  <c r="I32" i="14694"/>
  <c r="L32" i="14694"/>
  <c r="C56" i="14694"/>
  <c r="H56" i="14694"/>
  <c r="F56" i="14694"/>
  <c r="E56" i="14694"/>
  <c r="G56" i="14694"/>
  <c r="J56" i="14694"/>
  <c r="L56" i="14694"/>
  <c r="D56" i="14694"/>
  <c r="K56" i="14694"/>
  <c r="B56" i="14694"/>
  <c r="I56" i="14694"/>
  <c r="M56" i="14694"/>
  <c r="J7" i="14652" a="1"/>
  <c r="H33" i="14652" a="1"/>
  <c r="B17" i="14668" a="1"/>
  <c r="G33" i="14652" a="1"/>
  <c r="D65" i="14665"/>
  <c r="B19" i="4129" s="1"/>
  <c r="D66" i="14665"/>
  <c r="S178" i="14703"/>
  <c r="P142" i="14703"/>
  <c r="P178" i="14703"/>
  <c r="G42" i="14643"/>
  <c r="H22" i="14707"/>
  <c r="V98" i="14703"/>
  <c r="B50" i="14683"/>
  <c r="Y99" i="14703"/>
  <c r="X101" i="14703"/>
  <c r="O102" i="14703"/>
  <c r="O104" i="14703" s="1"/>
  <c r="B106" i="14703" s="1"/>
  <c r="C26" i="11" s="1"/>
  <c r="P124" i="14703"/>
  <c r="R124" i="14703"/>
  <c r="Q124" i="14703"/>
  <c r="X99" i="14703"/>
  <c r="V100" i="14703"/>
  <c r="B55" i="14683"/>
  <c r="I15" i="14622"/>
  <c r="U99" i="14703"/>
  <c r="T160" i="14703"/>
  <c r="G59" i="14643"/>
  <c r="W99" i="14703"/>
  <c r="C55" i="14683"/>
  <c r="U232" i="14703"/>
  <c r="U160" i="14703"/>
  <c r="R196" i="14703"/>
  <c r="R100" i="14703"/>
  <c r="Q214" i="14703"/>
  <c r="Y196" i="14703"/>
  <c r="X178" i="14703"/>
  <c r="F60" i="14643"/>
  <c r="U100" i="14703"/>
  <c r="R232" i="14703"/>
  <c r="G56" i="14643"/>
  <c r="P232" i="14703"/>
  <c r="T142" i="14703"/>
  <c r="W160" i="14703"/>
  <c r="R178" i="14703"/>
  <c r="Q178" i="14703"/>
  <c r="P250" i="14703"/>
  <c r="Q250" i="14703"/>
  <c r="X95" i="14703"/>
  <c r="V102" i="14703"/>
  <c r="Y94" i="14703"/>
  <c r="R102" i="14703"/>
  <c r="G48" i="14643"/>
  <c r="X96" i="14703"/>
  <c r="V97" i="14703"/>
  <c r="Y101" i="14703"/>
  <c r="W96" i="14703"/>
  <c r="R101" i="14703"/>
  <c r="Q232" i="14703"/>
  <c r="O250" i="14703"/>
  <c r="Q196" i="14703"/>
  <c r="V196" i="14703"/>
  <c r="Q160" i="14703"/>
  <c r="P102" i="14703"/>
  <c r="W124" i="14703"/>
  <c r="O232" i="14703"/>
  <c r="P196" i="14703"/>
  <c r="U124" i="14703"/>
  <c r="S102" i="14703"/>
  <c r="G41" i="14643"/>
  <c r="P214" i="14703"/>
  <c r="B106" i="14698"/>
  <c r="Q102" i="14703"/>
  <c r="G58" i="14643"/>
  <c r="Y103" i="14703"/>
  <c r="W97" i="14703"/>
  <c r="W101" i="14703"/>
  <c r="R103" i="14703"/>
  <c r="U97" i="14703"/>
  <c r="U96" i="14703"/>
  <c r="U101" i="14703"/>
  <c r="U103" i="14703"/>
  <c r="G60" i="14643"/>
  <c r="T100" i="14703"/>
  <c r="Y95" i="14703"/>
  <c r="Y92" i="14703"/>
  <c r="W103" i="14703"/>
  <c r="W95" i="14703"/>
  <c r="U102" i="14703"/>
  <c r="R214" i="14703"/>
  <c r="S124" i="14703"/>
  <c r="V142" i="14703"/>
  <c r="T196" i="14703"/>
  <c r="P103" i="14703"/>
  <c r="S101" i="14703"/>
  <c r="U196" i="14703"/>
  <c r="Y142" i="14703"/>
  <c r="S99" i="14703"/>
  <c r="S103" i="14703"/>
  <c r="T232" i="14703"/>
  <c r="U142" i="14703"/>
  <c r="W232" i="14703"/>
  <c r="V232" i="14703"/>
  <c r="T250" i="14703"/>
  <c r="S160" i="14703"/>
  <c r="U250" i="14703"/>
  <c r="V160" i="14703"/>
  <c r="S250" i="14703"/>
  <c r="T214" i="14703"/>
  <c r="S196" i="14703"/>
  <c r="Y178" i="14703"/>
  <c r="Y124" i="14703"/>
  <c r="S98" i="14703"/>
  <c r="S214" i="14703"/>
  <c r="T178" i="14703"/>
  <c r="W142" i="14703"/>
  <c r="X124" i="14703"/>
  <c r="Y160" i="14703"/>
  <c r="Y250" i="14703"/>
  <c r="X250" i="14703"/>
  <c r="T97" i="14703"/>
  <c r="Q100" i="14703"/>
  <c r="F57" i="14643"/>
  <c r="C51" i="14683"/>
  <c r="G55" i="14643"/>
  <c r="G54" i="14643"/>
  <c r="T98" i="14703"/>
  <c r="Q101" i="14703"/>
  <c r="Y98" i="14703"/>
  <c r="Y102" i="14703"/>
  <c r="Y96" i="14703"/>
  <c r="F58" i="14643"/>
  <c r="W102" i="14703"/>
  <c r="W98" i="14703"/>
  <c r="C54" i="14683"/>
  <c r="R250" i="14703"/>
  <c r="G53" i="14643"/>
  <c r="X93" i="14703"/>
  <c r="T102" i="14703"/>
  <c r="V95" i="14703"/>
  <c r="Y93" i="14703"/>
  <c r="Y97" i="14703"/>
  <c r="F55" i="14643"/>
  <c r="W94" i="14703"/>
  <c r="C49" i="14683"/>
  <c r="R160" i="14703"/>
  <c r="X214" i="14703"/>
  <c r="X232" i="14703"/>
  <c r="U214" i="14703"/>
  <c r="W214" i="14703"/>
  <c r="X142" i="14703"/>
  <c r="V124" i="14703"/>
  <c r="Y232" i="14703"/>
  <c r="X160" i="14703"/>
  <c r="X98" i="14703"/>
  <c r="X102" i="14703"/>
  <c r="X97" i="14703"/>
  <c r="X103" i="14703"/>
  <c r="X100" i="14703"/>
  <c r="T103" i="14703"/>
  <c r="T99" i="14703"/>
  <c r="V96" i="14703"/>
  <c r="V103" i="14703"/>
  <c r="V101" i="14703"/>
  <c r="B56" i="14683"/>
  <c r="B53" i="14683"/>
  <c r="G43" i="14643"/>
  <c r="G44" i="14643"/>
  <c r="G61" i="14643"/>
  <c r="H61" i="14643" s="1"/>
  <c r="E20" i="14643" s="1"/>
  <c r="F56" i="14643"/>
  <c r="F53" i="14643"/>
  <c r="F54" i="14643"/>
  <c r="C50" i="14683"/>
  <c r="C53" i="14683"/>
  <c r="C56" i="14683"/>
  <c r="D34" i="14683" a="1"/>
  <c r="D35" i="14683" s="1"/>
  <c r="U178" i="14703"/>
  <c r="W250" i="14703"/>
  <c r="S232" i="14703"/>
  <c r="Q142" i="14703"/>
  <c r="V178" i="14703"/>
  <c r="W178" i="14703"/>
  <c r="W196" i="14703"/>
  <c r="Y214" i="14703"/>
  <c r="R142" i="14703"/>
  <c r="T124" i="14703"/>
  <c r="X196" i="14703"/>
  <c r="V214" i="14703"/>
  <c r="S142" i="14703"/>
  <c r="V250" i="14703"/>
  <c r="B51" i="14683"/>
  <c r="B52" i="14683"/>
  <c r="B49" i="14683"/>
  <c r="G45" i="14643"/>
  <c r="G40" i="14643"/>
  <c r="G46" i="14643"/>
  <c r="C9" i="14696"/>
  <c r="F22" i="14617"/>
  <c r="J24" i="14695"/>
  <c r="D24" i="14695"/>
  <c r="F24" i="14695"/>
  <c r="E24" i="14695"/>
  <c r="K24" i="14695"/>
  <c r="M24" i="14695"/>
  <c r="C24" i="14695"/>
  <c r="B24" i="14695"/>
  <c r="I24" i="14695"/>
  <c r="H24" i="14695"/>
  <c r="G24" i="14695"/>
  <c r="L24" i="14695"/>
  <c r="F31" i="14695"/>
  <c r="L31" i="14695"/>
  <c r="B31" i="14695"/>
  <c r="M31" i="14695"/>
  <c r="H31" i="14695"/>
  <c r="I31" i="14695"/>
  <c r="G31" i="14695"/>
  <c r="C31" i="14695"/>
  <c r="D31" i="14695"/>
  <c r="E31" i="14695"/>
  <c r="J31" i="14695"/>
  <c r="K31" i="14695"/>
  <c r="J45" i="14648"/>
  <c r="G45" i="14648"/>
  <c r="N45" i="14648"/>
  <c r="D45" i="14648"/>
  <c r="F45" i="14648"/>
  <c r="K45" i="14648"/>
  <c r="M45" i="14648"/>
  <c r="C45" i="14648"/>
  <c r="L45" i="14648"/>
  <c r="I45" i="14648"/>
  <c r="H45" i="14648"/>
  <c r="E45" i="14648"/>
  <c r="E60" i="14648"/>
  <c r="D60" i="14648"/>
  <c r="N60" i="14648"/>
  <c r="F60" i="14648"/>
  <c r="I60" i="14648"/>
  <c r="M60" i="14648"/>
  <c r="G60" i="14648"/>
  <c r="L60" i="14648"/>
  <c r="H60" i="14648"/>
  <c r="J60" i="14648"/>
  <c r="K60" i="14648"/>
  <c r="C60" i="14648"/>
  <c r="B62" i="14665"/>
  <c r="C75" i="14665" s="1"/>
  <c r="D18" i="14647" s="1"/>
  <c r="B64" i="14665"/>
  <c r="E75" i="14665" s="1"/>
  <c r="F18" i="14647" s="1"/>
  <c r="B66" i="14665"/>
  <c r="G75" i="14665" s="1"/>
  <c r="H18" i="14647" s="1"/>
  <c r="B69" i="14665"/>
  <c r="J75" i="14665" s="1"/>
  <c r="B70" i="14665"/>
  <c r="K75" i="14665" s="1"/>
  <c r="B61" i="14665"/>
  <c r="B63" i="14665"/>
  <c r="D75" i="14665" s="1"/>
  <c r="E18" i="14647" s="1"/>
  <c r="B67" i="14665"/>
  <c r="H75" i="14665" s="1"/>
  <c r="B71" i="14665"/>
  <c r="L75" i="14665" s="1"/>
  <c r="B72" i="14665"/>
  <c r="B65" i="14665"/>
  <c r="F75" i="14665" s="1"/>
  <c r="G18" i="14647" s="1"/>
  <c r="B68" i="14665"/>
  <c r="I75" i="14665" s="1"/>
  <c r="E53" i="14692"/>
  <c r="G53" i="14692"/>
  <c r="L53" i="14692"/>
  <c r="D53" i="14692"/>
  <c r="J53" i="14692"/>
  <c r="B53" i="14692"/>
  <c r="K53" i="14692"/>
  <c r="M53" i="14692"/>
  <c r="F53" i="14692"/>
  <c r="I53" i="14692"/>
  <c r="C53" i="14692"/>
  <c r="H53" i="14692"/>
  <c r="C17" i="11"/>
  <c r="D17" i="11" s="1"/>
  <c r="D18" i="11"/>
  <c r="G18" i="14626" s="1"/>
  <c r="G17" i="14626" s="1"/>
  <c r="O20" i="14641"/>
  <c r="E32" i="14648"/>
  <c r="H32" i="14648"/>
  <c r="C32" i="14648"/>
  <c r="D32" i="14648"/>
  <c r="L32" i="14648"/>
  <c r="N32" i="14648"/>
  <c r="G32" i="14648"/>
  <c r="I32" i="14648"/>
  <c r="J32" i="14648"/>
  <c r="M32" i="14648"/>
  <c r="K32" i="14648"/>
  <c r="F32" i="14648"/>
  <c r="D52" i="14695"/>
  <c r="K52" i="14695"/>
  <c r="I52" i="14695"/>
  <c r="E52" i="14695"/>
  <c r="M52" i="14695"/>
  <c r="L52" i="14695"/>
  <c r="F52" i="14695"/>
  <c r="G52" i="14695"/>
  <c r="J52" i="14695"/>
  <c r="H52" i="14695"/>
  <c r="B52" i="14695"/>
  <c r="C52" i="14695"/>
  <c r="I22" i="14692"/>
  <c r="J22" i="14692"/>
  <c r="F22" i="14692"/>
  <c r="B22" i="14692"/>
  <c r="H22" i="14692"/>
  <c r="M22" i="14692"/>
  <c r="K22" i="14692"/>
  <c r="L22" i="14692"/>
  <c r="G22" i="14692"/>
  <c r="D22" i="14692"/>
  <c r="C22" i="14692"/>
  <c r="E22" i="14692"/>
  <c r="H45" i="14692"/>
  <c r="J45" i="14692"/>
  <c r="L45" i="14692"/>
  <c r="K45" i="14692"/>
  <c r="G45" i="14692"/>
  <c r="F45" i="14692"/>
  <c r="B45" i="14692"/>
  <c r="E45" i="14692"/>
  <c r="C45" i="14692"/>
  <c r="I45" i="14692"/>
  <c r="M45" i="14692"/>
  <c r="D45" i="14692"/>
  <c r="E47" i="14648"/>
  <c r="G47" i="14648"/>
  <c r="K47" i="14648"/>
  <c r="M47" i="14648"/>
  <c r="L47" i="14648"/>
  <c r="C47" i="14648"/>
  <c r="I47" i="14648"/>
  <c r="H47" i="14648"/>
  <c r="F47" i="14648"/>
  <c r="J47" i="14648"/>
  <c r="D47" i="14648"/>
  <c r="N47" i="14648"/>
  <c r="M15" i="14617"/>
  <c r="O20" i="14676"/>
  <c r="F13" i="14682"/>
  <c r="J15" i="14648"/>
  <c r="L15" i="14648"/>
  <c r="I15" i="14648"/>
  <c r="N15" i="14648"/>
  <c r="H15" i="14648"/>
  <c r="M15" i="14648"/>
  <c r="D15" i="14648"/>
  <c r="K15" i="14648"/>
  <c r="G15" i="14648"/>
  <c r="E15" i="14648"/>
  <c r="F15" i="14648"/>
  <c r="C15" i="14648"/>
  <c r="D30" i="14648"/>
  <c r="E30" i="14648"/>
  <c r="F30" i="14648"/>
  <c r="J30" i="14648"/>
  <c r="K30" i="14648"/>
  <c r="L30" i="14648"/>
  <c r="G30" i="14648"/>
  <c r="M30" i="14648"/>
  <c r="C30" i="14648"/>
  <c r="N30" i="14648"/>
  <c r="I30" i="14648"/>
  <c r="H30" i="14648"/>
  <c r="F21" i="14682"/>
  <c r="F22" i="14682"/>
  <c r="M38" i="14695"/>
  <c r="I38" i="14695"/>
  <c r="F38" i="14695"/>
  <c r="C38" i="14695"/>
  <c r="H38" i="14695"/>
  <c r="D38" i="14695"/>
  <c r="G38" i="14695"/>
  <c r="E38" i="14695"/>
  <c r="J38" i="14695"/>
  <c r="L38" i="14695"/>
  <c r="B38" i="14695"/>
  <c r="K38" i="14695"/>
  <c r="K45" i="14695"/>
  <c r="G45" i="14695"/>
  <c r="I45" i="14695"/>
  <c r="J45" i="14695"/>
  <c r="B45" i="14695"/>
  <c r="M45" i="14695"/>
  <c r="H45" i="14695"/>
  <c r="L45" i="14695"/>
  <c r="D45" i="14695"/>
  <c r="C45" i="14695"/>
  <c r="E45" i="14695"/>
  <c r="F45" i="14695"/>
  <c r="C77" i="14648"/>
  <c r="L77" i="14648"/>
  <c r="J77" i="14648"/>
  <c r="N77" i="14648"/>
  <c r="G77" i="14648"/>
  <c r="D77" i="14648"/>
  <c r="I77" i="14648"/>
  <c r="F77" i="14648"/>
  <c r="E77" i="14648"/>
  <c r="K77" i="14648"/>
  <c r="H77" i="14648"/>
  <c r="M77" i="14648"/>
  <c r="D38" i="14667"/>
  <c r="D33" i="14667" s="1"/>
  <c r="G22" i="14626"/>
  <c r="D32" i="14706"/>
  <c r="D37" i="14706" s="1"/>
  <c r="O20" i="14677"/>
  <c r="K29" i="14692"/>
  <c r="H29" i="14692"/>
  <c r="L29" i="14692"/>
  <c r="M29" i="14692"/>
  <c r="I29" i="14692"/>
  <c r="F29" i="14692"/>
  <c r="J29" i="14692"/>
  <c r="E29" i="14692"/>
  <c r="G29" i="14692"/>
  <c r="C29" i="14692"/>
  <c r="B29" i="14692"/>
  <c r="D29" i="14692"/>
  <c r="G75" i="14648"/>
  <c r="D75" i="14648"/>
  <c r="H75" i="14648"/>
  <c r="K75" i="14648"/>
  <c r="I75" i="14648"/>
  <c r="E75" i="14648"/>
  <c r="F75" i="14648"/>
  <c r="L75" i="14648"/>
  <c r="J75" i="14648"/>
  <c r="N75" i="14648"/>
  <c r="M75" i="14648"/>
  <c r="C75" i="14648"/>
  <c r="F18" i="14682"/>
  <c r="L17" i="14648"/>
  <c r="D17" i="14648"/>
  <c r="M17" i="14648"/>
  <c r="H17" i="14648"/>
  <c r="F17" i="14648"/>
  <c r="E17" i="14648"/>
  <c r="K17" i="14648"/>
  <c r="C17" i="14648"/>
  <c r="G17" i="14648"/>
  <c r="I17" i="14648"/>
  <c r="N17" i="14648"/>
  <c r="J17" i="14648"/>
  <c r="J62" i="14648"/>
  <c r="H62" i="14648"/>
  <c r="F62" i="14648"/>
  <c r="G62" i="14648"/>
  <c r="C62" i="14648"/>
  <c r="D62" i="14648"/>
  <c r="N62" i="14648"/>
  <c r="E62" i="14648"/>
  <c r="I62" i="14648"/>
  <c r="K62" i="14648"/>
  <c r="L62" i="14648"/>
  <c r="M62" i="14648"/>
  <c r="F61" i="14692"/>
  <c r="H61" i="14692"/>
  <c r="J61" i="14692"/>
  <c r="B61" i="14692"/>
  <c r="E61" i="14692"/>
  <c r="D61" i="14692"/>
  <c r="G61" i="14692"/>
  <c r="M61" i="14692"/>
  <c r="C61" i="14692"/>
  <c r="L61" i="14692"/>
  <c r="K61" i="14692"/>
  <c r="I61" i="14692"/>
  <c r="C37" i="14692"/>
  <c r="B37" i="14692"/>
  <c r="F37" i="14692"/>
  <c r="L37" i="14692"/>
  <c r="K37" i="14692"/>
  <c r="E37" i="14692"/>
  <c r="M37" i="14692"/>
  <c r="I37" i="14692"/>
  <c r="D37" i="14692"/>
  <c r="J37" i="14692"/>
  <c r="H37" i="14692"/>
  <c r="G37" i="14692"/>
  <c r="O20" i="14625"/>
  <c r="O20" i="14633"/>
  <c r="L59" i="14695"/>
  <c r="G59" i="14695"/>
  <c r="E59" i="14695"/>
  <c r="F59" i="14695"/>
  <c r="I59" i="14695"/>
  <c r="J59" i="14695"/>
  <c r="D59" i="14695"/>
  <c r="K59" i="14695"/>
  <c r="B59" i="14695"/>
  <c r="H59" i="14695"/>
  <c r="M59" i="14695"/>
  <c r="C59" i="14695"/>
  <c r="F47" i="14643"/>
  <c r="F42" i="14643"/>
  <c r="F41" i="14643"/>
  <c r="F46" i="14643"/>
  <c r="F44" i="14643"/>
  <c r="F40" i="14643"/>
  <c r="F45" i="14643"/>
  <c r="F43" i="14643"/>
  <c r="K33" i="14648"/>
  <c r="D33" i="14648"/>
  <c r="J33" i="14648"/>
  <c r="E33" i="14648"/>
  <c r="M33" i="14648"/>
  <c r="G33" i="14648"/>
  <c r="H33" i="14648"/>
  <c r="I33" i="14648"/>
  <c r="N33" i="14648"/>
  <c r="F33" i="14648"/>
  <c r="L33" i="14648"/>
  <c r="C33" i="14648"/>
  <c r="J7" i="14641"/>
  <c r="K7" i="14641"/>
  <c r="I7" i="14641"/>
  <c r="L7" i="14641"/>
  <c r="F7" i="14641"/>
  <c r="C7" i="14641"/>
  <c r="G7" i="14641"/>
  <c r="E7" i="14641"/>
  <c r="D7" i="14641"/>
  <c r="H7" i="14641"/>
  <c r="M7" i="14641"/>
  <c r="N7" i="14641"/>
  <c r="N31" i="14645"/>
  <c r="B32" i="14645"/>
  <c r="E6" i="14617"/>
  <c r="E5" i="14617"/>
  <c r="E7" i="14617"/>
  <c r="G26" i="14622"/>
  <c r="G28" i="14622" s="1"/>
  <c r="B13" i="14706"/>
  <c r="B15" i="14667"/>
  <c r="I11" i="14622"/>
  <c r="B27" i="14655"/>
  <c r="D6" i="14633"/>
  <c r="F6" i="14633"/>
  <c r="M6" i="14633"/>
  <c r="K6" i="14633"/>
  <c r="J6" i="14633"/>
  <c r="I6" i="14633"/>
  <c r="C6" i="14633"/>
  <c r="E6" i="14633"/>
  <c r="N6" i="14633"/>
  <c r="H6" i="14633"/>
  <c r="L6" i="14633"/>
  <c r="G6" i="14633"/>
  <c r="E13" i="14683" l="1"/>
  <c r="E8" i="14683"/>
  <c r="F11" i="14704"/>
  <c r="J11" i="14704"/>
  <c r="E13" i="14704"/>
  <c r="E9" i="14683"/>
  <c r="H12" i="14704"/>
  <c r="E6" i="14683"/>
  <c r="E7" i="14683"/>
  <c r="E12" i="14683"/>
  <c r="I9" i="14704"/>
  <c r="L9" i="14704"/>
  <c r="N12" i="14700"/>
  <c r="G14" i="14704"/>
  <c r="J12" i="14704"/>
  <c r="D13" i="14704"/>
  <c r="L8" i="14704"/>
  <c r="M13" i="14704"/>
  <c r="G8" i="14704"/>
  <c r="I11" i="14704"/>
  <c r="D15" i="14704"/>
  <c r="E8" i="14704"/>
  <c r="K12" i="14704"/>
  <c r="D14" i="14704"/>
  <c r="F9" i="14704"/>
  <c r="G13" i="14704"/>
  <c r="F10" i="14704"/>
  <c r="M10" i="14704"/>
  <c r="D12" i="14704"/>
  <c r="M15" i="14704"/>
  <c r="C14" i="14704"/>
  <c r="H8" i="14704"/>
  <c r="E11" i="14704"/>
  <c r="M14" i="14704"/>
  <c r="B8" i="14704"/>
  <c r="K25" i="14637"/>
  <c r="K27" i="14681" s="1"/>
  <c r="C8" i="14704"/>
  <c r="C10" i="14704"/>
  <c r="K11" i="14704"/>
  <c r="G9" i="14704"/>
  <c r="C12" i="14704"/>
  <c r="J9" i="14704"/>
  <c r="G25" i="14637"/>
  <c r="G27" i="14681" s="1"/>
  <c r="N15" i="14700"/>
  <c r="C11" i="14704"/>
  <c r="L12" i="14704"/>
  <c r="J8" i="14704"/>
  <c r="I15" i="14704"/>
  <c r="G12" i="14704"/>
  <c r="K13" i="14704"/>
  <c r="D9" i="14704"/>
  <c r="L11" i="14704"/>
  <c r="G15" i="14704"/>
  <c r="D8" i="14704"/>
  <c r="B9" i="14704"/>
  <c r="H11" i="14704"/>
  <c r="N8" i="14700"/>
  <c r="K15" i="14704"/>
  <c r="B10" i="14704"/>
  <c r="F14" i="14704"/>
  <c r="J10" i="14704"/>
  <c r="C9" i="14704"/>
  <c r="I10" i="14704"/>
  <c r="I12" i="14704"/>
  <c r="B13" i="14704"/>
  <c r="K8" i="14704"/>
  <c r="N24" i="14637"/>
  <c r="N11" i="14700"/>
  <c r="N13" i="14700"/>
  <c r="N14" i="14700"/>
  <c r="B25" i="14637"/>
  <c r="B27" i="14681" s="1"/>
  <c r="F25" i="14637"/>
  <c r="F27" i="14681" s="1"/>
  <c r="N23" i="14637"/>
  <c r="H25" i="14637"/>
  <c r="H27" i="14681" s="1"/>
  <c r="M25" i="14637"/>
  <c r="M27" i="14681" s="1"/>
  <c r="N10" i="14700"/>
  <c r="N9" i="14700"/>
  <c r="E25" i="14637"/>
  <c r="E27" i="14681" s="1"/>
  <c r="B7" i="14638" a="1"/>
  <c r="D10" i="14638" s="1"/>
  <c r="N18" i="14637"/>
  <c r="N22" i="14637"/>
  <c r="N21" i="14637"/>
  <c r="N19" i="14637"/>
  <c r="N20" i="14637"/>
  <c r="L25" i="14637"/>
  <c r="L27" i="14681" s="1"/>
  <c r="C25" i="14637"/>
  <c r="C27" i="14681" s="1"/>
  <c r="B11" i="14704"/>
  <c r="F12" i="14704"/>
  <c r="E14" i="14704"/>
  <c r="H15" i="14704"/>
  <c r="C13" i="14704"/>
  <c r="J14" i="14704"/>
  <c r="M9" i="14704"/>
  <c r="G11" i="14704"/>
  <c r="D25" i="14637"/>
  <c r="D27" i="14681" s="1"/>
  <c r="J25" i="14637"/>
  <c r="J27" i="14681" s="1"/>
  <c r="I8" i="14704"/>
  <c r="K10" i="14704"/>
  <c r="B12" i="14704"/>
  <c r="H14" i="14704"/>
  <c r="I13" i="14704"/>
  <c r="I14" i="14704"/>
  <c r="J13" i="14704"/>
  <c r="E9" i="14704"/>
  <c r="F15" i="14704"/>
  <c r="J15" i="14704"/>
  <c r="L15" i="14704"/>
  <c r="K9" i="14704"/>
  <c r="M12" i="14704"/>
  <c r="E15" i="14704"/>
  <c r="D11" i="14704"/>
  <c r="C31" i="14639" a="1"/>
  <c r="M34" i="14639" s="1"/>
  <c r="B20" i="14700" a="1"/>
  <c r="C22" i="14700" s="1"/>
  <c r="N17" i="14637"/>
  <c r="B15" i="14704"/>
  <c r="D10" i="14704"/>
  <c r="H10" i="14704"/>
  <c r="K14" i="14704"/>
  <c r="E10" i="14704"/>
  <c r="L13" i="14704"/>
  <c r="H13" i="14704"/>
  <c r="L10" i="14704"/>
  <c r="I25" i="14637"/>
  <c r="I27" i="14681" s="1"/>
  <c r="N11" i="14669"/>
  <c r="C15" i="14704"/>
  <c r="F8" i="14704"/>
  <c r="H9" i="14704"/>
  <c r="M11" i="14704"/>
  <c r="B14" i="14704"/>
  <c r="E12" i="14704"/>
  <c r="G10" i="14704"/>
  <c r="M8" i="14704"/>
  <c r="G6" i="14683" a="1"/>
  <c r="J10" i="14701"/>
  <c r="G8" i="14701"/>
  <c r="M10" i="14701"/>
  <c r="K12" i="14701"/>
  <c r="B10" i="14701"/>
  <c r="B9" i="14701"/>
  <c r="K11" i="14701"/>
  <c r="B11" i="14701"/>
  <c r="G10" i="14701"/>
  <c r="I8" i="14701"/>
  <c r="L15" i="14701"/>
  <c r="G11" i="14701"/>
  <c r="L11" i="14701"/>
  <c r="H8" i="14701"/>
  <c r="J8" i="14701"/>
  <c r="L10" i="14701"/>
  <c r="D10" i="14701"/>
  <c r="B15" i="14701"/>
  <c r="C13" i="14701"/>
  <c r="J14" i="14701"/>
  <c r="I14" i="14701"/>
  <c r="B8" i="14701"/>
  <c r="C14" i="14701"/>
  <c r="K13" i="14701"/>
  <c r="G12" i="14701"/>
  <c r="K10" i="14701"/>
  <c r="L9" i="14701"/>
  <c r="E8" i="14701"/>
  <c r="I10" i="14701"/>
  <c r="I9" i="14701"/>
  <c r="K14" i="14701"/>
  <c r="M15" i="14701"/>
  <c r="D15" i="14701"/>
  <c r="H12" i="14701"/>
  <c r="G14" i="14701"/>
  <c r="D8" i="14701"/>
  <c r="C10" i="14701"/>
  <c r="E15" i="14701"/>
  <c r="B12" i="14701"/>
  <c r="L13" i="14701"/>
  <c r="C8" i="14701"/>
  <c r="G15" i="14701"/>
  <c r="E12" i="14701"/>
  <c r="F14" i="14701"/>
  <c r="H9" i="14701"/>
  <c r="L14" i="14701"/>
  <c r="E13" i="14701"/>
  <c r="J13" i="14701"/>
  <c r="I12" i="14701"/>
  <c r="M8" i="14701"/>
  <c r="C12" i="14701"/>
  <c r="I15" i="14701"/>
  <c r="E11" i="14701"/>
  <c r="F10" i="14701"/>
  <c r="M11" i="14701"/>
  <c r="F15" i="14701"/>
  <c r="H10" i="14701"/>
  <c r="H11" i="14701"/>
  <c r="F12" i="14701"/>
  <c r="K9" i="14701"/>
  <c r="J9" i="14701"/>
  <c r="H14" i="14701"/>
  <c r="C9" i="14701"/>
  <c r="B14" i="14701"/>
  <c r="I11" i="14701"/>
  <c r="B13" i="14701"/>
  <c r="M12" i="14701"/>
  <c r="J12" i="14701"/>
  <c r="M14" i="14701"/>
  <c r="D12" i="14701"/>
  <c r="L12" i="14701"/>
  <c r="E14" i="14701"/>
  <c r="H13" i="14701"/>
  <c r="D14" i="14701"/>
  <c r="K15" i="14701"/>
  <c r="L8" i="14701"/>
  <c r="M9" i="14701"/>
  <c r="I13" i="14701"/>
  <c r="F11" i="14701"/>
  <c r="D11" i="14701"/>
  <c r="G9" i="14701"/>
  <c r="D13" i="14701"/>
  <c r="J15" i="14701"/>
  <c r="M13" i="14701"/>
  <c r="F8" i="14701"/>
  <c r="D9" i="14701"/>
  <c r="E9" i="14701"/>
  <c r="H15" i="14701"/>
  <c r="C15" i="14701"/>
  <c r="J11" i="14701"/>
  <c r="F9" i="14701"/>
  <c r="K8" i="14701"/>
  <c r="C11" i="14701"/>
  <c r="E10" i="14701"/>
  <c r="F13" i="14701"/>
  <c r="G13" i="14701"/>
  <c r="N10" i="14669"/>
  <c r="N7" i="14669"/>
  <c r="N9" i="14669"/>
  <c r="N5" i="14669"/>
  <c r="B8" i="14702" a="1"/>
  <c r="N6" i="14669"/>
  <c r="N8" i="14669"/>
  <c r="N12" i="14669"/>
  <c r="F13" i="14704"/>
  <c r="E11" i="14634"/>
  <c r="D11" i="14634"/>
  <c r="I11" i="14634"/>
  <c r="G11" i="14634"/>
  <c r="N11" i="14634"/>
  <c r="L11" i="14634"/>
  <c r="C11" i="14634"/>
  <c r="J11" i="14634"/>
  <c r="H11" i="14634"/>
  <c r="O11" i="14634"/>
  <c r="K11" i="14634"/>
  <c r="F11" i="14634"/>
  <c r="N56" i="14694"/>
  <c r="N40" i="14694"/>
  <c r="N48" i="14694"/>
  <c r="N32" i="14694"/>
  <c r="N63" i="14694"/>
  <c r="N24" i="14694"/>
  <c r="I46" i="14643"/>
  <c r="I44" i="14643"/>
  <c r="O75" i="14648"/>
  <c r="N29" i="14692"/>
  <c r="F23" i="14682"/>
  <c r="L17" i="14668"/>
  <c r="C19" i="14668"/>
  <c r="M23" i="14668"/>
  <c r="D18" i="14668"/>
  <c r="D17" i="14668"/>
  <c r="J23" i="14668"/>
  <c r="F20" i="14668"/>
  <c r="L18" i="14668"/>
  <c r="I19" i="14668"/>
  <c r="H18" i="14668"/>
  <c r="G22" i="14668"/>
  <c r="L23" i="14668"/>
  <c r="J24" i="14668"/>
  <c r="I20" i="14668"/>
  <c r="L24" i="14668"/>
  <c r="C20" i="14668"/>
  <c r="G21" i="14668"/>
  <c r="G17" i="14668"/>
  <c r="C17" i="14668"/>
  <c r="J21" i="14668"/>
  <c r="L22" i="14668"/>
  <c r="J19" i="14668"/>
  <c r="I17" i="14668"/>
  <c r="I21" i="14668"/>
  <c r="C23" i="14668"/>
  <c r="E20" i="14668"/>
  <c r="M22" i="14668"/>
  <c r="D22" i="14668"/>
  <c r="F24" i="14668"/>
  <c r="K21" i="14668"/>
  <c r="M21" i="14668"/>
  <c r="B18" i="14668"/>
  <c r="D21" i="14668"/>
  <c r="G24" i="14668"/>
  <c r="B20" i="14668"/>
  <c r="C21" i="14668"/>
  <c r="B24" i="14668"/>
  <c r="L19" i="14668"/>
  <c r="K23" i="14668"/>
  <c r="M18" i="14668"/>
  <c r="H21" i="14668"/>
  <c r="F21" i="14668"/>
  <c r="E17" i="14668"/>
  <c r="D24" i="14668"/>
  <c r="M17" i="14668"/>
  <c r="G19" i="14668"/>
  <c r="H20" i="14668"/>
  <c r="K19" i="14668"/>
  <c r="H22" i="14668"/>
  <c r="K20" i="14668"/>
  <c r="M24" i="14668"/>
  <c r="C22" i="14668"/>
  <c r="B21" i="14668"/>
  <c r="J17" i="14668"/>
  <c r="F23" i="14668"/>
  <c r="F22" i="14668"/>
  <c r="E22" i="14668"/>
  <c r="B23" i="14668"/>
  <c r="E24" i="14668"/>
  <c r="H24" i="14668"/>
  <c r="B22" i="14668"/>
  <c r="G23" i="14668"/>
  <c r="G20" i="14668"/>
  <c r="D20" i="14668"/>
  <c r="H17" i="14668"/>
  <c r="I22" i="14668"/>
  <c r="M19" i="14668"/>
  <c r="E21" i="14668"/>
  <c r="C18" i="14668"/>
  <c r="L21" i="14668"/>
  <c r="F19" i="14668"/>
  <c r="I24" i="14668"/>
  <c r="E23" i="14668"/>
  <c r="H19" i="14668"/>
  <c r="J18" i="14668"/>
  <c r="K18" i="14668"/>
  <c r="E18" i="14668"/>
  <c r="J22" i="14668"/>
  <c r="B19" i="14668"/>
  <c r="D23" i="14668"/>
  <c r="K22" i="14668"/>
  <c r="H23" i="14668"/>
  <c r="C24" i="14668"/>
  <c r="K24" i="14668"/>
  <c r="E19" i="14668"/>
  <c r="I18" i="14668"/>
  <c r="L20" i="14668"/>
  <c r="M20" i="14668"/>
  <c r="G18" i="14668"/>
  <c r="I23" i="14668"/>
  <c r="D19" i="14668"/>
  <c r="J20" i="14668"/>
  <c r="B17" i="14668"/>
  <c r="F17" i="14668"/>
  <c r="F18" i="14668"/>
  <c r="K17" i="14668"/>
  <c r="J7" i="14652"/>
  <c r="J11" i="14652"/>
  <c r="J10" i="14652"/>
  <c r="J8" i="14652"/>
  <c r="J9" i="14652"/>
  <c r="J13" i="14652"/>
  <c r="J14" i="14652"/>
  <c r="J12" i="14652"/>
  <c r="G36" i="14652"/>
  <c r="G39" i="14652"/>
  <c r="G38" i="14652"/>
  <c r="G35" i="14652"/>
  <c r="G40" i="14652"/>
  <c r="G37" i="14652"/>
  <c r="G33" i="14652"/>
  <c r="G34" i="14652"/>
  <c r="H33" i="14652"/>
  <c r="H38" i="14652"/>
  <c r="H35" i="14652"/>
  <c r="H37" i="14652"/>
  <c r="H34" i="14652"/>
  <c r="H39" i="14652"/>
  <c r="H36" i="14652"/>
  <c r="H40" i="14652"/>
  <c r="F3" i="14667"/>
  <c r="H3" i="14706"/>
  <c r="H3" i="14667"/>
  <c r="F3" i="14706"/>
  <c r="I42" i="14643"/>
  <c r="R104" i="14703"/>
  <c r="I41" i="14643"/>
  <c r="I53" i="14643"/>
  <c r="B233" i="14703" a="1"/>
  <c r="J233" i="14703" s="1"/>
  <c r="I43" i="14643"/>
  <c r="B197" i="14703" a="1"/>
  <c r="R197" i="14703" s="1"/>
  <c r="H48" i="14643"/>
  <c r="D20" i="14643" s="1"/>
  <c r="I47" i="14643"/>
  <c r="I40" i="14643"/>
  <c r="I45" i="14643"/>
  <c r="P104" i="14703"/>
  <c r="F61" i="14643"/>
  <c r="Q104" i="14703"/>
  <c r="B47" i="14703" a="1"/>
  <c r="C47" i="14703" s="1"/>
  <c r="U104" i="14703"/>
  <c r="B53" i="14703" a="1"/>
  <c r="L53" i="14703" s="1"/>
  <c r="B125" i="14703" a="1"/>
  <c r="V125" i="14703" s="1"/>
  <c r="V104" i="14703"/>
  <c r="B52" i="14703" a="1"/>
  <c r="K52" i="14703" s="1"/>
  <c r="S104" i="14703"/>
  <c r="D37" i="14683"/>
  <c r="B51" i="14703" a="1"/>
  <c r="K51" i="14703" s="1"/>
  <c r="B251" i="14703" a="1"/>
  <c r="G251" i="14703" s="1"/>
  <c r="B143" i="14703" a="1"/>
  <c r="D143" i="14703" s="1"/>
  <c r="H53" i="14643" a="1"/>
  <c r="H57" i="14643" s="1"/>
  <c r="W104" i="14703"/>
  <c r="I56" i="14643"/>
  <c r="B46" i="14703" a="1"/>
  <c r="E46" i="14703" s="1"/>
  <c r="H40" i="14643" a="1"/>
  <c r="H45" i="14643" s="1"/>
  <c r="B50" i="14703" a="1"/>
  <c r="H50" i="14703" s="1"/>
  <c r="B48" i="14703" a="1"/>
  <c r="E48" i="14703" s="1"/>
  <c r="Y104" i="14703"/>
  <c r="X104" i="14703"/>
  <c r="B57" i="14683"/>
  <c r="B179" i="14703" a="1"/>
  <c r="J179" i="14703" s="1"/>
  <c r="C57" i="14683"/>
  <c r="T104" i="14703"/>
  <c r="B215" i="14703" a="1"/>
  <c r="V215" i="14703" s="1"/>
  <c r="N21" i="14625"/>
  <c r="C21" i="14625"/>
  <c r="I59" i="14643"/>
  <c r="I54" i="14643"/>
  <c r="I57" i="14643"/>
  <c r="I58" i="14643"/>
  <c r="I60" i="14643"/>
  <c r="B49" i="14703" a="1"/>
  <c r="E49" i="14703" s="1"/>
  <c r="B161" i="14703" a="1"/>
  <c r="J161" i="14703" s="1"/>
  <c r="I55" i="14643"/>
  <c r="D40" i="14683"/>
  <c r="D38" i="14683"/>
  <c r="D34" i="14683"/>
  <c r="D41" i="14683"/>
  <c r="D42" i="14683"/>
  <c r="D36" i="14683"/>
  <c r="D39" i="14683"/>
  <c r="E21" i="14625"/>
  <c r="C22" i="11"/>
  <c r="C16" i="11" s="1"/>
  <c r="D21" i="14625"/>
  <c r="D30" i="14706"/>
  <c r="D26" i="14706" s="1"/>
  <c r="M21" i="14625"/>
  <c r="G24" i="14626"/>
  <c r="G21" i="14626" s="1"/>
  <c r="G16" i="14626" s="1"/>
  <c r="D40" i="14667"/>
  <c r="D37" i="14667" s="1"/>
  <c r="J21" i="14625"/>
  <c r="H21" i="14625"/>
  <c r="L21" i="14625"/>
  <c r="G21" i="14625"/>
  <c r="F21" i="14625"/>
  <c r="K21" i="14625"/>
  <c r="I21" i="14625"/>
  <c r="D26" i="11"/>
  <c r="N59" i="14695"/>
  <c r="N37" i="14692"/>
  <c r="N61" i="14692"/>
  <c r="O62" i="14648"/>
  <c r="N45" i="14695"/>
  <c r="C17" i="14676" a="1"/>
  <c r="C8" i="14674" a="1"/>
  <c r="N38" i="14695"/>
  <c r="C17" i="14641" a="1"/>
  <c r="C8" i="14639" a="1"/>
  <c r="O30" i="14648"/>
  <c r="B25" i="14682" a="1"/>
  <c r="O47" i="14648"/>
  <c r="J3" i="14706"/>
  <c r="N5" i="14653"/>
  <c r="C33" i="14686"/>
  <c r="A3" i="14626"/>
  <c r="B6" i="14659"/>
  <c r="B30" i="14659" s="1"/>
  <c r="E3" i="14705"/>
  <c r="B77" i="14665"/>
  <c r="N45" i="14692"/>
  <c r="N53" i="14692"/>
  <c r="N31" i="14695"/>
  <c r="C8" i="14634" a="1"/>
  <c r="C17" i="14633" a="1"/>
  <c r="O17" i="14648"/>
  <c r="F37" i="14706"/>
  <c r="D34" i="14706"/>
  <c r="D32" i="14667"/>
  <c r="F33" i="14667"/>
  <c r="O77" i="14648"/>
  <c r="O15" i="14648"/>
  <c r="O15" i="14617"/>
  <c r="N22" i="14692"/>
  <c r="N52" i="14695"/>
  <c r="C8" i="14675" a="1"/>
  <c r="C17" i="14677" a="1"/>
  <c r="O32" i="14648"/>
  <c r="C15" i="14665"/>
  <c r="M75" i="14665"/>
  <c r="B75" i="14665"/>
  <c r="B15" i="14665"/>
  <c r="O60" i="14648"/>
  <c r="O45" i="14648"/>
  <c r="N24" i="14695"/>
  <c r="C17" i="14625" a="1"/>
  <c r="C8" i="14628" a="1"/>
  <c r="O33" i="14648"/>
  <c r="B50" i="14667"/>
  <c r="C50" i="14667" s="1"/>
  <c r="O6" i="14633"/>
  <c r="L27" i="14655"/>
  <c r="K27" i="14655"/>
  <c r="J27" i="14655"/>
  <c r="E27" i="14655"/>
  <c r="I27" i="14655"/>
  <c r="M27" i="14655"/>
  <c r="H27" i="14655"/>
  <c r="P27" i="14655"/>
  <c r="G27" i="14655"/>
  <c r="F27" i="14655"/>
  <c r="O27" i="14655"/>
  <c r="N27" i="14655"/>
  <c r="D13" i="14706"/>
  <c r="D15" i="14667"/>
  <c r="C21" i="14626"/>
  <c r="B6" i="14706"/>
  <c r="B22" i="14667"/>
  <c r="O7" i="14641"/>
  <c r="B51" i="14706"/>
  <c r="C51" i="14706" s="1"/>
  <c r="F48" i="14643"/>
  <c r="L7" i="14638" l="1"/>
  <c r="I11" i="14638"/>
  <c r="I8" i="14638"/>
  <c r="D8" i="14638"/>
  <c r="D14" i="14638"/>
  <c r="C12" i="14638"/>
  <c r="L14" i="14638"/>
  <c r="M9" i="14638"/>
  <c r="M8" i="14638"/>
  <c r="I13" i="14638"/>
  <c r="C10" i="14638"/>
  <c r="C11" i="14638"/>
  <c r="B11" i="14638"/>
  <c r="I9" i="14638"/>
  <c r="C14" i="14638"/>
  <c r="F6" i="14683" a="1"/>
  <c r="F7" i="14683" s="1"/>
  <c r="K8" i="14638"/>
  <c r="M12" i="14638"/>
  <c r="L13" i="14638"/>
  <c r="F9" i="14638"/>
  <c r="I7" i="14638"/>
  <c r="G7" i="14638"/>
  <c r="J12" i="14638"/>
  <c r="B9" i="14638"/>
  <c r="G9" i="14638"/>
  <c r="L10" i="14638"/>
  <c r="F7" i="14638"/>
  <c r="G11" i="14638"/>
  <c r="M10" i="14638"/>
  <c r="E12" i="14638"/>
  <c r="J14" i="14638"/>
  <c r="H7" i="14638"/>
  <c r="D11" i="14638"/>
  <c r="K11" i="14638"/>
  <c r="L12" i="14638"/>
  <c r="I14" i="14638"/>
  <c r="B8" i="14638"/>
  <c r="F8" i="14638"/>
  <c r="B10" i="14638"/>
  <c r="C7" i="14638"/>
  <c r="J7" i="14638"/>
  <c r="C13" i="14638"/>
  <c r="H11" i="14638"/>
  <c r="F10" i="14638"/>
  <c r="E13" i="14638"/>
  <c r="H14" i="14638"/>
  <c r="H12" i="14638"/>
  <c r="H9" i="14638"/>
  <c r="G10" i="14638"/>
  <c r="I12" i="14638"/>
  <c r="J13" i="14638"/>
  <c r="F14" i="14638"/>
  <c r="E10" i="14638"/>
  <c r="F13" i="14638"/>
  <c r="G8" i="14638"/>
  <c r="M11" i="14638"/>
  <c r="E14" i="14638"/>
  <c r="H13" i="14638"/>
  <c r="G12" i="14638"/>
  <c r="F11" i="14638"/>
  <c r="L9" i="14638"/>
  <c r="M14" i="14638"/>
  <c r="J10" i="14638"/>
  <c r="K9" i="14638"/>
  <c r="H8" i="14638"/>
  <c r="L8" i="14638"/>
  <c r="M7" i="14638"/>
  <c r="K13" i="14638"/>
  <c r="K12" i="14638"/>
  <c r="B12" i="14638"/>
  <c r="B13" i="14638"/>
  <c r="H10" i="14638"/>
  <c r="E9" i="14638"/>
  <c r="K10" i="14638"/>
  <c r="C9" i="14638"/>
  <c r="D12" i="14638"/>
  <c r="I35" i="14639"/>
  <c r="L33" i="14639"/>
  <c r="J35" i="14639"/>
  <c r="M31" i="14639"/>
  <c r="J34" i="14639"/>
  <c r="H38" i="14639"/>
  <c r="I10" i="14638"/>
  <c r="L11" i="14638"/>
  <c r="B7" i="14638"/>
  <c r="D9" i="14638"/>
  <c r="E11" i="14638"/>
  <c r="M13" i="14638"/>
  <c r="J36" i="14639"/>
  <c r="E36" i="14639"/>
  <c r="L37" i="14639"/>
  <c r="L38" i="14639"/>
  <c r="K14" i="14638"/>
  <c r="F12" i="14638"/>
  <c r="J11" i="14638"/>
  <c r="J9" i="14638"/>
  <c r="D13" i="14638"/>
  <c r="E8" i="14638"/>
  <c r="C8" i="14638"/>
  <c r="I32" i="14639"/>
  <c r="E7" i="14638"/>
  <c r="D7" i="14638"/>
  <c r="G14" i="14638"/>
  <c r="B14" i="14638"/>
  <c r="G13" i="14638"/>
  <c r="J8" i="14638"/>
  <c r="K7" i="14638"/>
  <c r="H33" i="14639"/>
  <c r="C66" i="14643" a="1"/>
  <c r="C69" i="14643" s="1"/>
  <c r="B32" i="14637" a="1"/>
  <c r="L33" i="14637" s="1"/>
  <c r="E19" i="14683" a="1"/>
  <c r="E26" i="14683" s="1"/>
  <c r="N14" i="14704"/>
  <c r="N11" i="14704"/>
  <c r="B24" i="14700"/>
  <c r="M20" i="14700"/>
  <c r="I24" i="14700"/>
  <c r="N31" i="14639"/>
  <c r="D33" i="14639"/>
  <c r="L31" i="14639"/>
  <c r="I23" i="14700"/>
  <c r="D23" i="14700"/>
  <c r="B22" i="14700"/>
  <c r="G23" i="14700"/>
  <c r="D32" i="14639"/>
  <c r="G33" i="14639"/>
  <c r="I31" i="14639"/>
  <c r="C37" i="14639"/>
  <c r="E37" i="14639"/>
  <c r="H35" i="14639"/>
  <c r="C34" i="14639"/>
  <c r="G34" i="14639"/>
  <c r="N36" i="14639"/>
  <c r="E23" i="14700"/>
  <c r="E25" i="14700"/>
  <c r="H21" i="14700"/>
  <c r="J22" i="14700"/>
  <c r="F21" i="14700"/>
  <c r="D21" i="14700"/>
  <c r="C24" i="14700"/>
  <c r="E22" i="14700"/>
  <c r="H34" i="14639"/>
  <c r="C35" i="14639"/>
  <c r="E38" i="14639"/>
  <c r="K32" i="14639"/>
  <c r="M32" i="14639"/>
  <c r="K36" i="14639"/>
  <c r="D36" i="14639"/>
  <c r="J38" i="14639"/>
  <c r="B26" i="14700"/>
  <c r="F22" i="14700"/>
  <c r="L22" i="14700"/>
  <c r="D27" i="14700"/>
  <c r="H25" i="14700"/>
  <c r="E26" i="14700"/>
  <c r="C25" i="14700"/>
  <c r="D24" i="14700"/>
  <c r="N12" i="14704"/>
  <c r="H22" i="14700"/>
  <c r="L34" i="14639"/>
  <c r="B25" i="14700"/>
  <c r="F38" i="14639"/>
  <c r="F31" i="14639"/>
  <c r="N32" i="14639"/>
  <c r="H32" i="14639"/>
  <c r="M36" i="14639"/>
  <c r="K31" i="14639"/>
  <c r="I33" i="14639"/>
  <c r="K34" i="14639"/>
  <c r="H27" i="14700"/>
  <c r="E27" i="14700"/>
  <c r="K26" i="14700"/>
  <c r="L24" i="14700"/>
  <c r="B23" i="14700"/>
  <c r="H24" i="14700"/>
  <c r="J26" i="14700"/>
  <c r="F25" i="14700"/>
  <c r="N9" i="14704"/>
  <c r="J25" i="14700"/>
  <c r="C31" i="14639"/>
  <c r="J21" i="14700"/>
  <c r="H31" i="14639"/>
  <c r="M38" i="14639"/>
  <c r="I38" i="14639"/>
  <c r="I36" i="14639"/>
  <c r="G36" i="14639"/>
  <c r="D20" i="14700"/>
  <c r="F32" i="14639"/>
  <c r="J31" i="14639"/>
  <c r="M35" i="14639"/>
  <c r="D35" i="14639"/>
  <c r="D37" i="14639"/>
  <c r="J33" i="14639"/>
  <c r="N33" i="14639"/>
  <c r="G38" i="14639"/>
  <c r="L25" i="14700"/>
  <c r="B20" i="14700"/>
  <c r="I20" i="14700"/>
  <c r="K23" i="14700"/>
  <c r="M24" i="14700"/>
  <c r="F24" i="14700"/>
  <c r="I22" i="14700"/>
  <c r="H20" i="14700"/>
  <c r="N10" i="14704"/>
  <c r="N15" i="14704"/>
  <c r="F33" i="14639"/>
  <c r="J32" i="14639"/>
  <c r="H36" i="14639"/>
  <c r="D34" i="14639"/>
  <c r="H37" i="14639"/>
  <c r="F34" i="14639"/>
  <c r="C33" i="14639"/>
  <c r="D31" i="14639"/>
  <c r="I25" i="14700"/>
  <c r="H26" i="14700"/>
  <c r="C21" i="14700"/>
  <c r="M23" i="14700"/>
  <c r="K21" i="14700"/>
  <c r="E21" i="14700"/>
  <c r="K27" i="14700"/>
  <c r="J20" i="14700"/>
  <c r="B27" i="14700"/>
  <c r="I34" i="14639"/>
  <c r="K24" i="14700"/>
  <c r="G27" i="14700"/>
  <c r="E20" i="14700"/>
  <c r="M21" i="14700"/>
  <c r="G20" i="14700"/>
  <c r="J23" i="14700"/>
  <c r="K38" i="14639"/>
  <c r="D38" i="14639"/>
  <c r="C32" i="14639"/>
  <c r="C36" i="14639"/>
  <c r="N34" i="14639"/>
  <c r="C38" i="14639"/>
  <c r="M33" i="14639"/>
  <c r="F35" i="14639"/>
  <c r="L26" i="14700"/>
  <c r="G22" i="14700"/>
  <c r="C23" i="14700"/>
  <c r="I27" i="14700"/>
  <c r="M25" i="14700"/>
  <c r="H23" i="14700"/>
  <c r="G21" i="14700"/>
  <c r="D25" i="14700"/>
  <c r="J27" i="14700"/>
  <c r="K20" i="14700"/>
  <c r="N38" i="14639"/>
  <c r="E33" i="14639"/>
  <c r="E34" i="14639"/>
  <c r="G37" i="14639"/>
  <c r="L36" i="14639"/>
  <c r="K37" i="14639"/>
  <c r="N37" i="14639"/>
  <c r="G31" i="14639"/>
  <c r="K22" i="14700"/>
  <c r="C20" i="14700"/>
  <c r="M22" i="14700"/>
  <c r="F27" i="14700"/>
  <c r="L23" i="14700"/>
  <c r="G25" i="14700"/>
  <c r="M27" i="14700"/>
  <c r="L27" i="14700"/>
  <c r="M26" i="14700"/>
  <c r="E35" i="14639"/>
  <c r="L35" i="14639"/>
  <c r="F37" i="14639"/>
  <c r="L32" i="14639"/>
  <c r="N35" i="14639"/>
  <c r="K33" i="14639"/>
  <c r="J37" i="14639"/>
  <c r="K35" i="14639"/>
  <c r="K25" i="14700"/>
  <c r="D26" i="14700"/>
  <c r="F23" i="14700"/>
  <c r="C26" i="14700"/>
  <c r="L20" i="14700"/>
  <c r="I21" i="14700"/>
  <c r="F26" i="14700"/>
  <c r="F20" i="14700"/>
  <c r="L21" i="14700"/>
  <c r="B21" i="14700"/>
  <c r="E31" i="14639"/>
  <c r="I37" i="14639"/>
  <c r="G32" i="14639"/>
  <c r="E32" i="14639"/>
  <c r="G35" i="14639"/>
  <c r="M37" i="14639"/>
  <c r="F36" i="14639"/>
  <c r="C27" i="14700"/>
  <c r="D22" i="14700"/>
  <c r="G24" i="14700"/>
  <c r="G26" i="14700"/>
  <c r="J24" i="14700"/>
  <c r="E24" i="14700"/>
  <c r="I26" i="14700"/>
  <c r="N8" i="14704"/>
  <c r="B20" i="14704" a="1"/>
  <c r="K27" i="14704" s="1"/>
  <c r="B5" i="14640" a="1"/>
  <c r="B5" i="14640" s="1"/>
  <c r="N25" i="14637"/>
  <c r="E9" i="14657" s="1"/>
  <c r="E11" i="14657" s="1"/>
  <c r="N27" i="14681"/>
  <c r="E23" i="14657" s="1"/>
  <c r="N8" i="14701"/>
  <c r="B20" i="14701" a="1"/>
  <c r="N11" i="14701"/>
  <c r="N13" i="14704"/>
  <c r="N13" i="14701"/>
  <c r="N15" i="14701"/>
  <c r="N9" i="14701"/>
  <c r="M8" i="14702"/>
  <c r="I14" i="14702"/>
  <c r="J14" i="14702"/>
  <c r="K13" i="14702"/>
  <c r="J8" i="14702"/>
  <c r="H9" i="14702"/>
  <c r="G13" i="14702"/>
  <c r="L8" i="14702"/>
  <c r="C15" i="14702"/>
  <c r="C13" i="14702"/>
  <c r="E15" i="14702"/>
  <c r="G8" i="14702"/>
  <c r="G9" i="14702"/>
  <c r="J15" i="14702"/>
  <c r="I13" i="14702"/>
  <c r="D15" i="14702"/>
  <c r="I9" i="14702"/>
  <c r="C9" i="14702"/>
  <c r="I11" i="14702"/>
  <c r="H10" i="14702"/>
  <c r="H11" i="14702"/>
  <c r="M12" i="14702"/>
  <c r="M9" i="14702"/>
  <c r="B11" i="14702"/>
  <c r="I8" i="14702"/>
  <c r="C12" i="14702"/>
  <c r="M10" i="14702"/>
  <c r="L10" i="14702"/>
  <c r="B10" i="14702"/>
  <c r="J10" i="14702"/>
  <c r="B13" i="14702"/>
  <c r="D8" i="14702"/>
  <c r="C10" i="14702"/>
  <c r="L11" i="14702"/>
  <c r="K14" i="14702"/>
  <c r="B15" i="14702"/>
  <c r="F14" i="14702"/>
  <c r="G15" i="14702"/>
  <c r="B12" i="14702"/>
  <c r="B8" i="14702"/>
  <c r="I12" i="14702"/>
  <c r="M13" i="14702"/>
  <c r="E10" i="14702"/>
  <c r="E11" i="14702"/>
  <c r="E12" i="14702"/>
  <c r="D11" i="14702"/>
  <c r="M15" i="14702"/>
  <c r="D13" i="14702"/>
  <c r="E13" i="14702"/>
  <c r="F11" i="14702"/>
  <c r="G12" i="14702"/>
  <c r="D10" i="14702"/>
  <c r="G10" i="14702"/>
  <c r="E9" i="14702"/>
  <c r="L13" i="14702"/>
  <c r="L9" i="14702"/>
  <c r="E14" i="14702"/>
  <c r="H14" i="14702"/>
  <c r="H15" i="14702"/>
  <c r="D14" i="14702"/>
  <c r="E8" i="14702"/>
  <c r="K15" i="14702"/>
  <c r="H13" i="14702"/>
  <c r="K8" i="14702"/>
  <c r="J12" i="14702"/>
  <c r="B14" i="14702"/>
  <c r="M11" i="14702"/>
  <c r="J11" i="14702"/>
  <c r="F8" i="14702"/>
  <c r="C14" i="14702"/>
  <c r="K11" i="14702"/>
  <c r="F13" i="14702"/>
  <c r="F10" i="14702"/>
  <c r="G14" i="14702"/>
  <c r="K10" i="14702"/>
  <c r="F15" i="14702"/>
  <c r="K12" i="14702"/>
  <c r="J13" i="14702"/>
  <c r="J9" i="14702"/>
  <c r="I10" i="14702"/>
  <c r="K9" i="14702"/>
  <c r="H8" i="14702"/>
  <c r="I15" i="14702"/>
  <c r="F9" i="14702"/>
  <c r="M14" i="14702"/>
  <c r="C8" i="14702"/>
  <c r="B9" i="14702"/>
  <c r="H12" i="14702"/>
  <c r="L15" i="14702"/>
  <c r="D9" i="14702"/>
  <c r="G11" i="14702"/>
  <c r="D12" i="14702"/>
  <c r="L14" i="14702"/>
  <c r="L12" i="14702"/>
  <c r="F12" i="14702"/>
  <c r="C11" i="14702"/>
  <c r="N10" i="14701"/>
  <c r="I6" i="14683" a="1"/>
  <c r="N14" i="14701"/>
  <c r="N12" i="14701"/>
  <c r="G10" i="14683"/>
  <c r="G7" i="14683"/>
  <c r="G11" i="14683"/>
  <c r="G13" i="14683"/>
  <c r="G6" i="14683"/>
  <c r="G12" i="14683"/>
  <c r="G8" i="14683"/>
  <c r="G9" i="14683"/>
  <c r="Y251" i="14703"/>
  <c r="I143" i="14703"/>
  <c r="B35" i="14624" a="1"/>
  <c r="K25" i="14668"/>
  <c r="K36" i="14681" s="1"/>
  <c r="F25" i="14668"/>
  <c r="F36" i="14681" s="1"/>
  <c r="N23" i="14668"/>
  <c r="J25" i="14668"/>
  <c r="J36" i="14681" s="1"/>
  <c r="N18" i="14668"/>
  <c r="G25" i="14668"/>
  <c r="G36" i="14681" s="1"/>
  <c r="I33" i="14652" a="1"/>
  <c r="J33" i="14652" a="1"/>
  <c r="B17" i="14669" a="1"/>
  <c r="B25" i="14668"/>
  <c r="N17" i="14668"/>
  <c r="B7" i="14678" a="1"/>
  <c r="C31" i="14674" a="1"/>
  <c r="N19" i="14668"/>
  <c r="H25" i="14668"/>
  <c r="H36" i="14681" s="1"/>
  <c r="N22" i="14668"/>
  <c r="N21" i="14668"/>
  <c r="M25" i="14668"/>
  <c r="M36" i="14681" s="1"/>
  <c r="E25" i="14668"/>
  <c r="E36" i="14681" s="1"/>
  <c r="N24" i="14668"/>
  <c r="N20" i="14668"/>
  <c r="I25" i="14668"/>
  <c r="I36" i="14681" s="1"/>
  <c r="C25" i="14668"/>
  <c r="C36" i="14681" s="1"/>
  <c r="D25" i="14668"/>
  <c r="D36" i="14681" s="1"/>
  <c r="L25" i="14668"/>
  <c r="L36" i="14681" s="1"/>
  <c r="P233" i="14703"/>
  <c r="I233" i="14703"/>
  <c r="E233" i="14703"/>
  <c r="M197" i="14703"/>
  <c r="H197" i="14703"/>
  <c r="H233" i="14703"/>
  <c r="S233" i="14703"/>
  <c r="Q233" i="14703"/>
  <c r="V233" i="14703"/>
  <c r="Y233" i="14703"/>
  <c r="R233" i="14703"/>
  <c r="L233" i="14703"/>
  <c r="C233" i="14703"/>
  <c r="W233" i="14703"/>
  <c r="G233" i="14703"/>
  <c r="L52" i="14703"/>
  <c r="B233" i="14703"/>
  <c r="D233" i="14703"/>
  <c r="K233" i="14703"/>
  <c r="T233" i="14703"/>
  <c r="O233" i="14703"/>
  <c r="G51" i="14703"/>
  <c r="F233" i="14703"/>
  <c r="U233" i="14703"/>
  <c r="X233" i="14703"/>
  <c r="E51" i="14703"/>
  <c r="M233" i="14703"/>
  <c r="N233" i="14703"/>
  <c r="H53" i="14703"/>
  <c r="H251" i="14703"/>
  <c r="K251" i="14703"/>
  <c r="N197" i="14703"/>
  <c r="B48" i="14703"/>
  <c r="H49" i="14703"/>
  <c r="H52" i="14703"/>
  <c r="J197" i="14703"/>
  <c r="Q251" i="14703"/>
  <c r="F46" i="14703"/>
  <c r="H44" i="14643"/>
  <c r="I53" i="14703"/>
  <c r="H60" i="14643"/>
  <c r="N251" i="14703"/>
  <c r="U251" i="14703"/>
  <c r="K197" i="14703"/>
  <c r="C197" i="14703"/>
  <c r="Y197" i="14703"/>
  <c r="B53" i="14703"/>
  <c r="Q197" i="14703"/>
  <c r="B197" i="14703"/>
  <c r="R251" i="14703"/>
  <c r="C52" i="14703"/>
  <c r="G197" i="14703"/>
  <c r="V197" i="14703"/>
  <c r="C161" i="14703"/>
  <c r="M125" i="14703"/>
  <c r="H47" i="14643"/>
  <c r="H215" i="14703"/>
  <c r="M215" i="14703"/>
  <c r="T125" i="14703"/>
  <c r="H55" i="14643"/>
  <c r="C125" i="14703"/>
  <c r="I125" i="14703"/>
  <c r="Q179" i="14703"/>
  <c r="B51" i="14703"/>
  <c r="F215" i="14703"/>
  <c r="E50" i="14703"/>
  <c r="I179" i="14703"/>
  <c r="J51" i="14703"/>
  <c r="H51" i="14703"/>
  <c r="F51" i="14703"/>
  <c r="L51" i="14703"/>
  <c r="P215" i="14703"/>
  <c r="M51" i="14703"/>
  <c r="I51" i="14703"/>
  <c r="L50" i="14703"/>
  <c r="C51" i="14703"/>
  <c r="K125" i="14703"/>
  <c r="W125" i="14703"/>
  <c r="W179" i="14703"/>
  <c r="D51" i="14703"/>
  <c r="J215" i="14703"/>
  <c r="M50" i="14703"/>
  <c r="K179" i="14703"/>
  <c r="Y215" i="14703"/>
  <c r="C50" i="14703"/>
  <c r="I61" i="14643"/>
  <c r="I48" i="14643"/>
  <c r="P197" i="14703"/>
  <c r="U197" i="14703"/>
  <c r="I197" i="14703"/>
  <c r="E251" i="14703"/>
  <c r="Q143" i="14703"/>
  <c r="M47" i="14703"/>
  <c r="H161" i="14703"/>
  <c r="C143" i="14703"/>
  <c r="E47" i="14703"/>
  <c r="J251" i="14703"/>
  <c r="O251" i="14703"/>
  <c r="K53" i="14703"/>
  <c r="F52" i="14703"/>
  <c r="X197" i="14703"/>
  <c r="F197" i="14703"/>
  <c r="W197" i="14703"/>
  <c r="B251" i="14703"/>
  <c r="S161" i="14703"/>
  <c r="I49" i="14703"/>
  <c r="M53" i="14703"/>
  <c r="P251" i="14703"/>
  <c r="H47" i="14703"/>
  <c r="J52" i="14703"/>
  <c r="L197" i="14703"/>
  <c r="S197" i="14703"/>
  <c r="D197" i="14703"/>
  <c r="E197" i="14703"/>
  <c r="C251" i="14703"/>
  <c r="T197" i="14703"/>
  <c r="O197" i="14703"/>
  <c r="G161" i="14703"/>
  <c r="U161" i="14703"/>
  <c r="D22" i="11"/>
  <c r="L161" i="14703"/>
  <c r="R161" i="14703"/>
  <c r="I46" i="14703"/>
  <c r="L48" i="14703"/>
  <c r="C49" i="14703"/>
  <c r="F143" i="14703"/>
  <c r="E143" i="14703"/>
  <c r="E53" i="14703"/>
  <c r="L47" i="14703"/>
  <c r="D251" i="14703"/>
  <c r="S251" i="14703"/>
  <c r="S143" i="14703"/>
  <c r="G53" i="14703"/>
  <c r="B52" i="14703"/>
  <c r="W251" i="14703"/>
  <c r="F251" i="14703"/>
  <c r="C53" i="14703"/>
  <c r="B47" i="14703"/>
  <c r="T251" i="14703"/>
  <c r="I52" i="14703"/>
  <c r="D52" i="14703"/>
  <c r="L143" i="14703"/>
  <c r="I47" i="14703"/>
  <c r="F47" i="14703"/>
  <c r="R143" i="14703"/>
  <c r="G47" i="14703"/>
  <c r="U143" i="14703"/>
  <c r="D47" i="14703"/>
  <c r="X161" i="14703"/>
  <c r="V161" i="14703"/>
  <c r="D46" i="14703"/>
  <c r="H48" i="14703"/>
  <c r="O143" i="14703"/>
  <c r="J53" i="14703"/>
  <c r="K47" i="14703"/>
  <c r="I251" i="14703"/>
  <c r="V251" i="14703"/>
  <c r="L251" i="14703"/>
  <c r="B143" i="14703"/>
  <c r="D53" i="14703"/>
  <c r="J47" i="14703"/>
  <c r="M52" i="14703"/>
  <c r="X251" i="14703"/>
  <c r="M251" i="14703"/>
  <c r="Y143" i="14703"/>
  <c r="F53" i="14703"/>
  <c r="M143" i="14703"/>
  <c r="E52" i="14703"/>
  <c r="G52" i="14703"/>
  <c r="B179" i="14703"/>
  <c r="H53" i="14643"/>
  <c r="D215" i="14703"/>
  <c r="X215" i="14703"/>
  <c r="G179" i="14703"/>
  <c r="S179" i="14703"/>
  <c r="Y161" i="14703"/>
  <c r="O161" i="14703"/>
  <c r="E161" i="14703"/>
  <c r="P161" i="14703"/>
  <c r="I161" i="14703"/>
  <c r="J125" i="14703"/>
  <c r="H125" i="14703"/>
  <c r="Q125" i="14703"/>
  <c r="X125" i="14703"/>
  <c r="D125" i="14703"/>
  <c r="N125" i="14703"/>
  <c r="H42" i="14643"/>
  <c r="H40" i="14643"/>
  <c r="G143" i="14703"/>
  <c r="P143" i="14703"/>
  <c r="H143" i="14703"/>
  <c r="H59" i="14643"/>
  <c r="D179" i="14703"/>
  <c r="F179" i="14703"/>
  <c r="U179" i="14703"/>
  <c r="X143" i="14703"/>
  <c r="S215" i="14703"/>
  <c r="E215" i="14703"/>
  <c r="M179" i="14703"/>
  <c r="R179" i="14703"/>
  <c r="V143" i="14703"/>
  <c r="H56" i="14643"/>
  <c r="W143" i="14703"/>
  <c r="G215" i="14703"/>
  <c r="T215" i="14703"/>
  <c r="U215" i="14703"/>
  <c r="E125" i="14703"/>
  <c r="O125" i="14703"/>
  <c r="L125" i="14703"/>
  <c r="Y125" i="14703"/>
  <c r="G125" i="14703"/>
  <c r="F125" i="14703"/>
  <c r="H41" i="14643"/>
  <c r="H46" i="14643"/>
  <c r="N179" i="14703"/>
  <c r="Y179" i="14703"/>
  <c r="R215" i="14703"/>
  <c r="I215" i="14703"/>
  <c r="Q215" i="14703"/>
  <c r="C215" i="14703"/>
  <c r="K215" i="14703"/>
  <c r="E179" i="14703"/>
  <c r="N161" i="14703"/>
  <c r="B161" i="14703"/>
  <c r="K161" i="14703"/>
  <c r="W161" i="14703"/>
  <c r="S125" i="14703"/>
  <c r="R125" i="14703"/>
  <c r="B125" i="14703"/>
  <c r="U125" i="14703"/>
  <c r="P125" i="14703"/>
  <c r="H43" i="14643"/>
  <c r="J143" i="14703"/>
  <c r="N143" i="14703"/>
  <c r="T143" i="14703"/>
  <c r="H58" i="14643"/>
  <c r="C179" i="14703"/>
  <c r="V179" i="14703"/>
  <c r="H179" i="14703"/>
  <c r="K143" i="14703"/>
  <c r="W215" i="14703"/>
  <c r="N215" i="14703"/>
  <c r="O215" i="14703"/>
  <c r="P179" i="14703"/>
  <c r="L179" i="14703"/>
  <c r="X179" i="14703"/>
  <c r="H54" i="14643"/>
  <c r="T179" i="14703"/>
  <c r="L215" i="14703"/>
  <c r="O179" i="14703"/>
  <c r="B215" i="14703"/>
  <c r="D49" i="14683" a="1"/>
  <c r="D51" i="14683" s="1"/>
  <c r="F48" i="14703"/>
  <c r="D48" i="14703"/>
  <c r="K49" i="14703"/>
  <c r="J49" i="14703"/>
  <c r="K46" i="14703"/>
  <c r="L46" i="14703"/>
  <c r="B46" i="14703"/>
  <c r="C48" i="14703"/>
  <c r="K48" i="14703"/>
  <c r="I48" i="14703"/>
  <c r="L49" i="14703"/>
  <c r="M49" i="14703"/>
  <c r="F49" i="14703"/>
  <c r="J50" i="14703"/>
  <c r="D50" i="14703"/>
  <c r="O21" i="14625"/>
  <c r="F50" i="14703"/>
  <c r="G50" i="14703"/>
  <c r="B50" i="14703"/>
  <c r="J46" i="14703"/>
  <c r="G46" i="14703"/>
  <c r="H46" i="14703"/>
  <c r="M48" i="14703"/>
  <c r="B49" i="14703"/>
  <c r="C46" i="14703"/>
  <c r="M46" i="14703"/>
  <c r="G48" i="14703"/>
  <c r="J48" i="14703"/>
  <c r="D49" i="14703"/>
  <c r="G49" i="14703"/>
  <c r="I50" i="14703"/>
  <c r="K50" i="14703"/>
  <c r="T161" i="14703"/>
  <c r="Q161" i="14703"/>
  <c r="D161" i="14703"/>
  <c r="F161" i="14703"/>
  <c r="M161" i="14703"/>
  <c r="M17" i="14625"/>
  <c r="E17" i="14625"/>
  <c r="H17" i="14625"/>
  <c r="N17" i="14625"/>
  <c r="K17" i="14625"/>
  <c r="L17" i="14625"/>
  <c r="I17" i="14625"/>
  <c r="C17" i="14625"/>
  <c r="D17" i="14625"/>
  <c r="G17" i="14625"/>
  <c r="F17" i="14625"/>
  <c r="J17" i="14625"/>
  <c r="B31" i="14653" a="1"/>
  <c r="B70" i="14653" a="1"/>
  <c r="B71" i="14701" a="1"/>
  <c r="B44" i="14653" a="1"/>
  <c r="B57" i="14653" a="1"/>
  <c r="B7" i="14700" a="1"/>
  <c r="B7" i="14698" a="1"/>
  <c r="B7" i="14702" a="1"/>
  <c r="B4" i="14637" a="1"/>
  <c r="B62" i="14684" a="1"/>
  <c r="C28" i="14676" a="1"/>
  <c r="C4" i="14676" a="1"/>
  <c r="C28" i="14633" a="1"/>
  <c r="C4" i="14633" a="1"/>
  <c r="C104" i="14648" a="1"/>
  <c r="C99" i="14648" a="1"/>
  <c r="C84" i="14648" a="1"/>
  <c r="C66" i="14648" a="1"/>
  <c r="C21" i="14648" a="1"/>
  <c r="C6" i="14648" a="1"/>
  <c r="C4" i="14675" a="1"/>
  <c r="C30" i="14674" a="1"/>
  <c r="C30" i="14639" a="1"/>
  <c r="C18" i="14639" a="1"/>
  <c r="C18" i="14634" a="1"/>
  <c r="C4" i="14634" a="1"/>
  <c r="C4" i="14628" a="1"/>
  <c r="B32" i="14673" a="1"/>
  <c r="B32" i="14636" a="1"/>
  <c r="B4" i="14636" a="1"/>
  <c r="B32" i="14624" a="1"/>
  <c r="B44" i="14681" a="1"/>
  <c r="B35" i="14681" a="1"/>
  <c r="B8" i="14681" a="1"/>
  <c r="B34" i="14679" a="1"/>
  <c r="B34" i="14638" a="1"/>
  <c r="B4" i="14671" a="1"/>
  <c r="B4" i="14670" a="1"/>
  <c r="B4" i="8" a="1"/>
  <c r="B45" i="14704" a="1"/>
  <c r="B31" i="14704" a="1"/>
  <c r="B45" i="14702" a="1"/>
  <c r="B31" i="14702" a="1"/>
  <c r="B58" i="14701" a="1"/>
  <c r="B45" i="14701" a="1"/>
  <c r="B31" i="14701" a="1"/>
  <c r="B45" i="14700" a="1"/>
  <c r="B19" i="14700" a="1"/>
  <c r="B45" i="14698" a="1"/>
  <c r="B19" i="14698" a="1"/>
  <c r="B45" i="14703" a="1"/>
  <c r="B19" i="14703" a="1"/>
  <c r="B16" i="14669" a="1"/>
  <c r="B16" i="14668" a="1"/>
  <c r="B16" i="14637" a="1"/>
  <c r="B16" i="14630" a="1"/>
  <c r="B16" i="7" a="1"/>
  <c r="C84" i="14687" a="1"/>
  <c r="C65" i="14687" a="1"/>
  <c r="C46" i="14687" a="1"/>
  <c r="C27" i="14687" a="1"/>
  <c r="C8" i="14687" a="1"/>
  <c r="B71" i="14700" a="1"/>
  <c r="B7" i="14703" a="1"/>
  <c r="B4" i="14668" a="1"/>
  <c r="B7" i="14701" a="1"/>
  <c r="E5" i="14655" a="1"/>
  <c r="B6" i="14623" a="1"/>
  <c r="B71" i="14698" a="1"/>
  <c r="B71" i="14702" a="1"/>
  <c r="B6" i="14678" a="1"/>
  <c r="B4" i="7" a="1"/>
  <c r="C4" i="14677" a="1"/>
  <c r="C28" i="14641" a="1"/>
  <c r="C4" i="14625" a="1"/>
  <c r="C94" i="14648" a="1"/>
  <c r="C36" i="14648" a="1"/>
  <c r="C30" i="14675" a="1"/>
  <c r="C4" i="14674" a="1"/>
  <c r="C4" i="14639" a="1"/>
  <c r="C18" i="14628" a="1"/>
  <c r="B4" i="14673" a="1"/>
  <c r="B4" i="14672" a="1"/>
  <c r="B32" i="14629" a="1"/>
  <c r="B4" i="14624" a="1"/>
  <c r="B26" i="14681" a="1"/>
  <c r="B34" i="14632" a="1"/>
  <c r="B4" i="14631" a="1"/>
  <c r="B58" i="14702" a="1"/>
  <c r="B19" i="14702" a="1"/>
  <c r="B58" i="14700" a="1"/>
  <c r="B58" i="14698" a="1"/>
  <c r="B58" i="14703" a="1"/>
  <c r="B31" i="14669" a="1"/>
  <c r="B31" i="14637" a="1"/>
  <c r="B31" i="7" a="1"/>
  <c r="C76" i="14687" a="1"/>
  <c r="C38" i="14687" a="1"/>
  <c r="B18" i="14653" a="1"/>
  <c r="B6" i="14632" a="1"/>
  <c r="B52" i="14665" a="1"/>
  <c r="B6" i="14679" a="1"/>
  <c r="B5" i="14653" a="1"/>
  <c r="B71" i="14703" a="1"/>
  <c r="B4" i="14669" a="1"/>
  <c r="C28" i="14625" a="1"/>
  <c r="C89" i="14648" a="1"/>
  <c r="C18" i="14674" a="1"/>
  <c r="C30" i="14634" a="1"/>
  <c r="B34" i="14678" a="1"/>
  <c r="B4" i="14640" a="1"/>
  <c r="B19" i="14704" a="1"/>
  <c r="B31" i="14700" a="1"/>
  <c r="B31" i="14703" a="1"/>
  <c r="B31" i="14630" a="1"/>
  <c r="C57" i="14687" a="1"/>
  <c r="C18" i="14647"/>
  <c r="C66" i="14647" s="1" a="1"/>
  <c r="B7" i="14704" a="1"/>
  <c r="C4" i="14641" a="1"/>
  <c r="C51" i="14648" a="1"/>
  <c r="B32" i="14672" a="1"/>
  <c r="B17" i="14681" a="1"/>
  <c r="B58" i="14704" a="1"/>
  <c r="B19" i="14701" a="1"/>
  <c r="B31" i="14668" a="1"/>
  <c r="C19" i="14687" a="1"/>
  <c r="B4" i="14630" a="1"/>
  <c r="B71" i="14704" a="1"/>
  <c r="C30" i="14628" a="1"/>
  <c r="B34" i="14623" a="1"/>
  <c r="B31" i="14698" a="1"/>
  <c r="B6" i="14638" a="1"/>
  <c r="C28" i="14677" a="1"/>
  <c r="C18" i="14675" a="1"/>
  <c r="B4" i="14629" a="1"/>
  <c r="C95" i="14687" a="1"/>
  <c r="L17" i="14677"/>
  <c r="M17" i="14677"/>
  <c r="F17" i="14677"/>
  <c r="E17" i="14677"/>
  <c r="K17" i="14677"/>
  <c r="N17" i="14677"/>
  <c r="C17" i="14677"/>
  <c r="I17" i="14677"/>
  <c r="H17" i="14677"/>
  <c r="J17" i="14677"/>
  <c r="D17" i="14677"/>
  <c r="G17" i="14677"/>
  <c r="H33" i="14667"/>
  <c r="F32" i="14667"/>
  <c r="G17" i="14633"/>
  <c r="L17" i="14633"/>
  <c r="E17" i="14633"/>
  <c r="D17" i="14633"/>
  <c r="K17" i="14633"/>
  <c r="F17" i="14633"/>
  <c r="C17" i="14633"/>
  <c r="M17" i="14633"/>
  <c r="I17" i="14633"/>
  <c r="J17" i="14633"/>
  <c r="H17" i="14633"/>
  <c r="N17" i="14633"/>
  <c r="A19" i="14694"/>
  <c r="B6" i="14652"/>
  <c r="K1" i="14703"/>
  <c r="C5" i="14645"/>
  <c r="A20" i="14692"/>
  <c r="C30" i="14690"/>
  <c r="D5" i="14690"/>
  <c r="E7" i="14681"/>
  <c r="I1" i="8"/>
  <c r="B4" i="14683"/>
  <c r="E1" i="14624"/>
  <c r="F1" i="14625"/>
  <c r="A4" i="14647"/>
  <c r="C38" i="14643"/>
  <c r="E1" i="14623"/>
  <c r="A19" i="14695"/>
  <c r="F1" i="14628"/>
  <c r="E1" i="7"/>
  <c r="D28" i="7" s="1"/>
  <c r="E5" i="14707"/>
  <c r="E6" i="14687"/>
  <c r="B4" i="14617"/>
  <c r="A36" i="14617" s="1"/>
  <c r="E4" i="14653"/>
  <c r="C56" i="14690"/>
  <c r="A52" i="14647"/>
  <c r="L3" i="14706"/>
  <c r="F25" i="14682"/>
  <c r="C25" i="14682"/>
  <c r="E25" i="14682"/>
  <c r="D25" i="14682"/>
  <c r="B25" i="14682"/>
  <c r="K8" i="14639"/>
  <c r="M8" i="14639"/>
  <c r="N8" i="14639"/>
  <c r="H8" i="14639"/>
  <c r="D8" i="14639"/>
  <c r="C8" i="14639"/>
  <c r="F8" i="14639"/>
  <c r="E8" i="14639"/>
  <c r="J8" i="14639"/>
  <c r="I8" i="14639"/>
  <c r="L8" i="14639"/>
  <c r="G8" i="14639"/>
  <c r="D17" i="14676"/>
  <c r="H17" i="14676"/>
  <c r="L17" i="14676"/>
  <c r="F17" i="14676"/>
  <c r="N17" i="14676"/>
  <c r="M17" i="14676"/>
  <c r="E17" i="14676"/>
  <c r="C17" i="14676"/>
  <c r="K17" i="14676"/>
  <c r="J17" i="14676"/>
  <c r="G17" i="14676"/>
  <c r="I17" i="14676"/>
  <c r="D8" i="14628"/>
  <c r="G8" i="14628"/>
  <c r="F8" i="14628"/>
  <c r="J8" i="14628"/>
  <c r="C8" i="14628"/>
  <c r="M8" i="14628"/>
  <c r="E8" i="14628"/>
  <c r="K8" i="14628"/>
  <c r="I8" i="14628"/>
  <c r="H8" i="14628"/>
  <c r="N8" i="14628"/>
  <c r="L8" i="14628"/>
  <c r="I8" i="14675"/>
  <c r="D8" i="14675"/>
  <c r="H8" i="14675"/>
  <c r="G8" i="14675"/>
  <c r="J8" i="14675"/>
  <c r="C8" i="14675"/>
  <c r="M8" i="14675"/>
  <c r="E8" i="14675"/>
  <c r="L8" i="14675"/>
  <c r="F8" i="14675"/>
  <c r="K8" i="14675"/>
  <c r="N8" i="14675"/>
  <c r="H37" i="14706"/>
  <c r="F34" i="14706"/>
  <c r="G8" i="14634"/>
  <c r="M8" i="14634"/>
  <c r="L8" i="14634"/>
  <c r="H8" i="14634"/>
  <c r="N8" i="14634"/>
  <c r="I8" i="14634"/>
  <c r="E8" i="14634"/>
  <c r="J8" i="14634"/>
  <c r="D8" i="14634"/>
  <c r="K8" i="14634"/>
  <c r="C8" i="14634"/>
  <c r="F8" i="14634"/>
  <c r="C19" i="4129"/>
  <c r="D6" i="14659"/>
  <c r="D30" i="14659" s="1"/>
  <c r="Q18" i="14623"/>
  <c r="N18" i="14653"/>
  <c r="E17" i="14641"/>
  <c r="J17" i="14641"/>
  <c r="I17" i="14641"/>
  <c r="F17" i="14641"/>
  <c r="L17" i="14641"/>
  <c r="G17" i="14641"/>
  <c r="C17" i="14641"/>
  <c r="K17" i="14641"/>
  <c r="M17" i="14641"/>
  <c r="H17" i="14641"/>
  <c r="D17" i="14641"/>
  <c r="N17" i="14641"/>
  <c r="D8" i="14674"/>
  <c r="K8" i="14674"/>
  <c r="J8" i="14674"/>
  <c r="G8" i="14674"/>
  <c r="M8" i="14674"/>
  <c r="I8" i="14674"/>
  <c r="E8" i="14674"/>
  <c r="H8" i="14674"/>
  <c r="F8" i="14674"/>
  <c r="L8" i="14674"/>
  <c r="N8" i="14674"/>
  <c r="C8" i="14674"/>
  <c r="D45" i="14667"/>
  <c r="D50" i="14667"/>
  <c r="F15" i="14667"/>
  <c r="O28" i="14655"/>
  <c r="G28" i="14655"/>
  <c r="H28" i="14655"/>
  <c r="I28" i="14655"/>
  <c r="J28" i="14655"/>
  <c r="L28" i="14655"/>
  <c r="B13" i="14667"/>
  <c r="C17" i="14649"/>
  <c r="B25" i="14649" s="1"/>
  <c r="D16" i="11"/>
  <c r="D46" i="14706"/>
  <c r="B5" i="14706"/>
  <c r="D51" i="14706"/>
  <c r="F13" i="14706"/>
  <c r="N28" i="14655"/>
  <c r="F28" i="14655"/>
  <c r="P28" i="14655"/>
  <c r="M28" i="14655"/>
  <c r="E28" i="14655"/>
  <c r="Q27" i="14655"/>
  <c r="K28" i="14655"/>
  <c r="F9" i="14683" l="1"/>
  <c r="F13" i="14683"/>
  <c r="F10" i="14683"/>
  <c r="F12" i="14683"/>
  <c r="F8" i="14683"/>
  <c r="F6" i="14683"/>
  <c r="F11" i="14683"/>
  <c r="O26" i="14638" a="1"/>
  <c r="O26" i="14638" s="1"/>
  <c r="E5" i="14640"/>
  <c r="D21" i="14638" a="1"/>
  <c r="D21" i="14638" s="1"/>
  <c r="N22" i="14638" a="1"/>
  <c r="N22" i="14638" s="1"/>
  <c r="F5" i="14640"/>
  <c r="I26" i="14638" a="1"/>
  <c r="I26" i="14638" s="1"/>
  <c r="S26" i="14638" a="1"/>
  <c r="S26" i="14638" s="1"/>
  <c r="G26" i="14678" s="1"/>
  <c r="F23" i="14638" a="1"/>
  <c r="F23" i="14638" s="1"/>
  <c r="I36" i="14637"/>
  <c r="D37" i="14637"/>
  <c r="M32" i="14637"/>
  <c r="N21" i="14638" a="1"/>
  <c r="N21" i="14638" s="1"/>
  <c r="I32" i="14637"/>
  <c r="R25" i="14638" a="1"/>
  <c r="R25" i="14638" s="1"/>
  <c r="M20" i="14638" a="1"/>
  <c r="M20" i="14638" s="1"/>
  <c r="O22" i="14638" a="1"/>
  <c r="O22" i="14638" s="1"/>
  <c r="M15" i="14638"/>
  <c r="O23" i="14638" a="1"/>
  <c r="O23" i="14638" s="1"/>
  <c r="K23" i="14704"/>
  <c r="C5" i="14640"/>
  <c r="P23" i="14638" a="1"/>
  <c r="P23" i="14638" s="1"/>
  <c r="Q24" i="14638" a="1"/>
  <c r="Q24" i="14638" s="1"/>
  <c r="L26" i="14704"/>
  <c r="H25" i="14704"/>
  <c r="P26" i="14638" a="1"/>
  <c r="P26" i="14638" s="1"/>
  <c r="L26" i="14638" a="1"/>
  <c r="L26" i="14638" s="1"/>
  <c r="N26" i="14638" a="1"/>
  <c r="N26" i="14638" s="1"/>
  <c r="J21" i="14638" a="1"/>
  <c r="J21" i="14638" s="1"/>
  <c r="Q26" i="14638" a="1"/>
  <c r="Q26" i="14638" s="1"/>
  <c r="I22" i="14638" a="1"/>
  <c r="I22" i="14638" s="1"/>
  <c r="K22" i="14704"/>
  <c r="I22" i="14704"/>
  <c r="K22" i="14638" a="1"/>
  <c r="K22" i="14638" s="1"/>
  <c r="L22" i="14638" a="1"/>
  <c r="L22" i="14638" s="1"/>
  <c r="N12" i="14638"/>
  <c r="M25" i="14638" a="1"/>
  <c r="M25" i="14638" s="1"/>
  <c r="O25" i="14638" a="1"/>
  <c r="O25" i="14638" s="1"/>
  <c r="L5" i="14640"/>
  <c r="K5" i="14640"/>
  <c r="L23" i="14638" a="1"/>
  <c r="L23" i="14638" s="1"/>
  <c r="Q25" i="14638" a="1"/>
  <c r="Q25" i="14638" s="1"/>
  <c r="G21" i="14638" a="1"/>
  <c r="G21" i="14638" s="1"/>
  <c r="N13" i="14638"/>
  <c r="N9" i="14638"/>
  <c r="K23" i="14638" a="1"/>
  <c r="K23" i="14638" s="1"/>
  <c r="I20" i="14638" a="1"/>
  <c r="I20" i="14638" s="1"/>
  <c r="H20" i="14638" a="1"/>
  <c r="H20" i="14638" s="1"/>
  <c r="K21" i="14638" a="1"/>
  <c r="K21" i="14638" s="1"/>
  <c r="G5" i="14640"/>
  <c r="I15" i="14638"/>
  <c r="N24" i="14638" a="1"/>
  <c r="N24" i="14638" s="1"/>
  <c r="F15" i="14638"/>
  <c r="H15" i="14638"/>
  <c r="I5" i="14640"/>
  <c r="H5" i="14640"/>
  <c r="N25" i="14638" a="1"/>
  <c r="N25" i="14638" s="1"/>
  <c r="M23" i="14638" a="1"/>
  <c r="M23" i="14638" s="1"/>
  <c r="P25" i="14638" a="1"/>
  <c r="P25" i="14638" s="1"/>
  <c r="J24" i="14638" a="1"/>
  <c r="J24" i="14638" s="1"/>
  <c r="I21" i="14638" a="1"/>
  <c r="I21" i="14638" s="1"/>
  <c r="J5" i="14640"/>
  <c r="L15" i="14638"/>
  <c r="J15" i="14638"/>
  <c r="M22" i="14638" a="1"/>
  <c r="M22" i="14638" s="1"/>
  <c r="H22" i="14638" a="1"/>
  <c r="H22" i="14638" s="1"/>
  <c r="J22" i="14638" a="1"/>
  <c r="J22" i="14638" s="1"/>
  <c r="J20" i="14638" a="1"/>
  <c r="J20" i="14638" s="1"/>
  <c r="M21" i="14638" a="1"/>
  <c r="M21" i="14638" s="1"/>
  <c r="L24" i="14638" a="1"/>
  <c r="L24" i="14638" s="1"/>
  <c r="D5" i="14640"/>
  <c r="L20" i="14638" a="1"/>
  <c r="L20" i="14638" s="1"/>
  <c r="K25" i="14638" a="1"/>
  <c r="K25" i="14638" s="1"/>
  <c r="R26" i="14638" a="1"/>
  <c r="R26" i="14638" s="1"/>
  <c r="M24" i="14638" a="1"/>
  <c r="M24" i="14638" s="1"/>
  <c r="M5" i="14640"/>
  <c r="I23" i="14638" a="1"/>
  <c r="I23" i="14638" s="1"/>
  <c r="P24" i="14638" a="1"/>
  <c r="P24" i="14638" s="1"/>
  <c r="F20" i="14638" a="1"/>
  <c r="F20" i="14638" s="1"/>
  <c r="J25" i="14638" a="1"/>
  <c r="J25" i="14638" s="1"/>
  <c r="D15" i="14638"/>
  <c r="O24" i="14638" a="1"/>
  <c r="O24" i="14638" s="1"/>
  <c r="K36" i="14637"/>
  <c r="K35" i="14637"/>
  <c r="L35" i="14637"/>
  <c r="C37" i="14637"/>
  <c r="F36" i="14637"/>
  <c r="E15" i="14638"/>
  <c r="B34" i="14637"/>
  <c r="E32" i="14637"/>
  <c r="K34" i="14637"/>
  <c r="I38" i="14637"/>
  <c r="J37" i="14637"/>
  <c r="G36" i="14637"/>
  <c r="L37" i="14637"/>
  <c r="H34" i="14637"/>
  <c r="K15" i="14638"/>
  <c r="H39" i="14637"/>
  <c r="F32" i="14637"/>
  <c r="E39" i="14637"/>
  <c r="K20" i="14638" a="1"/>
  <c r="K20" i="14638" s="1"/>
  <c r="D36" i="14637"/>
  <c r="C35" i="14637"/>
  <c r="J39" i="14637"/>
  <c r="M35" i="14637"/>
  <c r="J35" i="14637"/>
  <c r="E36" i="14637"/>
  <c r="K32" i="14637"/>
  <c r="M33" i="14637"/>
  <c r="L21" i="14638" a="1"/>
  <c r="L21" i="14638" s="1"/>
  <c r="J21" i="14704"/>
  <c r="L36" i="14637"/>
  <c r="L32" i="14637"/>
  <c r="D32" i="14637"/>
  <c r="F34" i="14637"/>
  <c r="D33" i="14637"/>
  <c r="H38" i="14637"/>
  <c r="B32" i="14637"/>
  <c r="J33" i="14637"/>
  <c r="M38" i="14637"/>
  <c r="J36" i="14637"/>
  <c r="E37" i="14637"/>
  <c r="C33" i="14637"/>
  <c r="L34" i="14637"/>
  <c r="F37" i="14637"/>
  <c r="L39" i="14637"/>
  <c r="D35" i="14637"/>
  <c r="G33" i="14637"/>
  <c r="L38" i="14637"/>
  <c r="B35" i="14637"/>
  <c r="E34" i="14637"/>
  <c r="I39" i="14637"/>
  <c r="I33" i="14637"/>
  <c r="I35" i="14637"/>
  <c r="C39" i="14637"/>
  <c r="K39" i="14637"/>
  <c r="G39" i="14637"/>
  <c r="H35" i="14637"/>
  <c r="G35" i="14637"/>
  <c r="H32" i="14637"/>
  <c r="J38" i="14637"/>
  <c r="E33" i="14637"/>
  <c r="B38" i="14637"/>
  <c r="B39" i="14637"/>
  <c r="C38" i="14637"/>
  <c r="M36" i="14637"/>
  <c r="M37" i="14637"/>
  <c r="K37" i="14637"/>
  <c r="E22" i="14683"/>
  <c r="F35" i="14637"/>
  <c r="F38" i="14637"/>
  <c r="C70" i="14643"/>
  <c r="H37" i="14637"/>
  <c r="H36" i="14637"/>
  <c r="M34" i="14637"/>
  <c r="G37" i="14637"/>
  <c r="D34" i="14637"/>
  <c r="E38" i="14637"/>
  <c r="B36" i="14637"/>
  <c r="J32" i="14637"/>
  <c r="E19" i="14683"/>
  <c r="B37" i="14637"/>
  <c r="F33" i="14637"/>
  <c r="N11" i="14638"/>
  <c r="E35" i="14637"/>
  <c r="C68" i="14643"/>
  <c r="C32" i="14637"/>
  <c r="G32" i="14637"/>
  <c r="M39" i="14637"/>
  <c r="G34" i="14637"/>
  <c r="F39" i="14637"/>
  <c r="G38" i="14637"/>
  <c r="J34" i="14637"/>
  <c r="K38" i="14637"/>
  <c r="N23" i="14638" a="1"/>
  <c r="N23" i="14638" s="1"/>
  <c r="D39" i="14637"/>
  <c r="K33" i="14637"/>
  <c r="C36" i="14637"/>
  <c r="D38" i="14637"/>
  <c r="I34" i="14637"/>
  <c r="B33" i="14637"/>
  <c r="C34" i="14637"/>
  <c r="H33" i="14637"/>
  <c r="I37" i="14637"/>
  <c r="N10" i="14638"/>
  <c r="C20" i="14638" a="1"/>
  <c r="C20" i="14638" s="1"/>
  <c r="N8" i="14638"/>
  <c r="E23" i="14683"/>
  <c r="H25" i="14638" a="1"/>
  <c r="H25" i="14638" s="1"/>
  <c r="F22" i="14638" a="1"/>
  <c r="F22" i="14638" s="1"/>
  <c r="E25" i="14683"/>
  <c r="E22" i="14638" a="1"/>
  <c r="E22" i="14638" s="1"/>
  <c r="H24" i="14638" a="1"/>
  <c r="H24" i="14638" s="1"/>
  <c r="E21" i="14683"/>
  <c r="G24" i="14638" a="1"/>
  <c r="G24" i="14638" s="1"/>
  <c r="G22" i="14638" a="1"/>
  <c r="G22" i="14638" s="1"/>
  <c r="C73" i="14643"/>
  <c r="E24" i="14683"/>
  <c r="K26" i="14638" a="1"/>
  <c r="K26" i="14638" s="1"/>
  <c r="C66" i="14643"/>
  <c r="E20" i="14683"/>
  <c r="H23" i="14638" a="1"/>
  <c r="H23" i="14638" s="1"/>
  <c r="C67" i="14643"/>
  <c r="F21" i="14638" a="1"/>
  <c r="F21" i="14638" s="1"/>
  <c r="H39" i="14639"/>
  <c r="E23" i="14638" a="1"/>
  <c r="E23" i="14638" s="1"/>
  <c r="C71" i="14643"/>
  <c r="I24" i="14638" a="1"/>
  <c r="I24" i="14638" s="1"/>
  <c r="L25" i="14638" a="1"/>
  <c r="L25" i="14638" s="1"/>
  <c r="C72" i="14643"/>
  <c r="C15" i="14638"/>
  <c r="E20" i="14638" a="1"/>
  <c r="E20" i="14638" s="1"/>
  <c r="J26" i="14638" a="1"/>
  <c r="J26" i="14638" s="1"/>
  <c r="H84" i="14700" a="1"/>
  <c r="H84" i="14700" s="1"/>
  <c r="B15" i="14638"/>
  <c r="H26" i="14638" a="1"/>
  <c r="H26" i="14638" s="1"/>
  <c r="G15" i="14638"/>
  <c r="I25" i="14638" a="1"/>
  <c r="I25" i="14638" s="1"/>
  <c r="G25" i="14638" a="1"/>
  <c r="G25" i="14638" s="1"/>
  <c r="U74" i="14700" a="1"/>
  <c r="U74" i="14700" s="1"/>
  <c r="E21" i="14638" a="1"/>
  <c r="E21" i="14638" s="1"/>
  <c r="G23" i="14638" a="1"/>
  <c r="G23" i="14638" s="1"/>
  <c r="C84" i="14700" a="1"/>
  <c r="C84" i="14700" s="1"/>
  <c r="M26" i="14638" a="1"/>
  <c r="M26" i="14638" s="1"/>
  <c r="N14" i="14638"/>
  <c r="D20" i="14638" a="1"/>
  <c r="D20" i="14638" s="1"/>
  <c r="O75" i="14700" a="1"/>
  <c r="O75" i="14700" s="1"/>
  <c r="F155" i="14700" a="1"/>
  <c r="F155" i="14700" s="1"/>
  <c r="N75" i="14700" a="1"/>
  <c r="N75" i="14700" s="1"/>
  <c r="M79" i="14700" a="1"/>
  <c r="M79" i="14700" s="1"/>
  <c r="F24" i="14638" a="1"/>
  <c r="F24" i="14638" s="1"/>
  <c r="N7" i="14638"/>
  <c r="K24" i="14638" a="1"/>
  <c r="K24" i="14638" s="1"/>
  <c r="D22" i="14704"/>
  <c r="H21" i="14638" a="1"/>
  <c r="H21" i="14638" s="1"/>
  <c r="D22" i="14638" a="1"/>
  <c r="D22" i="14638" s="1"/>
  <c r="J23" i="14638" a="1"/>
  <c r="J23" i="14638" s="1"/>
  <c r="C21" i="14638" a="1"/>
  <c r="C21" i="14638" s="1"/>
  <c r="B20" i="14638" a="1"/>
  <c r="B20" i="14638" s="1"/>
  <c r="B27" i="14638" s="1"/>
  <c r="B28" i="14638" s="1"/>
  <c r="G20" i="14638" a="1"/>
  <c r="G20" i="14638" s="1"/>
  <c r="J25" i="14704"/>
  <c r="I23" i="14704"/>
  <c r="I206" i="14700" a="1"/>
  <c r="Q206" i="14700" s="1"/>
  <c r="L39" i="14639"/>
  <c r="H28" i="14700"/>
  <c r="F20" i="14704"/>
  <c r="N72" i="14700" a="1"/>
  <c r="N72" i="14700" s="1"/>
  <c r="T75" i="14700" a="1"/>
  <c r="T75" i="14700" s="1"/>
  <c r="G83" i="14700" a="1"/>
  <c r="G83" i="14700" s="1"/>
  <c r="O81" i="14700" a="1"/>
  <c r="O81" i="14700" s="1"/>
  <c r="E19" i="14639" a="1"/>
  <c r="E19" i="14639" s="1"/>
  <c r="Y72" i="14700" a="1"/>
  <c r="Y72" i="14700" s="1"/>
  <c r="J133" i="14700" a="1"/>
  <c r="P133" i="14700" s="1"/>
  <c r="D193" i="14700" a="1"/>
  <c r="I193" i="14700" s="1"/>
  <c r="B177" i="14700" a="1"/>
  <c r="F177" i="14700" s="1"/>
  <c r="L83" i="14700" a="1"/>
  <c r="L83" i="14700" s="1"/>
  <c r="I25" i="14704"/>
  <c r="B40" i="14637" a="1"/>
  <c r="G40" i="14637" s="1"/>
  <c r="R77" i="14700" a="1"/>
  <c r="R77" i="14700" s="1"/>
  <c r="O80" i="14700" a="1"/>
  <c r="O80" i="14700" s="1"/>
  <c r="J20" i="14704"/>
  <c r="L19" i="14639" a="1"/>
  <c r="L19" i="14639" s="1"/>
  <c r="K84" i="14700" a="1"/>
  <c r="K84" i="14700" s="1"/>
  <c r="M21" i="14704"/>
  <c r="Q78" i="14700" a="1"/>
  <c r="Q78" i="14700" s="1"/>
  <c r="H24" i="14704"/>
  <c r="G82" i="14700" a="1"/>
  <c r="G82" i="14700" s="1"/>
  <c r="N27" i="14700"/>
  <c r="S76" i="14700" a="1"/>
  <c r="S76" i="14700" s="1"/>
  <c r="H19" i="14639" a="1"/>
  <c r="H19" i="14639" s="1"/>
  <c r="S72" i="14700" a="1"/>
  <c r="S72" i="14700" s="1"/>
  <c r="O72" i="14700" a="1"/>
  <c r="O72" i="14700" s="1"/>
  <c r="C19" i="14639" a="1"/>
  <c r="C19" i="14639" s="1"/>
  <c r="M81" i="14700" a="1"/>
  <c r="M81" i="14700" s="1"/>
  <c r="G39" i="14639"/>
  <c r="I170" i="14700" a="1"/>
  <c r="S170" i="14700" s="1"/>
  <c r="O38" i="14639"/>
  <c r="G26" i="14704"/>
  <c r="D28" i="14700"/>
  <c r="H83" i="14700" a="1"/>
  <c r="H83" i="14700" s="1"/>
  <c r="N81" i="14700" a="1"/>
  <c r="N81" i="14700" s="1"/>
  <c r="B20" i="14704"/>
  <c r="B24" i="14704"/>
  <c r="K25" i="14704"/>
  <c r="O79" i="14700" a="1"/>
  <c r="O79" i="14700" s="1"/>
  <c r="J79" i="14700" a="1"/>
  <c r="J79" i="14700" s="1"/>
  <c r="V73" i="14700" a="1"/>
  <c r="V73" i="14700" s="1"/>
  <c r="L20" i="14704"/>
  <c r="H21" i="14704"/>
  <c r="F21" i="14704"/>
  <c r="M74" i="14700" a="1"/>
  <c r="M74" i="14700" s="1"/>
  <c r="K28" i="14700"/>
  <c r="D26" i="14704"/>
  <c r="K21" i="14704"/>
  <c r="G25" i="14704"/>
  <c r="N79" i="14700" a="1"/>
  <c r="N79" i="14700" s="1"/>
  <c r="M76" i="14700" a="1"/>
  <c r="M76" i="14700" s="1"/>
  <c r="C39" i="14639"/>
  <c r="H117" i="14700" a="1"/>
  <c r="L117" i="14700" s="1"/>
  <c r="W72" i="14700" a="1"/>
  <c r="W72" i="14700" s="1"/>
  <c r="M82" i="14700" a="1"/>
  <c r="M82" i="14700" s="1"/>
  <c r="M24" i="14704"/>
  <c r="H26" i="14704"/>
  <c r="L25" i="14704"/>
  <c r="B231" i="14700" a="1"/>
  <c r="I231" i="14700" s="1"/>
  <c r="P79" i="14700" a="1"/>
  <c r="P79" i="14700" s="1"/>
  <c r="J27" i="14704"/>
  <c r="C25" i="14704"/>
  <c r="L21" i="14704"/>
  <c r="E39" i="14639"/>
  <c r="B32" i="14700" a="1"/>
  <c r="H32" i="14700" s="1"/>
  <c r="E83" i="14700" a="1"/>
  <c r="E83" i="14700" s="1"/>
  <c r="P72" i="14700" a="1"/>
  <c r="P72" i="14700" s="1"/>
  <c r="I188" i="14700" a="1"/>
  <c r="R188" i="14700" s="1"/>
  <c r="N129" i="14700" a="1"/>
  <c r="T129" i="14700" s="1"/>
  <c r="K19" i="14639" a="1"/>
  <c r="K19" i="14639" s="1"/>
  <c r="Q80" i="14700" a="1"/>
  <c r="Q80" i="14700" s="1"/>
  <c r="N39" i="14639"/>
  <c r="N237" i="14700" a="1"/>
  <c r="O237" i="14700" s="1"/>
  <c r="L81" i="14700" a="1"/>
  <c r="L81" i="14700" s="1"/>
  <c r="E174" i="14700" a="1"/>
  <c r="M174" i="14700" s="1"/>
  <c r="N219" i="14700" a="1"/>
  <c r="S219" i="14700" s="1"/>
  <c r="H82" i="14700" a="1"/>
  <c r="H82" i="14700" s="1"/>
  <c r="O33" i="14639"/>
  <c r="O34" i="14639"/>
  <c r="E120" i="14700" a="1"/>
  <c r="E120" i="14700" s="1"/>
  <c r="I39" i="14639"/>
  <c r="K204" i="14700" a="1"/>
  <c r="M204" i="14700" s="1"/>
  <c r="D19" i="14639" a="1"/>
  <c r="D19" i="14639" s="1"/>
  <c r="R78" i="14700" a="1"/>
  <c r="R78" i="14700" s="1"/>
  <c r="L84" i="14700" a="1"/>
  <c r="L84" i="14700" s="1"/>
  <c r="O35" i="14639"/>
  <c r="O36" i="14639"/>
  <c r="C212" i="14700" a="1"/>
  <c r="C212" i="14700" s="1"/>
  <c r="L24" i="14704"/>
  <c r="J23" i="14704"/>
  <c r="V74" i="14700" a="1"/>
  <c r="V74" i="14700" s="1"/>
  <c r="R73" i="14700" a="1"/>
  <c r="R73" i="14700" s="1"/>
  <c r="M75" i="14700" a="1"/>
  <c r="M75" i="14700" s="1"/>
  <c r="F39" i="14639"/>
  <c r="E28" i="14700"/>
  <c r="J39" i="14639"/>
  <c r="M19" i="14639" a="1"/>
  <c r="M19" i="14639" s="1"/>
  <c r="I83" i="14700" a="1"/>
  <c r="I83" i="14700" s="1"/>
  <c r="K150" i="14700" a="1"/>
  <c r="K150" i="14700" s="1"/>
  <c r="I28" i="14700"/>
  <c r="D229" i="14700" a="1"/>
  <c r="H229" i="14700" s="1"/>
  <c r="L239" i="14700" a="1"/>
  <c r="R239" i="14700" s="1"/>
  <c r="F137" i="14700" a="1"/>
  <c r="I137" i="14700" s="1"/>
  <c r="G190" i="14700" a="1"/>
  <c r="M190" i="14700" s="1"/>
  <c r="O31" i="14639"/>
  <c r="R74" i="14700" a="1"/>
  <c r="R74" i="14700" s="1"/>
  <c r="U72" i="14700" a="1"/>
  <c r="U72" i="14700" s="1"/>
  <c r="N111" i="14700" a="1"/>
  <c r="P111" i="14700" s="1"/>
  <c r="K114" i="14700" a="1"/>
  <c r="P114" i="14700" s="1"/>
  <c r="F80" i="14700" a="1"/>
  <c r="F80" i="14700" s="1"/>
  <c r="G172" i="14700" a="1"/>
  <c r="H172" i="14700" s="1"/>
  <c r="L221" i="14700" a="1"/>
  <c r="N221" i="14700" s="1"/>
  <c r="C230" i="14700" a="1"/>
  <c r="G230" i="14700" s="1"/>
  <c r="G81" i="14700" a="1"/>
  <c r="G81" i="14700" s="1"/>
  <c r="H207" i="14700" a="1"/>
  <c r="P207" i="14700" s="1"/>
  <c r="O76" i="14700" a="1"/>
  <c r="O76" i="14700" s="1"/>
  <c r="O74" i="14700" a="1"/>
  <c r="O74" i="14700" s="1"/>
  <c r="J241" i="14700" a="1"/>
  <c r="P241" i="14700" s="1"/>
  <c r="G244" i="14700" a="1"/>
  <c r="L244" i="14700" s="1"/>
  <c r="E156" i="14700" a="1"/>
  <c r="E156" i="14700" s="1"/>
  <c r="B141" i="14700" a="1"/>
  <c r="H141" i="14700" s="1"/>
  <c r="O82" i="14700" a="1"/>
  <c r="O82" i="14700" s="1"/>
  <c r="L185" i="14700" a="1"/>
  <c r="L185" i="14700" s="1"/>
  <c r="I27" i="14704"/>
  <c r="B25" i="14704"/>
  <c r="G27" i="14704"/>
  <c r="D20" i="14704"/>
  <c r="B23" i="14704"/>
  <c r="F24" i="14704"/>
  <c r="I20" i="14704"/>
  <c r="H20" i="14704"/>
  <c r="F84" i="14700" a="1"/>
  <c r="F84" i="14700" s="1"/>
  <c r="S77" i="14700" a="1"/>
  <c r="S77" i="14700" s="1"/>
  <c r="X72" i="14700" a="1"/>
  <c r="X72" i="14700" s="1"/>
  <c r="N80" i="14700" a="1"/>
  <c r="N80" i="14700" s="1"/>
  <c r="D83" i="14700" a="1"/>
  <c r="D83" i="14700" s="1"/>
  <c r="H243" i="14700" a="1"/>
  <c r="S243" i="14700" s="1"/>
  <c r="T73" i="14700" a="1"/>
  <c r="T73" i="14700" s="1"/>
  <c r="H225" i="14700" a="1"/>
  <c r="M225" i="14700" s="1"/>
  <c r="G154" i="14700" a="1"/>
  <c r="K154" i="14700" s="1"/>
  <c r="I134" i="14700" a="1"/>
  <c r="I134" i="14700" s="1"/>
  <c r="N24" i="14700"/>
  <c r="K83" i="14700" a="1"/>
  <c r="K83" i="14700" s="1"/>
  <c r="G19" i="14639" a="1"/>
  <c r="G19" i="14639" s="1"/>
  <c r="K39" i="14639"/>
  <c r="T72" i="14700" a="1"/>
  <c r="T72" i="14700" s="1"/>
  <c r="P77" i="14700" a="1"/>
  <c r="P77" i="14700" s="1"/>
  <c r="D82" i="14700" a="1"/>
  <c r="D82" i="14700" s="1"/>
  <c r="D121" i="14700" a="1"/>
  <c r="F121" i="14700" s="1"/>
  <c r="K168" i="14700" a="1"/>
  <c r="Q168" i="14700" s="1"/>
  <c r="M220" i="14700" a="1"/>
  <c r="P220" i="14700" s="1"/>
  <c r="H80" i="14700" a="1"/>
  <c r="H80" i="14700" s="1"/>
  <c r="L76" i="14700" a="1"/>
  <c r="L76" i="14700" s="1"/>
  <c r="L203" i="14700" a="1"/>
  <c r="M203" i="14700" s="1"/>
  <c r="G84" i="14700" a="1"/>
  <c r="G84" i="14700" s="1"/>
  <c r="K78" i="14700" a="1"/>
  <c r="K78" i="14700" s="1"/>
  <c r="F245" i="14700" a="1"/>
  <c r="I245" i="14700" s="1"/>
  <c r="N147" i="14700" a="1"/>
  <c r="Q147" i="14700" s="1"/>
  <c r="H153" i="14700" a="1"/>
  <c r="J153" i="14700" s="1"/>
  <c r="N21" i="14700"/>
  <c r="X73" i="14700" a="1"/>
  <c r="X73" i="14700" s="1"/>
  <c r="K186" i="14700" a="1"/>
  <c r="Q186" i="14700" s="1"/>
  <c r="D24" i="14704"/>
  <c r="K26" i="14704"/>
  <c r="M22" i="14704"/>
  <c r="F23" i="14704"/>
  <c r="F25" i="14704"/>
  <c r="F27" i="14704"/>
  <c r="B22" i="14704"/>
  <c r="J22" i="14704"/>
  <c r="F28" i="14700"/>
  <c r="T76" i="14700" a="1"/>
  <c r="T76" i="14700" s="1"/>
  <c r="U73" i="14700" a="1"/>
  <c r="U73" i="14700" s="1"/>
  <c r="L82" i="14700" a="1"/>
  <c r="L82" i="14700" s="1"/>
  <c r="L75" i="14700" a="1"/>
  <c r="L75" i="14700" s="1"/>
  <c r="H171" i="14700" a="1"/>
  <c r="R171" i="14700" s="1"/>
  <c r="K77" i="14700" a="1"/>
  <c r="K77" i="14700" s="1"/>
  <c r="D247" i="14700" a="1"/>
  <c r="H247" i="14700" s="1"/>
  <c r="R79" i="14700" a="1"/>
  <c r="R79" i="14700" s="1"/>
  <c r="O37" i="14639"/>
  <c r="S73" i="14700" a="1"/>
  <c r="S73" i="14700" s="1"/>
  <c r="K82" i="14700" a="1"/>
  <c r="K82" i="14700" s="1"/>
  <c r="M112" i="14700" a="1"/>
  <c r="Q112" i="14700" s="1"/>
  <c r="N20" i="14700"/>
  <c r="L167" i="14700" a="1"/>
  <c r="M167" i="14700" s="1"/>
  <c r="E228" i="14700" a="1"/>
  <c r="L228" i="14700" s="1"/>
  <c r="F82" i="14700" a="1"/>
  <c r="F82" i="14700" s="1"/>
  <c r="M202" i="14700" a="1"/>
  <c r="X202" i="14700" s="1"/>
  <c r="J205" i="14700" a="1"/>
  <c r="Q205" i="14700" s="1"/>
  <c r="N77" i="14700" a="1"/>
  <c r="N77" i="14700" s="1"/>
  <c r="I80" i="14700" a="1"/>
  <c r="I80" i="14700" s="1"/>
  <c r="B249" i="14700" a="1"/>
  <c r="E249" i="14700" s="1"/>
  <c r="L149" i="14700" a="1"/>
  <c r="S149" i="14700" s="1"/>
  <c r="M130" i="14700" a="1"/>
  <c r="Q130" i="14700" s="1"/>
  <c r="E138" i="14700" a="1"/>
  <c r="E138" i="14700" s="1"/>
  <c r="M84" i="14700" a="1"/>
  <c r="M84" i="14700" s="1"/>
  <c r="J187" i="14700" a="1"/>
  <c r="R187" i="14700" s="1"/>
  <c r="C27" i="14704"/>
  <c r="B26" i="14704"/>
  <c r="E27" i="14704"/>
  <c r="E25" i="14704"/>
  <c r="D21" i="14704"/>
  <c r="G24" i="14704"/>
  <c r="K24" i="14704"/>
  <c r="C23" i="14704"/>
  <c r="R72" i="14700" a="1"/>
  <c r="R72" i="14700" s="1"/>
  <c r="N82" i="14700" a="1"/>
  <c r="N82" i="14700" s="1"/>
  <c r="S75" i="14700" a="1"/>
  <c r="S75" i="14700" s="1"/>
  <c r="I78" i="14700" a="1"/>
  <c r="I78" i="14700" s="1"/>
  <c r="F81" i="14700" a="1"/>
  <c r="F81" i="14700" s="1"/>
  <c r="N26" i="14700"/>
  <c r="D39" i="14639"/>
  <c r="N19" i="14639" a="1"/>
  <c r="N19" i="14639" s="1"/>
  <c r="N78" i="14700" a="1"/>
  <c r="N78" i="14700" s="1"/>
  <c r="O77" i="14700" a="1"/>
  <c r="O77" i="14700" s="1"/>
  <c r="O78" i="14700" a="1"/>
  <c r="O78" i="14700" s="1"/>
  <c r="F119" i="14700" a="1"/>
  <c r="I119" i="14700" s="1"/>
  <c r="H78" i="14700" a="1"/>
  <c r="H78" i="14700" s="1"/>
  <c r="F173" i="14700" a="1"/>
  <c r="O173" i="14700" s="1"/>
  <c r="K222" i="14700" a="1"/>
  <c r="Q222" i="14700" s="1"/>
  <c r="O73" i="14700" a="1"/>
  <c r="O73" i="14700" s="1"/>
  <c r="F209" i="14700" a="1"/>
  <c r="M209" i="14700" s="1"/>
  <c r="B213" i="14700" a="1"/>
  <c r="H213" i="14700" s="1"/>
  <c r="G28" i="14700"/>
  <c r="Q72" i="14700" a="1"/>
  <c r="Q72" i="14700" s="1"/>
  <c r="M238" i="14700" a="1"/>
  <c r="U238" i="14700" s="1"/>
  <c r="B159" i="14700" a="1"/>
  <c r="L159" i="14700" s="1"/>
  <c r="H135" i="14700" a="1"/>
  <c r="K135" i="14700" s="1"/>
  <c r="G136" i="14700" a="1"/>
  <c r="M136" i="14700" s="1"/>
  <c r="P81" i="14700" a="1"/>
  <c r="P81" i="14700" s="1"/>
  <c r="M184" i="14700" a="1"/>
  <c r="P184" i="14700" s="1"/>
  <c r="I26" i="14704"/>
  <c r="I24" i="14704"/>
  <c r="E24" i="14704"/>
  <c r="H27" i="14704"/>
  <c r="G23" i="14704"/>
  <c r="M27" i="14704"/>
  <c r="L22" i="14704"/>
  <c r="E22" i="14704"/>
  <c r="M77" i="14700" a="1"/>
  <c r="M77" i="14700" s="1"/>
  <c r="P80" i="14700" a="1"/>
  <c r="P80" i="14700" s="1"/>
  <c r="V72" i="14700" a="1"/>
  <c r="V72" i="14700" s="1"/>
  <c r="G80" i="14700" a="1"/>
  <c r="G80" i="14700" s="1"/>
  <c r="N73" i="14700" a="1"/>
  <c r="N73" i="14700" s="1"/>
  <c r="C122" i="14700" a="1"/>
  <c r="F122" i="14700" s="1"/>
  <c r="N76" i="14700" a="1"/>
  <c r="N76" i="14700" s="1"/>
  <c r="B84" i="14700" a="1"/>
  <c r="B84" i="14700" s="1"/>
  <c r="N84" i="14698" s="1"/>
  <c r="N85" i="14698" s="1"/>
  <c r="M78" i="14700" a="1"/>
  <c r="M78" i="14700" s="1"/>
  <c r="J84" i="14700" a="1"/>
  <c r="J84" i="14700" s="1"/>
  <c r="O32" i="14639"/>
  <c r="P76" i="14700" a="1"/>
  <c r="P76" i="14700" s="1"/>
  <c r="L80" i="14700" a="1"/>
  <c r="L80" i="14700" s="1"/>
  <c r="S74" i="14700" a="1"/>
  <c r="S74" i="14700" s="1"/>
  <c r="L74" i="14700" a="1"/>
  <c r="L74" i="14700" s="1"/>
  <c r="B123" i="14700" a="1"/>
  <c r="K123" i="14700" s="1"/>
  <c r="C176" i="14700" a="1"/>
  <c r="J176" i="14700" s="1"/>
  <c r="I224" i="14700" a="1"/>
  <c r="Q224" i="14700" s="1"/>
  <c r="D84" i="14700" a="1"/>
  <c r="D84" i="14700" s="1"/>
  <c r="E210" i="14700" a="1"/>
  <c r="O210" i="14700" s="1"/>
  <c r="I82" i="14700" a="1"/>
  <c r="I82" i="14700" s="1"/>
  <c r="P75" i="14700" a="1"/>
  <c r="P75" i="14700" s="1"/>
  <c r="F83" i="14700" a="1"/>
  <c r="F83" i="14700" s="1"/>
  <c r="K240" i="14700" a="1"/>
  <c r="O240" i="14700" s="1"/>
  <c r="I152" i="14700" a="1"/>
  <c r="I152" i="14700" s="1"/>
  <c r="D139" i="14700" a="1"/>
  <c r="K139" i="14700" s="1"/>
  <c r="V75" i="14700" a="1"/>
  <c r="V75" i="14700" s="1"/>
  <c r="U76" i="14700" a="1"/>
  <c r="U76" i="14700" s="1"/>
  <c r="E192" i="14700" a="1"/>
  <c r="M192" i="14700" s="1"/>
  <c r="J26" i="14704"/>
  <c r="C21" i="14704"/>
  <c r="H23" i="14704"/>
  <c r="L23" i="14704"/>
  <c r="C26" i="14704"/>
  <c r="D27" i="14704"/>
  <c r="E21" i="14704"/>
  <c r="E20" i="14704"/>
  <c r="Q73" i="14700" a="1"/>
  <c r="Q73" i="14700" s="1"/>
  <c r="U75" i="14700" a="1"/>
  <c r="U75" i="14700" s="1"/>
  <c r="T74" i="14700" a="1"/>
  <c r="T74" i="14700" s="1"/>
  <c r="C28" i="14700"/>
  <c r="P78" i="14700" a="1"/>
  <c r="P78" i="14700" s="1"/>
  <c r="M83" i="14700" a="1"/>
  <c r="M83" i="14700" s="1"/>
  <c r="I19" i="14639" a="1"/>
  <c r="I19" i="14639" s="1"/>
  <c r="I84" i="14700" a="1"/>
  <c r="I84" i="14700" s="1"/>
  <c r="C83" i="14700" a="1"/>
  <c r="C83" i="14700" s="1"/>
  <c r="I77" i="14700" a="1"/>
  <c r="I77" i="14700" s="1"/>
  <c r="M166" i="14700" a="1"/>
  <c r="P166" i="14700" s="1"/>
  <c r="G226" i="14700" a="1"/>
  <c r="Q226" i="14700" s="1"/>
  <c r="N74" i="14700" a="1"/>
  <c r="N74" i="14700" s="1"/>
  <c r="D211" i="14700" a="1"/>
  <c r="L211" i="14700" s="1"/>
  <c r="J81" i="14700" a="1"/>
  <c r="J81" i="14700" s="1"/>
  <c r="L79" i="14700" a="1"/>
  <c r="L79" i="14700" s="1"/>
  <c r="L77" i="14700" a="1"/>
  <c r="L77" i="14700" s="1"/>
  <c r="I242" i="14700" a="1"/>
  <c r="Q242" i="14700" s="1"/>
  <c r="C158" i="14700" a="1"/>
  <c r="D158" i="14700" s="1"/>
  <c r="L131" i="14700" a="1"/>
  <c r="S131" i="14700" s="1"/>
  <c r="M28" i="14700"/>
  <c r="S78" i="14700" a="1"/>
  <c r="S78" i="14700" s="1"/>
  <c r="H189" i="14700" a="1"/>
  <c r="K189" i="14700" s="1"/>
  <c r="L78" i="14700" a="1"/>
  <c r="L78" i="14700" s="1"/>
  <c r="W73" i="14700" a="1"/>
  <c r="W73" i="14700" s="1"/>
  <c r="Q77" i="14700" a="1"/>
  <c r="Q77" i="14700" s="1"/>
  <c r="E82" i="14700" a="1"/>
  <c r="E82" i="14700" s="1"/>
  <c r="M148" i="14700" a="1"/>
  <c r="T148" i="14700" s="1"/>
  <c r="N23" i="14700"/>
  <c r="D157" i="14700" a="1"/>
  <c r="K157" i="14700" s="1"/>
  <c r="Q76" i="14700" a="1"/>
  <c r="Q76" i="14700" s="1"/>
  <c r="J19" i="14639" a="1"/>
  <c r="J19" i="14639" s="1"/>
  <c r="M39" i="14639"/>
  <c r="J82" i="14700" a="1"/>
  <c r="J82" i="14700" s="1"/>
  <c r="J83" i="14700" a="1"/>
  <c r="J83" i="14700" s="1"/>
  <c r="R75" i="14700" a="1"/>
  <c r="R75" i="14700" s="1"/>
  <c r="J76" i="14700" a="1"/>
  <c r="J76" i="14700" s="1"/>
  <c r="K75" i="14700" a="1"/>
  <c r="K75" i="14700" s="1"/>
  <c r="N165" i="14700" a="1"/>
  <c r="X165" i="14700" s="1"/>
  <c r="F227" i="14700" a="1"/>
  <c r="J227" i="14700" s="1"/>
  <c r="J78" i="14700" a="1"/>
  <c r="J78" i="14700" s="1"/>
  <c r="N25" i="14700"/>
  <c r="K80" i="14700" a="1"/>
  <c r="K80" i="14700" s="1"/>
  <c r="E84" i="14700" a="1"/>
  <c r="E84" i="14700" s="1"/>
  <c r="P73" i="14700" a="1"/>
  <c r="P73" i="14700" s="1"/>
  <c r="E246" i="14700" a="1"/>
  <c r="L246" i="14700" s="1"/>
  <c r="N22" i="14700"/>
  <c r="K132" i="14700" a="1"/>
  <c r="N132" i="14700" s="1"/>
  <c r="T77" i="14700" a="1"/>
  <c r="T77" i="14700" s="1"/>
  <c r="C194" i="14700" a="1"/>
  <c r="I194" i="14700" s="1"/>
  <c r="N183" i="14700" a="1"/>
  <c r="W183" i="14700" s="1"/>
  <c r="C22" i="14704"/>
  <c r="B21" i="14704"/>
  <c r="G22" i="14704"/>
  <c r="G21" i="14704"/>
  <c r="H22" i="14704"/>
  <c r="F26" i="14704"/>
  <c r="M25" i="14704"/>
  <c r="E23" i="14704"/>
  <c r="J80" i="14700" a="1"/>
  <c r="J80" i="14700" s="1"/>
  <c r="Q79" i="14700" a="1"/>
  <c r="Q79" i="14700" s="1"/>
  <c r="J28" i="14700"/>
  <c r="J77" i="14700" a="1"/>
  <c r="J77" i="14700" s="1"/>
  <c r="M73" i="14700" a="1"/>
  <c r="M73" i="14700" s="1"/>
  <c r="E81" i="14700" a="1"/>
  <c r="E81" i="14700" s="1"/>
  <c r="N201" i="14700" a="1"/>
  <c r="X201" i="14700" s="1"/>
  <c r="P74" i="14700" a="1"/>
  <c r="P74" i="14700" s="1"/>
  <c r="F19" i="14639" a="1"/>
  <c r="F19" i="14639" s="1"/>
  <c r="K81" i="14700" a="1"/>
  <c r="K81" i="14700" s="1"/>
  <c r="M80" i="14700" a="1"/>
  <c r="M80" i="14700" s="1"/>
  <c r="B28" i="14700"/>
  <c r="G118" i="14700" a="1"/>
  <c r="P118" i="14700" s="1"/>
  <c r="G79" i="14700" a="1"/>
  <c r="G79" i="14700" s="1"/>
  <c r="D175" i="14700" a="1"/>
  <c r="H175" i="14700" s="1"/>
  <c r="J223" i="14700" a="1"/>
  <c r="R223" i="14700" s="1"/>
  <c r="I79" i="14700" a="1"/>
  <c r="I79" i="14700" s="1"/>
  <c r="G208" i="14700" a="1"/>
  <c r="I208" i="14700" s="1"/>
  <c r="Q74" i="14700" a="1"/>
  <c r="Q74" i="14700" s="1"/>
  <c r="H81" i="14700" a="1"/>
  <c r="H81" i="14700" s="1"/>
  <c r="C248" i="14700" a="1"/>
  <c r="F248" i="14700" s="1"/>
  <c r="J151" i="14700" a="1"/>
  <c r="O151" i="14700" s="1"/>
  <c r="C140" i="14700" a="1"/>
  <c r="I140" i="14700" s="1"/>
  <c r="N83" i="14700" a="1"/>
  <c r="N83" i="14700" s="1"/>
  <c r="F191" i="14700" a="1"/>
  <c r="N191" i="14700" s="1"/>
  <c r="B195" i="14700" a="1"/>
  <c r="D195" i="14700" s="1"/>
  <c r="M23" i="14704"/>
  <c r="F22" i="14704"/>
  <c r="B27" i="14704"/>
  <c r="G20" i="14704"/>
  <c r="D25" i="14704"/>
  <c r="C20" i="14704"/>
  <c r="C24" i="14704"/>
  <c r="I21" i="14704"/>
  <c r="K79" i="14700" a="1"/>
  <c r="K79" i="14700" s="1"/>
  <c r="L28" i="14700"/>
  <c r="R76" i="14700" a="1"/>
  <c r="R76" i="14700" s="1"/>
  <c r="K76" i="14700" a="1"/>
  <c r="K76" i="14700" s="1"/>
  <c r="I116" i="14700" a="1"/>
  <c r="Q116" i="14700" s="1"/>
  <c r="W74" i="14700" a="1"/>
  <c r="W74" i="14700" s="1"/>
  <c r="H79" i="14700" a="1"/>
  <c r="H79" i="14700" s="1"/>
  <c r="Q75" i="14700" a="1"/>
  <c r="Q75" i="14700" s="1"/>
  <c r="J115" i="14700" a="1"/>
  <c r="O115" i="14700" s="1"/>
  <c r="L113" i="14700" a="1"/>
  <c r="Q113" i="14700" s="1"/>
  <c r="J169" i="14700" a="1"/>
  <c r="R169" i="14700" s="1"/>
  <c r="E26" i="14704"/>
  <c r="K20" i="14704"/>
  <c r="J24" i="14704"/>
  <c r="M20" i="14704"/>
  <c r="M26" i="14704"/>
  <c r="D23" i="14704"/>
  <c r="L27" i="14704"/>
  <c r="I81" i="14700" a="1"/>
  <c r="I81" i="14700" s="1"/>
  <c r="N10" i="14702"/>
  <c r="B20" i="14702" a="1"/>
  <c r="N8" i="14702"/>
  <c r="N9" i="14702"/>
  <c r="N12" i="14702"/>
  <c r="I7" i="14683"/>
  <c r="I6" i="14683"/>
  <c r="I8" i="14683"/>
  <c r="I11" i="14683"/>
  <c r="I9" i="14683"/>
  <c r="I13" i="14683"/>
  <c r="I12" i="14683"/>
  <c r="I10" i="14683"/>
  <c r="N15" i="14702"/>
  <c r="N11" i="14702"/>
  <c r="H6" i="14683" a="1"/>
  <c r="N13" i="14702"/>
  <c r="H27" i="14701"/>
  <c r="J20" i="14701"/>
  <c r="L26" i="14701"/>
  <c r="H26" i="14701"/>
  <c r="C21" i="14701"/>
  <c r="H23" i="14701"/>
  <c r="B26" i="14701"/>
  <c r="G22" i="14701"/>
  <c r="E27" i="14701"/>
  <c r="B23" i="14701"/>
  <c r="C27" i="14701"/>
  <c r="M25" i="14701"/>
  <c r="J22" i="14701"/>
  <c r="F22" i="14701"/>
  <c r="C23" i="14701"/>
  <c r="I26" i="14701"/>
  <c r="I20" i="14701"/>
  <c r="D27" i="14701"/>
  <c r="F21" i="14701"/>
  <c r="G27" i="14701"/>
  <c r="K26" i="14701"/>
  <c r="M22" i="14701"/>
  <c r="B25" i="14701"/>
  <c r="J23" i="14701"/>
  <c r="K23" i="14701"/>
  <c r="E21" i="14701"/>
  <c r="I27" i="14701"/>
  <c r="L27" i="14701"/>
  <c r="M21" i="14701"/>
  <c r="L24" i="14701"/>
  <c r="B27" i="14701"/>
  <c r="H22" i="14701"/>
  <c r="G24" i="14701"/>
  <c r="K25" i="14701"/>
  <c r="H25" i="14701"/>
  <c r="E23" i="14701"/>
  <c r="J21" i="14701"/>
  <c r="D24" i="14701"/>
  <c r="D25" i="14701"/>
  <c r="F20" i="14701"/>
  <c r="B21" i="14701"/>
  <c r="G25" i="14701"/>
  <c r="J27" i="14701"/>
  <c r="M20" i="14701"/>
  <c r="L23" i="14701"/>
  <c r="E20" i="14701"/>
  <c r="C20" i="14701"/>
  <c r="G21" i="14701"/>
  <c r="F23" i="14701"/>
  <c r="F24" i="14701"/>
  <c r="B24" i="14701"/>
  <c r="K24" i="14701"/>
  <c r="L21" i="14701"/>
  <c r="C25" i="14701"/>
  <c r="B20" i="14701"/>
  <c r="E25" i="14701"/>
  <c r="F27" i="14701"/>
  <c r="H21" i="14701"/>
  <c r="B22" i="14701"/>
  <c r="F25" i="14701"/>
  <c r="G20" i="14701"/>
  <c r="K22" i="14701"/>
  <c r="D22" i="14701"/>
  <c r="J25" i="14701"/>
  <c r="E22" i="14701"/>
  <c r="F26" i="14701"/>
  <c r="E26" i="14701"/>
  <c r="K21" i="14701"/>
  <c r="D21" i="14701"/>
  <c r="K20" i="14701"/>
  <c r="I24" i="14701"/>
  <c r="I22" i="14701"/>
  <c r="K27" i="14701"/>
  <c r="M26" i="14701"/>
  <c r="M23" i="14701"/>
  <c r="G26" i="14701"/>
  <c r="H24" i="14701"/>
  <c r="E24" i="14701"/>
  <c r="L22" i="14701"/>
  <c r="J24" i="14701"/>
  <c r="C22" i="14701"/>
  <c r="I21" i="14701"/>
  <c r="L20" i="14701"/>
  <c r="M24" i="14701"/>
  <c r="I23" i="14701"/>
  <c r="L25" i="14701"/>
  <c r="G23" i="14701"/>
  <c r="H20" i="14701"/>
  <c r="C24" i="14701"/>
  <c r="I25" i="14701"/>
  <c r="D20" i="14701"/>
  <c r="M27" i="14701"/>
  <c r="J26" i="14701"/>
  <c r="D23" i="14701"/>
  <c r="D26" i="14701"/>
  <c r="C26" i="14701"/>
  <c r="N14" i="14702"/>
  <c r="O8" i="14634"/>
  <c r="B35" i="14624"/>
  <c r="D35" i="14624"/>
  <c r="F35" i="14624"/>
  <c r="H35" i="14624"/>
  <c r="J35" i="14624"/>
  <c r="L35" i="14624"/>
  <c r="B36" i="14624"/>
  <c r="D36" i="14624"/>
  <c r="F36" i="14624"/>
  <c r="H36" i="14624"/>
  <c r="J36" i="14624"/>
  <c r="L36" i="14624"/>
  <c r="B37" i="14624"/>
  <c r="D37" i="14624"/>
  <c r="F37" i="14624"/>
  <c r="H37" i="14624"/>
  <c r="J37" i="14624"/>
  <c r="L37" i="14624"/>
  <c r="B38" i="14624"/>
  <c r="D38" i="14624"/>
  <c r="F38" i="14624"/>
  <c r="H38" i="14624"/>
  <c r="J38" i="14624"/>
  <c r="L38" i="14624"/>
  <c r="B39" i="14624"/>
  <c r="D39" i="14624"/>
  <c r="F39" i="14624"/>
  <c r="H39" i="14624"/>
  <c r="J39" i="14624"/>
  <c r="L39" i="14624"/>
  <c r="B40" i="14624"/>
  <c r="D40" i="14624"/>
  <c r="F40" i="14624"/>
  <c r="H40" i="14624"/>
  <c r="J40" i="14624"/>
  <c r="L40" i="14624"/>
  <c r="B41" i="14624"/>
  <c r="D41" i="14624"/>
  <c r="F41" i="14624"/>
  <c r="H41" i="14624"/>
  <c r="J41" i="14624"/>
  <c r="L41" i="14624"/>
  <c r="B42" i="14624"/>
  <c r="D42" i="14624"/>
  <c r="F42" i="14624"/>
  <c r="H42" i="14624"/>
  <c r="J42" i="14624"/>
  <c r="L42" i="14624"/>
  <c r="B43" i="14624"/>
  <c r="D43" i="14624"/>
  <c r="F43" i="14624"/>
  <c r="H43" i="14624"/>
  <c r="J43" i="14624"/>
  <c r="L43" i="14624"/>
  <c r="B44" i="14624"/>
  <c r="D44" i="14624"/>
  <c r="F44" i="14624"/>
  <c r="H44" i="14624"/>
  <c r="J44" i="14624"/>
  <c r="L44" i="14624"/>
  <c r="B45" i="14624"/>
  <c r="D45" i="14624"/>
  <c r="F45" i="14624"/>
  <c r="H45" i="14624"/>
  <c r="J45" i="14624"/>
  <c r="L45" i="14624"/>
  <c r="B46" i="14624"/>
  <c r="D46" i="14624"/>
  <c r="F46" i="14624"/>
  <c r="H46" i="14624"/>
  <c r="J46" i="14624"/>
  <c r="L46" i="14624"/>
  <c r="B47" i="14624"/>
  <c r="D47" i="14624"/>
  <c r="F47" i="14624"/>
  <c r="H47" i="14624"/>
  <c r="J47" i="14624"/>
  <c r="L47" i="14624"/>
  <c r="B48" i="14624"/>
  <c r="D48" i="14624"/>
  <c r="F48" i="14624"/>
  <c r="H48" i="14624"/>
  <c r="J48" i="14624"/>
  <c r="L48" i="14624"/>
  <c r="B49" i="14624"/>
  <c r="C35" i="14624"/>
  <c r="G35" i="14624"/>
  <c r="K35" i="14624"/>
  <c r="C36" i="14624"/>
  <c r="G36" i="14624"/>
  <c r="K36" i="14624"/>
  <c r="C37" i="14624"/>
  <c r="G37" i="14624"/>
  <c r="K37" i="14624"/>
  <c r="C38" i="14624"/>
  <c r="G38" i="14624"/>
  <c r="K38" i="14624"/>
  <c r="C39" i="14624"/>
  <c r="G39" i="14624"/>
  <c r="K39" i="14624"/>
  <c r="C40" i="14624"/>
  <c r="G40" i="14624"/>
  <c r="K40" i="14624"/>
  <c r="C41" i="14624"/>
  <c r="G41" i="14624"/>
  <c r="K41" i="14624"/>
  <c r="C42" i="14624"/>
  <c r="G42" i="14624"/>
  <c r="K42" i="14624"/>
  <c r="C43" i="14624"/>
  <c r="G43" i="14624"/>
  <c r="K43" i="14624"/>
  <c r="C44" i="14624"/>
  <c r="G44" i="14624"/>
  <c r="K44" i="14624"/>
  <c r="C45" i="14624"/>
  <c r="G45" i="14624"/>
  <c r="K45" i="14624"/>
  <c r="C46" i="14624"/>
  <c r="G46" i="14624"/>
  <c r="K46" i="14624"/>
  <c r="C47" i="14624"/>
  <c r="G47" i="14624"/>
  <c r="K47" i="14624"/>
  <c r="C48" i="14624"/>
  <c r="G48" i="14624"/>
  <c r="K48" i="14624"/>
  <c r="C49" i="14624"/>
  <c r="E49" i="14624"/>
  <c r="G49" i="14624"/>
  <c r="I49" i="14624"/>
  <c r="K49" i="14624"/>
  <c r="M49" i="14624"/>
  <c r="C50" i="14624"/>
  <c r="E50" i="14624"/>
  <c r="G50" i="14624"/>
  <c r="I50" i="14624"/>
  <c r="K50" i="14624"/>
  <c r="M50" i="14624"/>
  <c r="C51" i="14624"/>
  <c r="E51" i="14624"/>
  <c r="G51" i="14624"/>
  <c r="I51" i="14624"/>
  <c r="K51" i="14624"/>
  <c r="M51" i="14624"/>
  <c r="C52" i="14624"/>
  <c r="E52" i="14624"/>
  <c r="G52" i="14624"/>
  <c r="I52" i="14624"/>
  <c r="K52" i="14624"/>
  <c r="M52" i="14624"/>
  <c r="C53" i="14624"/>
  <c r="E53" i="14624"/>
  <c r="G53" i="14624"/>
  <c r="I53" i="14624"/>
  <c r="K53" i="14624"/>
  <c r="M53" i="14624"/>
  <c r="C54" i="14624"/>
  <c r="E54" i="14624"/>
  <c r="G54" i="14624"/>
  <c r="I54" i="14624"/>
  <c r="K54" i="14624"/>
  <c r="M54" i="14624"/>
  <c r="E35" i="14624"/>
  <c r="I35" i="14624"/>
  <c r="M35" i="14624"/>
  <c r="E36" i="14624"/>
  <c r="I36" i="14624"/>
  <c r="M36" i="14624"/>
  <c r="E37" i="14624"/>
  <c r="I37" i="14624"/>
  <c r="M37" i="14624"/>
  <c r="E38" i="14624"/>
  <c r="I38" i="14624"/>
  <c r="M38" i="14624"/>
  <c r="E39" i="14624"/>
  <c r="I39" i="14624"/>
  <c r="M39" i="14624"/>
  <c r="E40" i="14624"/>
  <c r="I40" i="14624"/>
  <c r="M40" i="14624"/>
  <c r="E41" i="14624"/>
  <c r="I41" i="14624"/>
  <c r="M41" i="14624"/>
  <c r="E42" i="14624"/>
  <c r="I42" i="14624"/>
  <c r="M42" i="14624"/>
  <c r="E43" i="14624"/>
  <c r="I43" i="14624"/>
  <c r="M43" i="14624"/>
  <c r="E44" i="14624"/>
  <c r="I44" i="14624"/>
  <c r="M44" i="14624"/>
  <c r="E45" i="14624"/>
  <c r="I45" i="14624"/>
  <c r="M45" i="14624"/>
  <c r="E46" i="14624"/>
  <c r="I46" i="14624"/>
  <c r="M46" i="14624"/>
  <c r="E47" i="14624"/>
  <c r="I47" i="14624"/>
  <c r="M47" i="14624"/>
  <c r="E48" i="14624"/>
  <c r="I48" i="14624"/>
  <c r="M48" i="14624"/>
  <c r="D49" i="14624"/>
  <c r="F49" i="14624"/>
  <c r="H49" i="14624"/>
  <c r="J49" i="14624"/>
  <c r="L49" i="14624"/>
  <c r="B50" i="14624"/>
  <c r="D50" i="14624"/>
  <c r="F50" i="14624"/>
  <c r="H50" i="14624"/>
  <c r="J50" i="14624"/>
  <c r="L50" i="14624"/>
  <c r="B51" i="14624"/>
  <c r="D51" i="14624"/>
  <c r="F51" i="14624"/>
  <c r="H51" i="14624"/>
  <c r="J51" i="14624"/>
  <c r="L51" i="14624"/>
  <c r="B52" i="14624"/>
  <c r="D52" i="14624"/>
  <c r="F52" i="14624"/>
  <c r="H52" i="14624"/>
  <c r="J52" i="14624"/>
  <c r="L52" i="14624"/>
  <c r="B53" i="14624"/>
  <c r="D53" i="14624"/>
  <c r="F53" i="14624"/>
  <c r="H53" i="14624"/>
  <c r="J53" i="14624"/>
  <c r="L53" i="14624"/>
  <c r="B54" i="14624"/>
  <c r="D54" i="14624"/>
  <c r="F54" i="14624"/>
  <c r="H54" i="14624"/>
  <c r="J54" i="14624"/>
  <c r="L54" i="14624"/>
  <c r="O8" i="14674"/>
  <c r="L9" i="14678"/>
  <c r="E9" i="14678"/>
  <c r="K8" i="14678"/>
  <c r="M7" i="14678"/>
  <c r="J12" i="14678"/>
  <c r="I12" i="14678"/>
  <c r="D10" i="14678"/>
  <c r="C14" i="14678"/>
  <c r="L8" i="14678"/>
  <c r="C7" i="14678"/>
  <c r="E12" i="14678"/>
  <c r="K9" i="14678"/>
  <c r="J8" i="14678"/>
  <c r="J10" i="14678"/>
  <c r="H12" i="14678"/>
  <c r="C13" i="14678"/>
  <c r="E11" i="14678"/>
  <c r="E10" i="14678"/>
  <c r="J11" i="14678"/>
  <c r="J9" i="14678"/>
  <c r="B13" i="14678"/>
  <c r="B14" i="14678"/>
  <c r="D8" i="14678"/>
  <c r="M13" i="14678"/>
  <c r="H14" i="14678"/>
  <c r="I13" i="14678"/>
  <c r="L7" i="14678"/>
  <c r="M11" i="14678"/>
  <c r="F10" i="14678"/>
  <c r="D13" i="14678"/>
  <c r="I9" i="14678"/>
  <c r="G7" i="14678"/>
  <c r="I14" i="14678"/>
  <c r="H9" i="14678"/>
  <c r="K13" i="14678"/>
  <c r="C8" i="14678"/>
  <c r="I10" i="14678"/>
  <c r="G11" i="14678"/>
  <c r="E8" i="14678"/>
  <c r="B9" i="14678"/>
  <c r="M8" i="14678"/>
  <c r="E7" i="14678"/>
  <c r="H8" i="14678"/>
  <c r="K7" i="14678"/>
  <c r="D12" i="14678"/>
  <c r="G13" i="14678"/>
  <c r="D11" i="14678"/>
  <c r="C9" i="14678"/>
  <c r="K14" i="14678"/>
  <c r="G10" i="14678"/>
  <c r="F8" i="14678"/>
  <c r="F9" i="14678"/>
  <c r="K11" i="14678"/>
  <c r="M14" i="14678"/>
  <c r="G14" i="14678"/>
  <c r="D9" i="14678"/>
  <c r="C10" i="14678"/>
  <c r="C11" i="14678"/>
  <c r="D14" i="14678"/>
  <c r="E13" i="14678"/>
  <c r="G8" i="14678"/>
  <c r="I8" i="14678"/>
  <c r="I7" i="14678"/>
  <c r="J7" i="14678"/>
  <c r="B10" i="14678"/>
  <c r="L14" i="14678"/>
  <c r="B8" i="14678"/>
  <c r="F13" i="14678"/>
  <c r="K12" i="14678"/>
  <c r="F12" i="14678"/>
  <c r="H10" i="14678"/>
  <c r="H11" i="14678"/>
  <c r="M12" i="14678"/>
  <c r="J14" i="14678"/>
  <c r="L12" i="14678"/>
  <c r="D7" i="14678"/>
  <c r="M10" i="14678"/>
  <c r="K10" i="14678"/>
  <c r="F7" i="14678"/>
  <c r="M9" i="14678"/>
  <c r="L10" i="14678"/>
  <c r="L13" i="14678"/>
  <c r="E14" i="14678"/>
  <c r="B11" i="14678"/>
  <c r="I11" i="14678"/>
  <c r="B7" i="14678"/>
  <c r="G12" i="14678"/>
  <c r="B12" i="14678"/>
  <c r="H13" i="14678"/>
  <c r="L11" i="14678"/>
  <c r="F11" i="14678"/>
  <c r="J13" i="14678"/>
  <c r="C12" i="14678"/>
  <c r="H7" i="14678"/>
  <c r="F14" i="14678"/>
  <c r="G9" i="14678"/>
  <c r="B36" i="14681"/>
  <c r="N36" i="14681" s="1"/>
  <c r="F23" i="14657" s="1"/>
  <c r="N25" i="14668"/>
  <c r="F9" i="14657" s="1"/>
  <c r="B5" i="14670" a="1"/>
  <c r="J38" i="14652"/>
  <c r="J37" i="14652"/>
  <c r="J35" i="14652"/>
  <c r="J40" i="14652"/>
  <c r="J34" i="14652"/>
  <c r="J33" i="14652"/>
  <c r="J36" i="14652"/>
  <c r="J39" i="14652"/>
  <c r="I39" i="14652"/>
  <c r="I40" i="14652"/>
  <c r="I34" i="14652"/>
  <c r="I36" i="14652"/>
  <c r="I35" i="14652"/>
  <c r="I38" i="14652"/>
  <c r="I33" i="14652"/>
  <c r="I37" i="14652"/>
  <c r="M32" i="14674"/>
  <c r="F37" i="14674"/>
  <c r="M37" i="14674"/>
  <c r="G36" i="14674"/>
  <c r="N37" i="14674"/>
  <c r="I32" i="14674"/>
  <c r="L33" i="14674"/>
  <c r="D31" i="14674"/>
  <c r="L32" i="14674"/>
  <c r="C33" i="14674"/>
  <c r="L35" i="14674"/>
  <c r="K33" i="14674"/>
  <c r="J37" i="14674"/>
  <c r="J32" i="14674"/>
  <c r="J31" i="14674"/>
  <c r="I31" i="14674"/>
  <c r="M31" i="14674"/>
  <c r="E37" i="14674"/>
  <c r="C31" i="14674"/>
  <c r="K32" i="14674"/>
  <c r="E32" i="14674"/>
  <c r="K37" i="14674"/>
  <c r="N36" i="14674"/>
  <c r="L34" i="14674"/>
  <c r="M36" i="14674"/>
  <c r="L31" i="14674"/>
  <c r="N33" i="14674"/>
  <c r="F33" i="14674"/>
  <c r="I37" i="14674"/>
  <c r="C34" i="14674"/>
  <c r="C36" i="14674"/>
  <c r="G37" i="14674"/>
  <c r="C37" i="14674"/>
  <c r="I36" i="14674"/>
  <c r="L36" i="14674"/>
  <c r="M38" i="14674"/>
  <c r="I33" i="14674"/>
  <c r="J36" i="14674"/>
  <c r="D33" i="14674"/>
  <c r="H31" i="14674"/>
  <c r="M35" i="14674"/>
  <c r="N32" i="14674"/>
  <c r="G34" i="14674"/>
  <c r="E34" i="14674"/>
  <c r="D36" i="14674"/>
  <c r="E33" i="14674"/>
  <c r="J35" i="14674"/>
  <c r="N35" i="14674"/>
  <c r="N31" i="14674"/>
  <c r="K31" i="14674"/>
  <c r="F32" i="14674"/>
  <c r="D34" i="14674"/>
  <c r="H34" i="14674"/>
  <c r="L37" i="14674"/>
  <c r="F35" i="14674"/>
  <c r="F31" i="14674"/>
  <c r="J34" i="14674"/>
  <c r="H38" i="14674"/>
  <c r="N34" i="14674"/>
  <c r="N38" i="14674"/>
  <c r="D38" i="14674"/>
  <c r="D35" i="14674"/>
  <c r="E36" i="14674"/>
  <c r="I38" i="14674"/>
  <c r="C35" i="14674"/>
  <c r="K35" i="14674"/>
  <c r="F38" i="14674"/>
  <c r="H36" i="14674"/>
  <c r="H33" i="14674"/>
  <c r="D37" i="14674"/>
  <c r="M33" i="14674"/>
  <c r="D32" i="14674"/>
  <c r="E31" i="14674"/>
  <c r="K38" i="14674"/>
  <c r="G33" i="14674"/>
  <c r="C32" i="14674"/>
  <c r="M34" i="14674"/>
  <c r="F36" i="14674"/>
  <c r="K36" i="14674"/>
  <c r="J33" i="14674"/>
  <c r="H35" i="14674"/>
  <c r="L38" i="14674"/>
  <c r="H32" i="14674"/>
  <c r="I34" i="14674"/>
  <c r="G35" i="14674"/>
  <c r="H37" i="14674"/>
  <c r="I35" i="14674"/>
  <c r="F34" i="14674"/>
  <c r="G38" i="14674"/>
  <c r="J38" i="14674"/>
  <c r="E38" i="14674"/>
  <c r="K34" i="14674"/>
  <c r="G31" i="14674"/>
  <c r="E35" i="14674"/>
  <c r="C38" i="14674"/>
  <c r="G32" i="14674"/>
  <c r="C79" i="14643" a="1"/>
  <c r="B32" i="14668" a="1"/>
  <c r="G19" i="14683" a="1"/>
  <c r="F19" i="14669"/>
  <c r="L17" i="14669"/>
  <c r="M20" i="14669"/>
  <c r="J21" i="14669"/>
  <c r="K20" i="14669"/>
  <c r="L19" i="14669"/>
  <c r="C17" i="14669"/>
  <c r="D23" i="14669"/>
  <c r="B19" i="14669"/>
  <c r="K22" i="14669"/>
  <c r="C19" i="14669"/>
  <c r="H20" i="14669"/>
  <c r="M19" i="14669"/>
  <c r="B21" i="14669"/>
  <c r="K24" i="14669"/>
  <c r="B23" i="14669"/>
  <c r="H22" i="14669"/>
  <c r="H17" i="14669"/>
  <c r="E19" i="14669"/>
  <c r="B18" i="14669"/>
  <c r="I23" i="14669"/>
  <c r="E18" i="14669"/>
  <c r="I18" i="14669"/>
  <c r="G22" i="14669"/>
  <c r="H23" i="14669"/>
  <c r="L24" i="14669"/>
  <c r="B20" i="14669"/>
  <c r="H19" i="14669"/>
  <c r="M23" i="14669"/>
  <c r="C21" i="14669"/>
  <c r="K21" i="14669"/>
  <c r="J17" i="14669"/>
  <c r="F18" i="14669"/>
  <c r="M17" i="14669"/>
  <c r="E24" i="14669"/>
  <c r="G18" i="14669"/>
  <c r="M24" i="14669"/>
  <c r="L23" i="14669"/>
  <c r="K23" i="14669"/>
  <c r="F22" i="14669"/>
  <c r="B24" i="14669"/>
  <c r="H24" i="14669"/>
  <c r="F24" i="14669"/>
  <c r="H21" i="14669"/>
  <c r="J18" i="14669"/>
  <c r="G17" i="14669"/>
  <c r="I19" i="14669"/>
  <c r="I17" i="14669"/>
  <c r="E20" i="14669"/>
  <c r="K18" i="14669"/>
  <c r="H18" i="14669"/>
  <c r="L21" i="14669"/>
  <c r="F21" i="14669"/>
  <c r="F17" i="14669"/>
  <c r="C24" i="14669"/>
  <c r="J22" i="14669"/>
  <c r="M21" i="14669"/>
  <c r="B22" i="14669"/>
  <c r="D19" i="14669"/>
  <c r="K17" i="14669"/>
  <c r="G19" i="14669"/>
  <c r="I20" i="14669"/>
  <c r="M22" i="14669"/>
  <c r="G21" i="14669"/>
  <c r="J20" i="14669"/>
  <c r="D22" i="14669"/>
  <c r="F20" i="14669"/>
  <c r="D17" i="14669"/>
  <c r="L18" i="14669"/>
  <c r="D24" i="14669"/>
  <c r="G24" i="14669"/>
  <c r="I24" i="14669"/>
  <c r="E17" i="14669"/>
  <c r="D18" i="14669"/>
  <c r="K19" i="14669"/>
  <c r="L22" i="14669"/>
  <c r="C22" i="14669"/>
  <c r="D21" i="14669"/>
  <c r="E23" i="14669"/>
  <c r="C20" i="14669"/>
  <c r="G20" i="14669"/>
  <c r="B17" i="14669"/>
  <c r="C23" i="14669"/>
  <c r="G23" i="14669"/>
  <c r="D20" i="14669"/>
  <c r="I22" i="14669"/>
  <c r="F23" i="14669"/>
  <c r="J23" i="14669"/>
  <c r="E21" i="14669"/>
  <c r="C18" i="14669"/>
  <c r="M18" i="14669"/>
  <c r="J24" i="14669"/>
  <c r="L20" i="14669"/>
  <c r="E22" i="14669"/>
  <c r="I21" i="14669"/>
  <c r="J19" i="14669"/>
  <c r="D53" i="14683"/>
  <c r="B65" i="14703" a="1"/>
  <c r="K65" i="14703" s="1"/>
  <c r="D49" i="14683"/>
  <c r="N51" i="14703"/>
  <c r="B63" i="14703" a="1"/>
  <c r="J63" i="14703" s="1"/>
  <c r="M54" i="14703"/>
  <c r="J54" i="14703"/>
  <c r="L54" i="14703"/>
  <c r="D54" i="14703"/>
  <c r="B64" i="14703" a="1"/>
  <c r="L64" i="14703" s="1"/>
  <c r="N52" i="14703"/>
  <c r="N53" i="14703"/>
  <c r="H54" i="14703"/>
  <c r="B66" i="14703" a="1"/>
  <c r="D66" i="14703" s="1"/>
  <c r="E54" i="14703"/>
  <c r="B60" i="14703" a="1"/>
  <c r="G60" i="14703" s="1"/>
  <c r="N47" i="14703"/>
  <c r="D57" i="14683"/>
  <c r="D56" i="14683"/>
  <c r="D55" i="14683"/>
  <c r="I54" i="14703"/>
  <c r="G54" i="14703"/>
  <c r="N50" i="14703"/>
  <c r="B62" i="14703" a="1"/>
  <c r="I62" i="14703" s="1"/>
  <c r="B59" i="14703" a="1"/>
  <c r="K59" i="14703" s="1"/>
  <c r="D50" i="14683"/>
  <c r="N46" i="14703"/>
  <c r="K54" i="14703"/>
  <c r="F54" i="14703"/>
  <c r="N49" i="14703"/>
  <c r="N48" i="14703"/>
  <c r="D52" i="14683"/>
  <c r="D54" i="14683"/>
  <c r="B61" i="14703" a="1"/>
  <c r="C61" i="14703" s="1"/>
  <c r="B54" i="14703"/>
  <c r="C54" i="14703"/>
  <c r="Q46" i="14623"/>
  <c r="R57" i="14623" s="1"/>
  <c r="R30" i="14623"/>
  <c r="J37" i="14706"/>
  <c r="H34" i="14706"/>
  <c r="O8" i="14675"/>
  <c r="O17" i="14676"/>
  <c r="O8" i="14639"/>
  <c r="N3" i="14706"/>
  <c r="B32" i="14683"/>
  <c r="B47" i="14683"/>
  <c r="B17" i="14683"/>
  <c r="D30" i="14690"/>
  <c r="C59" i="14645"/>
  <c r="A61" i="14645" s="1"/>
  <c r="A7" i="14645"/>
  <c r="B31" i="14652"/>
  <c r="J33" i="14667"/>
  <c r="H32" i="14667"/>
  <c r="O17" i="14677"/>
  <c r="E95" i="14687"/>
  <c r="F95" i="14687"/>
  <c r="H95" i="14687"/>
  <c r="J95" i="14687"/>
  <c r="M95" i="14687"/>
  <c r="N95" i="14687"/>
  <c r="C95" i="14687"/>
  <c r="G95" i="14687"/>
  <c r="L95" i="14687"/>
  <c r="I95" i="14687"/>
  <c r="D95" i="14687"/>
  <c r="K95" i="14687"/>
  <c r="E18" i="14675"/>
  <c r="D18" i="14675"/>
  <c r="H18" i="14675"/>
  <c r="M18" i="14675"/>
  <c r="I18" i="14675"/>
  <c r="L18" i="14675"/>
  <c r="F18" i="14675"/>
  <c r="J18" i="14675"/>
  <c r="K18" i="14675"/>
  <c r="G18" i="14675"/>
  <c r="N18" i="14675"/>
  <c r="C18" i="14675"/>
  <c r="D6" i="14638"/>
  <c r="K6" i="14638"/>
  <c r="L6" i="14638"/>
  <c r="B6" i="14638"/>
  <c r="G6" i="14638"/>
  <c r="C6" i="14638"/>
  <c r="J6" i="14638"/>
  <c r="H6" i="14638"/>
  <c r="E6" i="14638"/>
  <c r="M6" i="14638"/>
  <c r="I6" i="14638"/>
  <c r="F6" i="14638"/>
  <c r="C34" i="14623"/>
  <c r="G34" i="14623"/>
  <c r="F34" i="14623"/>
  <c r="L34" i="14623"/>
  <c r="I34" i="14623"/>
  <c r="K34" i="14623"/>
  <c r="D34" i="14623"/>
  <c r="H34" i="14623"/>
  <c r="J34" i="14623"/>
  <c r="E34" i="14623"/>
  <c r="M34" i="14623"/>
  <c r="B34" i="14623"/>
  <c r="E71" i="14704"/>
  <c r="K71" i="14704"/>
  <c r="G71" i="14704"/>
  <c r="I71" i="14704"/>
  <c r="B71" i="14704"/>
  <c r="J71" i="14704"/>
  <c r="L71" i="14704"/>
  <c r="M71" i="14704"/>
  <c r="D71" i="14704"/>
  <c r="C71" i="14704"/>
  <c r="F71" i="14704"/>
  <c r="H71" i="14704"/>
  <c r="E19" i="14687"/>
  <c r="F19" i="14687"/>
  <c r="I19" i="14687"/>
  <c r="L19" i="14687"/>
  <c r="G19" i="14687"/>
  <c r="N19" i="14687"/>
  <c r="C19" i="14687"/>
  <c r="H19" i="14687"/>
  <c r="M19" i="14687"/>
  <c r="J19" i="14687"/>
  <c r="D19" i="14687"/>
  <c r="K19" i="14687"/>
  <c r="K19" i="14701"/>
  <c r="C19" i="14701"/>
  <c r="G19" i="14701"/>
  <c r="I19" i="14701"/>
  <c r="B19" i="14701"/>
  <c r="M19" i="14701"/>
  <c r="D19" i="14701"/>
  <c r="E19" i="14701"/>
  <c r="L19" i="14701"/>
  <c r="F19" i="14701"/>
  <c r="H19" i="14701"/>
  <c r="J19" i="14701"/>
  <c r="D17" i="14681"/>
  <c r="F17" i="14681"/>
  <c r="I17" i="14681"/>
  <c r="M17" i="14681"/>
  <c r="H17" i="14681"/>
  <c r="L17" i="14681"/>
  <c r="C17" i="14681"/>
  <c r="J17" i="14681"/>
  <c r="K17" i="14681"/>
  <c r="B17" i="14681"/>
  <c r="E17" i="14681"/>
  <c r="G17" i="14681"/>
  <c r="M51" i="14648"/>
  <c r="K51" i="14648"/>
  <c r="H51" i="14648"/>
  <c r="J51" i="14648"/>
  <c r="I51" i="14648"/>
  <c r="F51" i="14648"/>
  <c r="D51" i="14648"/>
  <c r="E51" i="14648"/>
  <c r="L51" i="14648"/>
  <c r="G51" i="14648"/>
  <c r="C51" i="14648"/>
  <c r="N51" i="14648"/>
  <c r="C7" i="14704"/>
  <c r="K7" i="14704"/>
  <c r="J7" i="14704"/>
  <c r="B7" i="14704"/>
  <c r="F7" i="14704"/>
  <c r="H7" i="14704"/>
  <c r="D7" i="14704"/>
  <c r="I7" i="14704"/>
  <c r="G7" i="14704"/>
  <c r="E7" i="14704"/>
  <c r="L7" i="14704"/>
  <c r="M7" i="14704"/>
  <c r="D57" i="14687"/>
  <c r="F57" i="14687"/>
  <c r="J57" i="14687"/>
  <c r="L57" i="14687"/>
  <c r="I57" i="14687"/>
  <c r="N57" i="14687"/>
  <c r="C57" i="14687"/>
  <c r="G57" i="14687"/>
  <c r="H57" i="14687"/>
  <c r="K57" i="14687"/>
  <c r="M57" i="14687"/>
  <c r="E57" i="14687"/>
  <c r="C31" i="14703"/>
  <c r="E31" i="14703"/>
  <c r="I31" i="14703"/>
  <c r="K31" i="14703"/>
  <c r="H31" i="14703"/>
  <c r="M31" i="14703"/>
  <c r="B31" i="14703"/>
  <c r="F31" i="14703"/>
  <c r="G31" i="14703"/>
  <c r="J31" i="14703"/>
  <c r="L31" i="14703"/>
  <c r="D31" i="14703"/>
  <c r="K19" i="14704"/>
  <c r="C19" i="14704"/>
  <c r="G19" i="14704"/>
  <c r="I19" i="14704"/>
  <c r="B19" i="14704"/>
  <c r="M19" i="14704"/>
  <c r="D19" i="14704"/>
  <c r="E19" i="14704"/>
  <c r="L19" i="14704"/>
  <c r="H19" i="14704"/>
  <c r="J19" i="14704"/>
  <c r="F19" i="14704"/>
  <c r="D34" i="14678"/>
  <c r="C34" i="14678"/>
  <c r="J34" i="14678"/>
  <c r="E34" i="14678"/>
  <c r="B34" i="14678"/>
  <c r="M34" i="14678"/>
  <c r="K34" i="14678"/>
  <c r="L34" i="14678"/>
  <c r="I34" i="14678"/>
  <c r="F34" i="14678"/>
  <c r="H34" i="14678"/>
  <c r="G34" i="14678"/>
  <c r="H18" i="14674"/>
  <c r="E18" i="14674"/>
  <c r="G18" i="14674"/>
  <c r="J18" i="14674"/>
  <c r="N18" i="14674"/>
  <c r="I18" i="14674"/>
  <c r="L18" i="14674"/>
  <c r="D18" i="14674"/>
  <c r="K18" i="14674"/>
  <c r="M18" i="14674"/>
  <c r="F18" i="14674"/>
  <c r="C18" i="14674"/>
  <c r="I28" i="14625"/>
  <c r="E28" i="14625"/>
  <c r="F28" i="14625"/>
  <c r="J28" i="14625"/>
  <c r="K28" i="14625"/>
  <c r="G28" i="14625"/>
  <c r="D28" i="14625"/>
  <c r="M28" i="14625"/>
  <c r="L28" i="14625"/>
  <c r="N28" i="14625"/>
  <c r="H28" i="14625"/>
  <c r="C28" i="14625"/>
  <c r="C71" i="14703"/>
  <c r="I71" i="14703"/>
  <c r="M71" i="14703"/>
  <c r="K71" i="14703"/>
  <c r="E71" i="14703"/>
  <c r="L71" i="14703"/>
  <c r="H71" i="14703"/>
  <c r="B71" i="14703"/>
  <c r="F71" i="14703"/>
  <c r="G71" i="14703"/>
  <c r="D71" i="14703"/>
  <c r="J71" i="14703"/>
  <c r="D6" i="14679"/>
  <c r="H6" i="14679"/>
  <c r="J6" i="14679"/>
  <c r="G6" i="14679"/>
  <c r="B6" i="14679"/>
  <c r="C6" i="14679"/>
  <c r="F6" i="14679"/>
  <c r="I6" i="14679"/>
  <c r="L6" i="14679"/>
  <c r="M6" i="14679"/>
  <c r="E6" i="14679"/>
  <c r="K6" i="14679"/>
  <c r="E6" i="14632"/>
  <c r="G6" i="14632"/>
  <c r="I6" i="14632"/>
  <c r="F6" i="14632"/>
  <c r="B6" i="14632"/>
  <c r="D6" i="14632"/>
  <c r="H6" i="14632"/>
  <c r="M6" i="14632"/>
  <c r="K6" i="14632"/>
  <c r="J6" i="14632"/>
  <c r="C6" i="14632"/>
  <c r="L6" i="14632"/>
  <c r="D38" i="14687"/>
  <c r="H38" i="14687"/>
  <c r="I38" i="14687"/>
  <c r="N38" i="14687"/>
  <c r="J38" i="14687"/>
  <c r="L38" i="14687"/>
  <c r="C38" i="14687"/>
  <c r="G38" i="14687"/>
  <c r="F38" i="14687"/>
  <c r="E38" i="14687"/>
  <c r="K38" i="14687"/>
  <c r="M38" i="14687"/>
  <c r="C31" i="7"/>
  <c r="G31" i="7"/>
  <c r="L31" i="7"/>
  <c r="E31" i="7"/>
  <c r="I31" i="7"/>
  <c r="K31" i="7"/>
  <c r="B31" i="7"/>
  <c r="H31" i="7"/>
  <c r="F31" i="7"/>
  <c r="D31" i="7"/>
  <c r="J31" i="7"/>
  <c r="M31" i="7"/>
  <c r="C31" i="14669"/>
  <c r="G31" i="14669"/>
  <c r="H31" i="14669"/>
  <c r="M31" i="14669"/>
  <c r="I31" i="14669"/>
  <c r="K31" i="14669"/>
  <c r="B31" i="14669"/>
  <c r="F31" i="14669"/>
  <c r="E31" i="14669"/>
  <c r="D31" i="14669"/>
  <c r="J31" i="14669"/>
  <c r="L31" i="14669"/>
  <c r="C58" i="14698"/>
  <c r="G58" i="14698"/>
  <c r="L58" i="14698"/>
  <c r="E58" i="14698"/>
  <c r="I58" i="14698"/>
  <c r="K58" i="14698"/>
  <c r="B58" i="14698"/>
  <c r="H58" i="14698"/>
  <c r="F58" i="14698"/>
  <c r="D58" i="14698"/>
  <c r="J58" i="14698"/>
  <c r="M58" i="14698"/>
  <c r="D19" i="14702"/>
  <c r="C19" i="14702"/>
  <c r="G19" i="14702"/>
  <c r="K19" i="14702"/>
  <c r="B19" i="14702"/>
  <c r="J19" i="14702"/>
  <c r="H19" i="14702"/>
  <c r="I19" i="14702"/>
  <c r="E19" i="14702"/>
  <c r="L19" i="14702"/>
  <c r="M19" i="14702"/>
  <c r="F19" i="14702"/>
  <c r="C4" i="14631"/>
  <c r="E4" i="14631"/>
  <c r="I4" i="14631"/>
  <c r="K4" i="14631"/>
  <c r="H4" i="14631"/>
  <c r="M4" i="14631"/>
  <c r="D4" i="14631"/>
  <c r="J4" i="14631"/>
  <c r="L4" i="14631"/>
  <c r="F4" i="14631"/>
  <c r="B4" i="14631"/>
  <c r="G4" i="14631"/>
  <c r="M26" i="14681"/>
  <c r="C26" i="14681"/>
  <c r="F26" i="14681"/>
  <c r="K26" i="14681"/>
  <c r="B26" i="14681"/>
  <c r="J26" i="14681"/>
  <c r="D26" i="14681"/>
  <c r="G26" i="14681"/>
  <c r="L26" i="14681"/>
  <c r="H26" i="14681"/>
  <c r="I26" i="14681"/>
  <c r="E26" i="14681"/>
  <c r="C32" i="14629"/>
  <c r="F32" i="14629"/>
  <c r="E32" i="14629"/>
  <c r="I32" i="14629"/>
  <c r="M32" i="14629"/>
  <c r="G32" i="14629"/>
  <c r="L32" i="14629"/>
  <c r="H32" i="14629"/>
  <c r="B32" i="14629"/>
  <c r="D32" i="14629"/>
  <c r="J32" i="14629"/>
  <c r="K32" i="14629"/>
  <c r="C4" i="14673"/>
  <c r="I4" i="14673"/>
  <c r="B4" i="14673"/>
  <c r="M4" i="14673"/>
  <c r="L4" i="14673"/>
  <c r="G4" i="14673"/>
  <c r="H4" i="14673"/>
  <c r="E4" i="14673"/>
  <c r="D4" i="14673"/>
  <c r="F4" i="14673"/>
  <c r="J4" i="14673"/>
  <c r="K4" i="14673"/>
  <c r="H4" i="14639"/>
  <c r="K4" i="14639"/>
  <c r="F4" i="14639"/>
  <c r="M4" i="14639"/>
  <c r="L4" i="14639"/>
  <c r="G4" i="14639"/>
  <c r="I4" i="14639"/>
  <c r="C4" i="14639"/>
  <c r="E4" i="14639"/>
  <c r="J4" i="14639"/>
  <c r="D4" i="14639"/>
  <c r="N4" i="14639"/>
  <c r="I30" i="14675"/>
  <c r="J30" i="14675"/>
  <c r="E30" i="14675"/>
  <c r="F30" i="14675"/>
  <c r="L30" i="14675"/>
  <c r="K30" i="14675"/>
  <c r="G30" i="14675"/>
  <c r="H30" i="14675"/>
  <c r="C30" i="14675"/>
  <c r="D30" i="14675"/>
  <c r="M30" i="14675"/>
  <c r="N30" i="14675"/>
  <c r="F94" i="14648"/>
  <c r="J94" i="14648"/>
  <c r="K94" i="14648"/>
  <c r="H94" i="14648"/>
  <c r="D94" i="14648"/>
  <c r="E94" i="14648"/>
  <c r="L94" i="14648"/>
  <c r="N94" i="14648"/>
  <c r="C94" i="14648"/>
  <c r="M94" i="14648"/>
  <c r="G94" i="14648"/>
  <c r="I94" i="14648"/>
  <c r="F28" i="14641"/>
  <c r="L28" i="14641"/>
  <c r="E28" i="14641"/>
  <c r="G28" i="14641"/>
  <c r="M28" i="14641"/>
  <c r="N28" i="14641"/>
  <c r="H28" i="14641"/>
  <c r="I28" i="14641"/>
  <c r="C28" i="14641"/>
  <c r="D28" i="14641"/>
  <c r="J28" i="14641"/>
  <c r="K28" i="14641"/>
  <c r="H4" i="7"/>
  <c r="I4" i="7"/>
  <c r="E4" i="7"/>
  <c r="J4" i="7"/>
  <c r="L4" i="7"/>
  <c r="F4" i="7"/>
  <c r="G4" i="7"/>
  <c r="B4" i="7"/>
  <c r="M4" i="7"/>
  <c r="D4" i="7"/>
  <c r="C4" i="7"/>
  <c r="K4" i="7"/>
  <c r="C71" i="14702"/>
  <c r="G71" i="14702"/>
  <c r="K71" i="14702"/>
  <c r="M71" i="14702"/>
  <c r="E71" i="14702"/>
  <c r="J71" i="14702"/>
  <c r="D71" i="14702"/>
  <c r="H71" i="14702"/>
  <c r="I71" i="14702"/>
  <c r="B71" i="14702"/>
  <c r="L71" i="14702"/>
  <c r="F71" i="14702"/>
  <c r="L6" i="14623"/>
  <c r="E6" i="14623"/>
  <c r="K6" i="14623"/>
  <c r="M6" i="14623"/>
  <c r="I6" i="14623"/>
  <c r="G6" i="14623"/>
  <c r="B6" i="14623"/>
  <c r="C6" i="14623"/>
  <c r="H6" i="14623"/>
  <c r="J6" i="14623"/>
  <c r="F6" i="14623"/>
  <c r="D6" i="14623"/>
  <c r="B7" i="14701"/>
  <c r="C7" i="14701"/>
  <c r="G7" i="14701"/>
  <c r="L7" i="14701"/>
  <c r="D7" i="14701"/>
  <c r="M7" i="14701"/>
  <c r="J7" i="14701"/>
  <c r="I7" i="14701"/>
  <c r="F7" i="14701"/>
  <c r="K7" i="14701"/>
  <c r="E7" i="14701"/>
  <c r="H7" i="14701"/>
  <c r="J7" i="14703"/>
  <c r="B7" i="14703"/>
  <c r="D7" i="14703"/>
  <c r="I7" i="14703"/>
  <c r="M7" i="14703"/>
  <c r="H7" i="14703"/>
  <c r="F7" i="14703"/>
  <c r="G7" i="14703"/>
  <c r="E7" i="14703"/>
  <c r="C7" i="14703"/>
  <c r="L7" i="14703"/>
  <c r="K7" i="14703"/>
  <c r="L8" i="14687"/>
  <c r="E8" i="14687"/>
  <c r="F8" i="14687"/>
  <c r="K8" i="14687"/>
  <c r="M8" i="14687"/>
  <c r="G8" i="14687"/>
  <c r="I8" i="14687"/>
  <c r="D8" i="14687"/>
  <c r="J8" i="14687"/>
  <c r="N8" i="14687"/>
  <c r="C8" i="14687"/>
  <c r="H8" i="14687"/>
  <c r="E46" i="14687"/>
  <c r="M46" i="14687"/>
  <c r="D46" i="14687"/>
  <c r="H46" i="14687"/>
  <c r="L46" i="14687"/>
  <c r="C46" i="14687"/>
  <c r="K46" i="14687"/>
  <c r="J46" i="14687"/>
  <c r="F46" i="14687"/>
  <c r="G46" i="14687"/>
  <c r="I46" i="14687"/>
  <c r="N46" i="14687"/>
  <c r="L84" i="14687"/>
  <c r="F84" i="14687"/>
  <c r="K84" i="14687"/>
  <c r="M84" i="14687"/>
  <c r="G84" i="14687"/>
  <c r="I84" i="14687"/>
  <c r="H84" i="14687"/>
  <c r="C84" i="14687"/>
  <c r="E84" i="14687"/>
  <c r="J84" i="14687"/>
  <c r="D84" i="14687"/>
  <c r="N84" i="14687"/>
  <c r="D16" i="14630"/>
  <c r="L16" i="14630"/>
  <c r="C16" i="14630"/>
  <c r="I16" i="14630"/>
  <c r="G16" i="14630"/>
  <c r="B16" i="14630"/>
  <c r="E16" i="14630"/>
  <c r="F16" i="14630"/>
  <c r="M16" i="14630"/>
  <c r="J16" i="14630"/>
  <c r="H16" i="14630"/>
  <c r="K16" i="14630"/>
  <c r="K16" i="14668"/>
  <c r="D16" i="14668"/>
  <c r="E16" i="14668"/>
  <c r="J16" i="14668"/>
  <c r="L16" i="14668"/>
  <c r="F16" i="14668"/>
  <c r="H16" i="14668"/>
  <c r="C16" i="14668"/>
  <c r="I16" i="14668"/>
  <c r="M16" i="14668"/>
  <c r="G16" i="14668"/>
  <c r="B16" i="14668"/>
  <c r="D19" i="14703"/>
  <c r="L19" i="14703"/>
  <c r="C19" i="14703"/>
  <c r="G19" i="14703"/>
  <c r="K19" i="14703"/>
  <c r="B19" i="14703"/>
  <c r="J19" i="14703"/>
  <c r="I19" i="14703"/>
  <c r="E19" i="14703"/>
  <c r="M19" i="14703"/>
  <c r="F19" i="14703"/>
  <c r="H19" i="14703"/>
  <c r="K19" i="14698"/>
  <c r="D19" i="14698"/>
  <c r="E19" i="14698"/>
  <c r="J19" i="14698"/>
  <c r="L19" i="14698"/>
  <c r="F19" i="14698"/>
  <c r="H19" i="14698"/>
  <c r="G19" i="14698"/>
  <c r="B19" i="14698"/>
  <c r="C19" i="14698"/>
  <c r="M19" i="14698"/>
  <c r="I19" i="14698"/>
  <c r="D19" i="14700"/>
  <c r="C19" i="14700"/>
  <c r="I19" i="14700"/>
  <c r="G19" i="14700"/>
  <c r="B19" i="14700"/>
  <c r="E19" i="14700"/>
  <c r="F19" i="14700"/>
  <c r="M19" i="14700"/>
  <c r="J19" i="14700"/>
  <c r="K19" i="14700"/>
  <c r="L19" i="14700"/>
  <c r="H19" i="14700"/>
  <c r="D31" i="14701"/>
  <c r="E31" i="14701"/>
  <c r="H31" i="14701"/>
  <c r="K31" i="14701"/>
  <c r="F31" i="14701"/>
  <c r="M31" i="14701"/>
  <c r="B31" i="14701"/>
  <c r="G31" i="14701"/>
  <c r="L31" i="14701"/>
  <c r="I31" i="14701"/>
  <c r="C31" i="14701"/>
  <c r="J31" i="14701"/>
  <c r="D58" i="14701"/>
  <c r="L58" i="14701"/>
  <c r="J58" i="14701"/>
  <c r="C58" i="14701"/>
  <c r="B58" i="14701"/>
  <c r="E58" i="14701"/>
  <c r="K58" i="14701"/>
  <c r="M58" i="14701"/>
  <c r="G58" i="14701"/>
  <c r="F58" i="14701"/>
  <c r="H58" i="14701"/>
  <c r="I58" i="14701"/>
  <c r="L45" i="14702"/>
  <c r="E45" i="14702"/>
  <c r="M45" i="14702"/>
  <c r="J45" i="14702"/>
  <c r="I45" i="14702"/>
  <c r="K45" i="14702"/>
  <c r="B45" i="14702"/>
  <c r="G45" i="14702"/>
  <c r="D45" i="14702"/>
  <c r="H45" i="14702"/>
  <c r="C45" i="14702"/>
  <c r="F45" i="14702"/>
  <c r="L45" i="14704"/>
  <c r="D45" i="14704"/>
  <c r="K45" i="14704"/>
  <c r="G45" i="14704"/>
  <c r="H45" i="14704"/>
  <c r="M45" i="14704"/>
  <c r="E45" i="14704"/>
  <c r="C45" i="14704"/>
  <c r="J45" i="14704"/>
  <c r="I45" i="14704"/>
  <c r="F45" i="14704"/>
  <c r="B45" i="14704"/>
  <c r="D4" i="14670"/>
  <c r="E4" i="14670"/>
  <c r="G4" i="14670"/>
  <c r="H4" i="14670"/>
  <c r="K4" i="14670"/>
  <c r="M4" i="14670"/>
  <c r="C4" i="14670"/>
  <c r="J4" i="14670"/>
  <c r="L4" i="14670"/>
  <c r="B4" i="14670"/>
  <c r="I4" i="14670"/>
  <c r="F4" i="14670"/>
  <c r="D34" i="14638"/>
  <c r="E34" i="14638"/>
  <c r="G34" i="14638"/>
  <c r="K34" i="14638"/>
  <c r="H34" i="14638"/>
  <c r="L34" i="14638"/>
  <c r="C34" i="14638"/>
  <c r="J34" i="14638"/>
  <c r="I34" i="14638"/>
  <c r="B34" i="14638"/>
  <c r="M34" i="14638"/>
  <c r="F34" i="14638"/>
  <c r="D8" i="14681"/>
  <c r="L8" i="14681"/>
  <c r="E8" i="14681"/>
  <c r="H8" i="14681"/>
  <c r="M8" i="14681"/>
  <c r="F8" i="14681"/>
  <c r="G8" i="14681"/>
  <c r="B8" i="14681"/>
  <c r="K8" i="14681"/>
  <c r="J8" i="14681"/>
  <c r="C8" i="14681"/>
  <c r="I8" i="14681"/>
  <c r="L44" i="14681"/>
  <c r="D44" i="14681"/>
  <c r="K44" i="14681"/>
  <c r="E44" i="14681"/>
  <c r="G44" i="14681"/>
  <c r="M44" i="14681"/>
  <c r="F44" i="14681"/>
  <c r="C44" i="14681"/>
  <c r="I44" i="14681"/>
  <c r="H44" i="14681"/>
  <c r="J44" i="14681"/>
  <c r="B44" i="14681"/>
  <c r="I4" i="14636"/>
  <c r="D4" i="14636"/>
  <c r="E4" i="14636"/>
  <c r="L4" i="14636"/>
  <c r="H4" i="14636"/>
  <c r="M4" i="14636"/>
  <c r="B4" i="14636"/>
  <c r="J4" i="14636"/>
  <c r="C4" i="14636"/>
  <c r="F4" i="14636"/>
  <c r="G4" i="14636"/>
  <c r="K4" i="14636"/>
  <c r="E32" i="14673"/>
  <c r="L32" i="14673"/>
  <c r="M32" i="14673"/>
  <c r="H32" i="14673"/>
  <c r="C32" i="14673"/>
  <c r="D32" i="14673"/>
  <c r="K32" i="14673"/>
  <c r="J32" i="14673"/>
  <c r="I32" i="14673"/>
  <c r="B32" i="14673"/>
  <c r="G32" i="14673"/>
  <c r="F32" i="14673"/>
  <c r="F4" i="14634"/>
  <c r="L4" i="14634"/>
  <c r="N4" i="14634"/>
  <c r="D4" i="14634"/>
  <c r="I4" i="14634"/>
  <c r="C4" i="14634"/>
  <c r="G4" i="14634"/>
  <c r="M4" i="14634"/>
  <c r="H4" i="14634"/>
  <c r="E4" i="14634"/>
  <c r="J4" i="14634"/>
  <c r="K4" i="14634"/>
  <c r="F18" i="14639"/>
  <c r="I18" i="14639"/>
  <c r="N18" i="14639"/>
  <c r="G18" i="14639"/>
  <c r="K18" i="14639"/>
  <c r="E18" i="14639"/>
  <c r="H18" i="14639"/>
  <c r="M18" i="14639"/>
  <c r="D18" i="14639"/>
  <c r="L18" i="14639"/>
  <c r="C18" i="14639"/>
  <c r="J18" i="14639"/>
  <c r="F30" i="14674"/>
  <c r="L30" i="14674"/>
  <c r="N30" i="14674"/>
  <c r="D30" i="14674"/>
  <c r="J30" i="14674"/>
  <c r="H30" i="14674"/>
  <c r="C30" i="14674"/>
  <c r="G30" i="14674"/>
  <c r="I30" i="14674"/>
  <c r="K30" i="14674"/>
  <c r="M30" i="14674"/>
  <c r="E30" i="14674"/>
  <c r="L6" i="14648"/>
  <c r="I6" i="14648"/>
  <c r="M6" i="14648"/>
  <c r="F6" i="14648"/>
  <c r="E6" i="14648"/>
  <c r="K6" i="14648"/>
  <c r="D6" i="14648"/>
  <c r="N6" i="14648"/>
  <c r="C6" i="14648"/>
  <c r="H6" i="14648"/>
  <c r="J6" i="14648"/>
  <c r="G6" i="14648"/>
  <c r="N66" i="14648"/>
  <c r="L66" i="14648"/>
  <c r="F66" i="14648"/>
  <c r="H66" i="14648"/>
  <c r="I66" i="14648"/>
  <c r="C66" i="14648"/>
  <c r="M66" i="14648"/>
  <c r="J66" i="14648"/>
  <c r="D66" i="14648"/>
  <c r="G66" i="14648"/>
  <c r="K66" i="14648"/>
  <c r="E66" i="14648"/>
  <c r="L99" i="14648"/>
  <c r="K99" i="14648"/>
  <c r="E99" i="14648"/>
  <c r="I99" i="14648"/>
  <c r="D99" i="14648"/>
  <c r="M99" i="14648"/>
  <c r="F99" i="14648"/>
  <c r="N99" i="14648"/>
  <c r="J99" i="14648"/>
  <c r="G99" i="14648"/>
  <c r="H99" i="14648"/>
  <c r="C99" i="14648"/>
  <c r="F4" i="14633"/>
  <c r="J4" i="14633"/>
  <c r="N4" i="14633"/>
  <c r="G4" i="14633"/>
  <c r="C4" i="14633"/>
  <c r="H4" i="14633"/>
  <c r="K4" i="14633"/>
  <c r="D4" i="14633"/>
  <c r="I4" i="14633"/>
  <c r="E4" i="14633"/>
  <c r="M4" i="14633"/>
  <c r="L4" i="14633"/>
  <c r="E4" i="14676"/>
  <c r="D4" i="14676"/>
  <c r="H4" i="14676"/>
  <c r="J4" i="14676"/>
  <c r="L4" i="14676"/>
  <c r="N4" i="14676"/>
  <c r="C4" i="14676"/>
  <c r="G4" i="14676"/>
  <c r="K4" i="14676"/>
  <c r="I4" i="14676"/>
  <c r="M4" i="14676"/>
  <c r="F4" i="14676"/>
  <c r="E62" i="14684"/>
  <c r="D62" i="14684"/>
  <c r="H62" i="14684"/>
  <c r="J62" i="14684"/>
  <c r="K62" i="14684"/>
  <c r="M62" i="14684"/>
  <c r="B62" i="14684"/>
  <c r="G62" i="14684"/>
  <c r="F62" i="14684"/>
  <c r="I62" i="14684"/>
  <c r="C62" i="14684"/>
  <c r="L62" i="14684"/>
  <c r="C7" i="14702"/>
  <c r="F7" i="14702"/>
  <c r="E7" i="14702"/>
  <c r="J7" i="14702"/>
  <c r="K7" i="14702"/>
  <c r="M7" i="14702"/>
  <c r="B7" i="14702"/>
  <c r="G7" i="14702"/>
  <c r="H7" i="14702"/>
  <c r="I7" i="14702"/>
  <c r="L7" i="14702"/>
  <c r="D7" i="14702"/>
  <c r="D7" i="14700"/>
  <c r="I7" i="14700"/>
  <c r="E7" i="14700"/>
  <c r="L7" i="14700"/>
  <c r="J7" i="14700"/>
  <c r="M7" i="14700"/>
  <c r="B7" i="14700"/>
  <c r="K7" i="14700"/>
  <c r="C7" i="14700"/>
  <c r="G7" i="14700"/>
  <c r="H7" i="14700"/>
  <c r="F7" i="14700"/>
  <c r="I44" i="14653"/>
  <c r="H44" i="14653"/>
  <c r="G44" i="14653"/>
  <c r="K44" i="14653"/>
  <c r="M44" i="14653"/>
  <c r="B44" i="14653"/>
  <c r="D44" i="14653"/>
  <c r="L44" i="14653"/>
  <c r="F44" i="14653"/>
  <c r="J44" i="14653"/>
  <c r="E44" i="14653"/>
  <c r="C44" i="14653"/>
  <c r="J70" i="14653"/>
  <c r="C70" i="14653"/>
  <c r="D70" i="14653"/>
  <c r="B70" i="14653"/>
  <c r="H70" i="14653"/>
  <c r="G70" i="14653"/>
  <c r="M70" i="14653"/>
  <c r="L70" i="14653"/>
  <c r="E70" i="14653"/>
  <c r="K70" i="14653"/>
  <c r="F70" i="14653"/>
  <c r="I70" i="14653"/>
  <c r="O17" i="14625"/>
  <c r="O17" i="14641"/>
  <c r="O8" i="14628"/>
  <c r="D19" i="4129"/>
  <c r="N31" i="14653"/>
  <c r="G6" i="14659"/>
  <c r="G30" i="14659" s="1"/>
  <c r="Q18" i="14632"/>
  <c r="C67" i="14690"/>
  <c r="D56" i="14690"/>
  <c r="E29" i="14707"/>
  <c r="E18" i="14707"/>
  <c r="G18" i="14703"/>
  <c r="G57" i="14703"/>
  <c r="G44" i="14703"/>
  <c r="O17" i="14633"/>
  <c r="C4" i="14629"/>
  <c r="E4" i="14629"/>
  <c r="I4" i="14629"/>
  <c r="L4" i="14629"/>
  <c r="G4" i="14629"/>
  <c r="M4" i="14629"/>
  <c r="D4" i="14629"/>
  <c r="K4" i="14629"/>
  <c r="J4" i="14629"/>
  <c r="H4" i="14629"/>
  <c r="B4" i="14629"/>
  <c r="F4" i="14629"/>
  <c r="J28" i="14677"/>
  <c r="E28" i="14677"/>
  <c r="K28" i="14677"/>
  <c r="F28" i="14677"/>
  <c r="M28" i="14677"/>
  <c r="L28" i="14677"/>
  <c r="G28" i="14677"/>
  <c r="D28" i="14677"/>
  <c r="H28" i="14677"/>
  <c r="N28" i="14677"/>
  <c r="C28" i="14677"/>
  <c r="I28" i="14677"/>
  <c r="D31" i="14698"/>
  <c r="E31" i="14698"/>
  <c r="G31" i="14698"/>
  <c r="I31" i="14698"/>
  <c r="L31" i="14698"/>
  <c r="M31" i="14698"/>
  <c r="B31" i="14698"/>
  <c r="F31" i="14698"/>
  <c r="K31" i="14698"/>
  <c r="H31" i="14698"/>
  <c r="C31" i="14698"/>
  <c r="J31" i="14698"/>
  <c r="J30" i="14628"/>
  <c r="E30" i="14628"/>
  <c r="K30" i="14628"/>
  <c r="G30" i="14628"/>
  <c r="L30" i="14628"/>
  <c r="N30" i="14628"/>
  <c r="H30" i="14628"/>
  <c r="D30" i="14628"/>
  <c r="F30" i="14628"/>
  <c r="M30" i="14628"/>
  <c r="C30" i="14628"/>
  <c r="I30" i="14628"/>
  <c r="D4" i="14630"/>
  <c r="E4" i="14630"/>
  <c r="J4" i="14630"/>
  <c r="B4" i="14630"/>
  <c r="K4" i="14630"/>
  <c r="C4" i="14630"/>
  <c r="H4" i="14630"/>
  <c r="L4" i="14630"/>
  <c r="G4" i="14630"/>
  <c r="F4" i="14630"/>
  <c r="M4" i="14630"/>
  <c r="I4" i="14630"/>
  <c r="D31" i="14668"/>
  <c r="E31" i="14668"/>
  <c r="H31" i="14668"/>
  <c r="K31" i="14668"/>
  <c r="F31" i="14668"/>
  <c r="M31" i="14668"/>
  <c r="B31" i="14668"/>
  <c r="G31" i="14668"/>
  <c r="L31" i="14668"/>
  <c r="I31" i="14668"/>
  <c r="C31" i="14668"/>
  <c r="J31" i="14668"/>
  <c r="C58" i="14704"/>
  <c r="G58" i="14704"/>
  <c r="L58" i="14704"/>
  <c r="E58" i="14704"/>
  <c r="I58" i="14704"/>
  <c r="K58" i="14704"/>
  <c r="D58" i="14704"/>
  <c r="M58" i="14704"/>
  <c r="J58" i="14704"/>
  <c r="B58" i="14704"/>
  <c r="F58" i="14704"/>
  <c r="H58" i="14704"/>
  <c r="B32" i="14672"/>
  <c r="C32" i="14672"/>
  <c r="J32" i="14672"/>
  <c r="K32" i="14672"/>
  <c r="D32" i="14672"/>
  <c r="M32" i="14672"/>
  <c r="H32" i="14672"/>
  <c r="I32" i="14672"/>
  <c r="E32" i="14672"/>
  <c r="L32" i="14672"/>
  <c r="F32" i="14672"/>
  <c r="G32" i="14672"/>
  <c r="D4" i="14641"/>
  <c r="F4" i="14641"/>
  <c r="I4" i="14641"/>
  <c r="L4" i="14641"/>
  <c r="N4" i="14641"/>
  <c r="J4" i="14641"/>
  <c r="C4" i="14641"/>
  <c r="H4" i="14641"/>
  <c r="M4" i="14641"/>
  <c r="E4" i="14641"/>
  <c r="G4" i="14641"/>
  <c r="K4" i="14641"/>
  <c r="C66" i="14647"/>
  <c r="F66" i="14647"/>
  <c r="G66" i="14647"/>
  <c r="E66" i="14647"/>
  <c r="H66" i="14647"/>
  <c r="I66" i="14647"/>
  <c r="D66" i="14647"/>
  <c r="C31" i="14630"/>
  <c r="E31" i="14630"/>
  <c r="I31" i="14630"/>
  <c r="K31" i="14630"/>
  <c r="H31" i="14630"/>
  <c r="M31" i="14630"/>
  <c r="B31" i="14630"/>
  <c r="F31" i="14630"/>
  <c r="G31" i="14630"/>
  <c r="J31" i="14630"/>
  <c r="L31" i="14630"/>
  <c r="D31" i="14630"/>
  <c r="C31" i="14700"/>
  <c r="E31" i="14700"/>
  <c r="I31" i="14700"/>
  <c r="K31" i="14700"/>
  <c r="H31" i="14700"/>
  <c r="M31" i="14700"/>
  <c r="B31" i="14700"/>
  <c r="F31" i="14700"/>
  <c r="G31" i="14700"/>
  <c r="J31" i="14700"/>
  <c r="L31" i="14700"/>
  <c r="D31" i="14700"/>
  <c r="C4" i="14640"/>
  <c r="K4" i="14640"/>
  <c r="E4" i="14640"/>
  <c r="L4" i="14640"/>
  <c r="J4" i="14640"/>
  <c r="G4" i="14640"/>
  <c r="H4" i="14640"/>
  <c r="I4" i="14640"/>
  <c r="B4" i="14640"/>
  <c r="D4" i="14640"/>
  <c r="M4" i="14640"/>
  <c r="F4" i="14640"/>
  <c r="E30" i="14634"/>
  <c r="D30" i="14634"/>
  <c r="G30" i="14634"/>
  <c r="M30" i="14634"/>
  <c r="I30" i="14634"/>
  <c r="L30" i="14634"/>
  <c r="F30" i="14634"/>
  <c r="J30" i="14634"/>
  <c r="K30" i="14634"/>
  <c r="C30" i="14634"/>
  <c r="N30" i="14634"/>
  <c r="H30" i="14634"/>
  <c r="D89" i="14648"/>
  <c r="J89" i="14648"/>
  <c r="F89" i="14648"/>
  <c r="G89" i="14648"/>
  <c r="N89" i="14648"/>
  <c r="I89" i="14648"/>
  <c r="M89" i="14648"/>
  <c r="H89" i="14648"/>
  <c r="K89" i="14648"/>
  <c r="C89" i="14648"/>
  <c r="E89" i="14648"/>
  <c r="L89" i="14648"/>
  <c r="C4" i="14669"/>
  <c r="D4" i="14669"/>
  <c r="G4" i="14669"/>
  <c r="I4" i="14669"/>
  <c r="M4" i="14669"/>
  <c r="L4" i="14669"/>
  <c r="B4" i="14669"/>
  <c r="F4" i="14669"/>
  <c r="J4" i="14669"/>
  <c r="E4" i="14669"/>
  <c r="K4" i="14669"/>
  <c r="H4" i="14669"/>
  <c r="E5" i="14653"/>
  <c r="I5" i="14653"/>
  <c r="C5" i="14653"/>
  <c r="G5" i="14653"/>
  <c r="K5" i="14653"/>
  <c r="B5" i="14653"/>
  <c r="D5" i="14653"/>
  <c r="J5" i="14653"/>
  <c r="M5" i="14653"/>
  <c r="H5" i="14653"/>
  <c r="F5" i="14653"/>
  <c r="L5" i="14653"/>
  <c r="D52" i="14665"/>
  <c r="J52" i="14665"/>
  <c r="K52" i="14665"/>
  <c r="G52" i="14665"/>
  <c r="H52" i="14665"/>
  <c r="C52" i="14665"/>
  <c r="E52" i="14665"/>
  <c r="I52" i="14665"/>
  <c r="B52" i="14665"/>
  <c r="M52" i="14665"/>
  <c r="L52" i="14665"/>
  <c r="F52" i="14665"/>
  <c r="C18" i="14653"/>
  <c r="E18" i="14653"/>
  <c r="G18" i="14653"/>
  <c r="I18" i="14653"/>
  <c r="M18" i="14653"/>
  <c r="K18" i="14653"/>
  <c r="D18" i="14653"/>
  <c r="F18" i="14653"/>
  <c r="J18" i="14653"/>
  <c r="H18" i="14653"/>
  <c r="B18" i="14653"/>
  <c r="L18" i="14653"/>
  <c r="D76" i="14687"/>
  <c r="G76" i="14687"/>
  <c r="F76" i="14687"/>
  <c r="N76" i="14687"/>
  <c r="J76" i="14687"/>
  <c r="M76" i="14687"/>
  <c r="C76" i="14687"/>
  <c r="H76" i="14687"/>
  <c r="I76" i="14687"/>
  <c r="E76" i="14687"/>
  <c r="L76" i="14687"/>
  <c r="K76" i="14687"/>
  <c r="C31" i="14637"/>
  <c r="F31" i="14637"/>
  <c r="E31" i="14637"/>
  <c r="M31" i="14637"/>
  <c r="I31" i="14637"/>
  <c r="L31" i="14637"/>
  <c r="B31" i="14637"/>
  <c r="G31" i="14637"/>
  <c r="H31" i="14637"/>
  <c r="D31" i="14637"/>
  <c r="K31" i="14637"/>
  <c r="J31" i="14637"/>
  <c r="C58" i="14703"/>
  <c r="F58" i="14703"/>
  <c r="E58" i="14703"/>
  <c r="M58" i="14703"/>
  <c r="I58" i="14703"/>
  <c r="L58" i="14703"/>
  <c r="B58" i="14703"/>
  <c r="G58" i="14703"/>
  <c r="H58" i="14703"/>
  <c r="D58" i="14703"/>
  <c r="K58" i="14703"/>
  <c r="J58" i="14703"/>
  <c r="C58" i="14700"/>
  <c r="F58" i="14700"/>
  <c r="E58" i="14700"/>
  <c r="M58" i="14700"/>
  <c r="I58" i="14700"/>
  <c r="L58" i="14700"/>
  <c r="B58" i="14700"/>
  <c r="G58" i="14700"/>
  <c r="H58" i="14700"/>
  <c r="D58" i="14700"/>
  <c r="K58" i="14700"/>
  <c r="J58" i="14700"/>
  <c r="C58" i="14702"/>
  <c r="F58" i="14702"/>
  <c r="E58" i="14702"/>
  <c r="M58" i="14702"/>
  <c r="I58" i="14702"/>
  <c r="L58" i="14702"/>
  <c r="D58" i="14702"/>
  <c r="J58" i="14702"/>
  <c r="K58" i="14702"/>
  <c r="B58" i="14702"/>
  <c r="H58" i="14702"/>
  <c r="G58" i="14702"/>
  <c r="D34" i="14632"/>
  <c r="L34" i="14632"/>
  <c r="E34" i="14632"/>
  <c r="G34" i="14632"/>
  <c r="M34" i="14632"/>
  <c r="F34" i="14632"/>
  <c r="J34" i="14632"/>
  <c r="C34" i="14632"/>
  <c r="K34" i="14632"/>
  <c r="I34" i="14632"/>
  <c r="B34" i="14632"/>
  <c r="H34" i="14632"/>
  <c r="D4" i="14624"/>
  <c r="F4" i="14624"/>
  <c r="I4" i="14624"/>
  <c r="K4" i="14624"/>
  <c r="H4" i="14624"/>
  <c r="M4" i="14624"/>
  <c r="C4" i="14624"/>
  <c r="J4" i="14624"/>
  <c r="L4" i="14624"/>
  <c r="B4" i="14624"/>
  <c r="G4" i="14624"/>
  <c r="E4" i="14624"/>
  <c r="B4" i="14672"/>
  <c r="D4" i="14672"/>
  <c r="E4" i="14672"/>
  <c r="J4" i="14672"/>
  <c r="M4" i="14672"/>
  <c r="I4" i="14672"/>
  <c r="G4" i="14672"/>
  <c r="K4" i="14672"/>
  <c r="L4" i="14672"/>
  <c r="H4" i="14672"/>
  <c r="C4" i="14672"/>
  <c r="F4" i="14672"/>
  <c r="D18" i="14628"/>
  <c r="E18" i="14628"/>
  <c r="G18" i="14628"/>
  <c r="J18" i="14628"/>
  <c r="N18" i="14628"/>
  <c r="M18" i="14628"/>
  <c r="C18" i="14628"/>
  <c r="H18" i="14628"/>
  <c r="K18" i="14628"/>
  <c r="F18" i="14628"/>
  <c r="L18" i="14628"/>
  <c r="I18" i="14628"/>
  <c r="D4" i="14674"/>
  <c r="E4" i="14674"/>
  <c r="H4" i="14674"/>
  <c r="J4" i="14674"/>
  <c r="K4" i="14674"/>
  <c r="M4" i="14674"/>
  <c r="C4" i="14674"/>
  <c r="G4" i="14674"/>
  <c r="N4" i="14674"/>
  <c r="I4" i="14674"/>
  <c r="L4" i="14674"/>
  <c r="F4" i="14674"/>
  <c r="F36" i="14648"/>
  <c r="E36" i="14648"/>
  <c r="L36" i="14648"/>
  <c r="J36" i="14648"/>
  <c r="H36" i="14648"/>
  <c r="D36" i="14648"/>
  <c r="C36" i="14648"/>
  <c r="N36" i="14648"/>
  <c r="M36" i="14648"/>
  <c r="I36" i="14648"/>
  <c r="G36" i="14648"/>
  <c r="K36" i="14648"/>
  <c r="D4" i="14625"/>
  <c r="F4" i="14625"/>
  <c r="K4" i="14625"/>
  <c r="C4" i="14625"/>
  <c r="I4" i="14625"/>
  <c r="N4" i="14625"/>
  <c r="H4" i="14625"/>
  <c r="M4" i="14625"/>
  <c r="L4" i="14625"/>
  <c r="J4" i="14625"/>
  <c r="E4" i="14625"/>
  <c r="G4" i="14625"/>
  <c r="D4" i="14677"/>
  <c r="F4" i="14677"/>
  <c r="I4" i="14677"/>
  <c r="N4" i="14677"/>
  <c r="J4" i="14677"/>
  <c r="M4" i="14677"/>
  <c r="C4" i="14677"/>
  <c r="G4" i="14677"/>
  <c r="H4" i="14677"/>
  <c r="E4" i="14677"/>
  <c r="K4" i="14677"/>
  <c r="L4" i="14677"/>
  <c r="D6" i="14678"/>
  <c r="C6" i="14678"/>
  <c r="H6" i="14678"/>
  <c r="L6" i="14678"/>
  <c r="J6" i="14678"/>
  <c r="M6" i="14678"/>
  <c r="B6" i="14678"/>
  <c r="F6" i="14678"/>
  <c r="G6" i="14678"/>
  <c r="E6" i="14678"/>
  <c r="K6" i="14678"/>
  <c r="I6" i="14678"/>
  <c r="C71" i="14698"/>
  <c r="G71" i="14698"/>
  <c r="K71" i="14698"/>
  <c r="M71" i="14698"/>
  <c r="E71" i="14698"/>
  <c r="J71" i="14698"/>
  <c r="F71" i="14698"/>
  <c r="H71" i="14698"/>
  <c r="L71" i="14698"/>
  <c r="I71" i="14698"/>
  <c r="D71" i="14698"/>
  <c r="B71" i="14698"/>
  <c r="I5" i="14655"/>
  <c r="J5" i="14655"/>
  <c r="M5" i="14655"/>
  <c r="P5" i="14655"/>
  <c r="L5" i="14655"/>
  <c r="E5" i="14655"/>
  <c r="K5" i="14655"/>
  <c r="G5" i="14655"/>
  <c r="O5" i="14655"/>
  <c r="F5" i="14655"/>
  <c r="N5" i="14655"/>
  <c r="H5" i="14655"/>
  <c r="J4" i="14668"/>
  <c r="D4" i="14668"/>
  <c r="L4" i="14668"/>
  <c r="I4" i="14668"/>
  <c r="C4" i="14668"/>
  <c r="K4" i="14668"/>
  <c r="H4" i="14668"/>
  <c r="G4" i="14668"/>
  <c r="M4" i="14668"/>
  <c r="B4" i="14668"/>
  <c r="F4" i="14668"/>
  <c r="E4" i="14668"/>
  <c r="E71" i="14700"/>
  <c r="I71" i="14700"/>
  <c r="C71" i="14700"/>
  <c r="K71" i="14700"/>
  <c r="H71" i="14700"/>
  <c r="L71" i="14700"/>
  <c r="D71" i="14700"/>
  <c r="M71" i="14700"/>
  <c r="F71" i="14700"/>
  <c r="G71" i="14700"/>
  <c r="J71" i="14700"/>
  <c r="B71" i="14700"/>
  <c r="F27" i="14687"/>
  <c r="H27" i="14687"/>
  <c r="I27" i="14687"/>
  <c r="N27" i="14687"/>
  <c r="G27" i="14687"/>
  <c r="E27" i="14687"/>
  <c r="M27" i="14687"/>
  <c r="C27" i="14687"/>
  <c r="L27" i="14687"/>
  <c r="K27" i="14687"/>
  <c r="D27" i="14687"/>
  <c r="J27" i="14687"/>
  <c r="M65" i="14687"/>
  <c r="D65" i="14687"/>
  <c r="L65" i="14687"/>
  <c r="H65" i="14687"/>
  <c r="C65" i="14687"/>
  <c r="G65" i="14687"/>
  <c r="I65" i="14687"/>
  <c r="F65" i="14687"/>
  <c r="K65" i="14687"/>
  <c r="E65" i="14687"/>
  <c r="J65" i="14687"/>
  <c r="N65" i="14687"/>
  <c r="L16" i="7"/>
  <c r="G16" i="7"/>
  <c r="H16" i="7"/>
  <c r="M16" i="7"/>
  <c r="E16" i="7"/>
  <c r="D16" i="7"/>
  <c r="C16" i="7"/>
  <c r="J16" i="7"/>
  <c r="I16" i="7"/>
  <c r="F16" i="7"/>
  <c r="K16" i="7"/>
  <c r="B16" i="7"/>
  <c r="K16" i="14637"/>
  <c r="C16" i="14637"/>
  <c r="I16" i="14637"/>
  <c r="F16" i="14637"/>
  <c r="B16" i="14637"/>
  <c r="M16" i="14637"/>
  <c r="H16" i="14637"/>
  <c r="L16" i="14637"/>
  <c r="G16" i="14637"/>
  <c r="J16" i="14637"/>
  <c r="E16" i="14637"/>
  <c r="D16" i="14637"/>
  <c r="G16" i="14669"/>
  <c r="H16" i="14669"/>
  <c r="M16" i="14669"/>
  <c r="F16" i="14669"/>
  <c r="D16" i="14669"/>
  <c r="E16" i="14669"/>
  <c r="L16" i="14669"/>
  <c r="B16" i="14669"/>
  <c r="K16" i="14669"/>
  <c r="C16" i="14669"/>
  <c r="I16" i="14669"/>
  <c r="J16" i="14669"/>
  <c r="L45" i="14703"/>
  <c r="C45" i="14703"/>
  <c r="K45" i="14703"/>
  <c r="G45" i="14703"/>
  <c r="B45" i="14703"/>
  <c r="F45" i="14703"/>
  <c r="H45" i="14703"/>
  <c r="E45" i="14703"/>
  <c r="J45" i="14703"/>
  <c r="D45" i="14703"/>
  <c r="M45" i="14703"/>
  <c r="I45" i="14703"/>
  <c r="L45" i="14698"/>
  <c r="G45" i="14698"/>
  <c r="H45" i="14698"/>
  <c r="M45" i="14698"/>
  <c r="E45" i="14698"/>
  <c r="D45" i="14698"/>
  <c r="C45" i="14698"/>
  <c r="J45" i="14698"/>
  <c r="I45" i="14698"/>
  <c r="B45" i="14698"/>
  <c r="F45" i="14698"/>
  <c r="K45" i="14698"/>
  <c r="K45" i="14700"/>
  <c r="C45" i="14700"/>
  <c r="I45" i="14700"/>
  <c r="F45" i="14700"/>
  <c r="B45" i="14700"/>
  <c r="M45" i="14700"/>
  <c r="H45" i="14700"/>
  <c r="L45" i="14700"/>
  <c r="G45" i="14700"/>
  <c r="E45" i="14700"/>
  <c r="D45" i="14700"/>
  <c r="J45" i="14700"/>
  <c r="D45" i="14701"/>
  <c r="E45" i="14701"/>
  <c r="K45" i="14701"/>
  <c r="G45" i="14701"/>
  <c r="H45" i="14701"/>
  <c r="M45" i="14701"/>
  <c r="F45" i="14701"/>
  <c r="C45" i="14701"/>
  <c r="J45" i="14701"/>
  <c r="I45" i="14701"/>
  <c r="B45" i="14701"/>
  <c r="L45" i="14701"/>
  <c r="C31" i="14702"/>
  <c r="E31" i="14702"/>
  <c r="I31" i="14702"/>
  <c r="K31" i="14702"/>
  <c r="H31" i="14702"/>
  <c r="M31" i="14702"/>
  <c r="D31" i="14702"/>
  <c r="J31" i="14702"/>
  <c r="L31" i="14702"/>
  <c r="F31" i="14702"/>
  <c r="B31" i="14702"/>
  <c r="G31" i="14702"/>
  <c r="D31" i="14704"/>
  <c r="E31" i="14704"/>
  <c r="G31" i="14704"/>
  <c r="I31" i="14704"/>
  <c r="L31" i="14704"/>
  <c r="M31" i="14704"/>
  <c r="C31" i="14704"/>
  <c r="H31" i="14704"/>
  <c r="J31" i="14704"/>
  <c r="F31" i="14704"/>
  <c r="K31" i="14704"/>
  <c r="B31" i="14704"/>
  <c r="D4" i="8"/>
  <c r="C4" i="8"/>
  <c r="I4" i="8"/>
  <c r="G4" i="8"/>
  <c r="B4" i="8"/>
  <c r="E4" i="8"/>
  <c r="J4" i="8"/>
  <c r="K4" i="8"/>
  <c r="H4" i="8"/>
  <c r="F4" i="8"/>
  <c r="L4" i="8"/>
  <c r="M4" i="8"/>
  <c r="J4" i="14671"/>
  <c r="C4" i="14671"/>
  <c r="E4" i="14671"/>
  <c r="M4" i="14671"/>
  <c r="B4" i="14671"/>
  <c r="K4" i="14671"/>
  <c r="D4" i="14671"/>
  <c r="F4" i="14671"/>
  <c r="L4" i="14671"/>
  <c r="G4" i="14671"/>
  <c r="I4" i="14671"/>
  <c r="H4" i="14671"/>
  <c r="C34" i="14679"/>
  <c r="E34" i="14679"/>
  <c r="H34" i="14679"/>
  <c r="L34" i="14679"/>
  <c r="J34" i="14679"/>
  <c r="M34" i="14679"/>
  <c r="D34" i="14679"/>
  <c r="I34" i="14679"/>
  <c r="K34" i="14679"/>
  <c r="G34" i="14679"/>
  <c r="B34" i="14679"/>
  <c r="F34" i="14679"/>
  <c r="C35" i="14681"/>
  <c r="F35" i="14681"/>
  <c r="H35" i="14681"/>
  <c r="L35" i="14681"/>
  <c r="E35" i="14681"/>
  <c r="J35" i="14681"/>
  <c r="D35" i="14681"/>
  <c r="K35" i="14681"/>
  <c r="I35" i="14681"/>
  <c r="G35" i="14681"/>
  <c r="M35" i="14681"/>
  <c r="B35" i="14681"/>
  <c r="D32" i="14624"/>
  <c r="C32" i="14624"/>
  <c r="I32" i="14624"/>
  <c r="E32" i="14624"/>
  <c r="B32" i="14624"/>
  <c r="M32" i="14624"/>
  <c r="K32" i="14624"/>
  <c r="L32" i="14624"/>
  <c r="G32" i="14624"/>
  <c r="F32" i="14624"/>
  <c r="J32" i="14624"/>
  <c r="H32" i="14624"/>
  <c r="L32" i="14636"/>
  <c r="C32" i="14636"/>
  <c r="G32" i="14636"/>
  <c r="I32" i="14636"/>
  <c r="B32" i="14636"/>
  <c r="K32" i="14636"/>
  <c r="D32" i="14636"/>
  <c r="E32" i="14636"/>
  <c r="M32" i="14636"/>
  <c r="F32" i="14636"/>
  <c r="H32" i="14636"/>
  <c r="J32" i="14636"/>
  <c r="E4" i="14628"/>
  <c r="D4" i="14628"/>
  <c r="K4" i="14628"/>
  <c r="J4" i="14628"/>
  <c r="C4" i="14628"/>
  <c r="I4" i="14628"/>
  <c r="N4" i="14628"/>
  <c r="L4" i="14628"/>
  <c r="F4" i="14628"/>
  <c r="M4" i="14628"/>
  <c r="G4" i="14628"/>
  <c r="H4" i="14628"/>
  <c r="E18" i="14634"/>
  <c r="K18" i="14634"/>
  <c r="M18" i="14634"/>
  <c r="D18" i="14634"/>
  <c r="I18" i="14634"/>
  <c r="J18" i="14634"/>
  <c r="C18" i="14634"/>
  <c r="G18" i="14634"/>
  <c r="L18" i="14634"/>
  <c r="H18" i="14634"/>
  <c r="N18" i="14634"/>
  <c r="F18" i="14634"/>
  <c r="J30" i="14639"/>
  <c r="D30" i="14639"/>
  <c r="H30" i="14639"/>
  <c r="I30" i="14639"/>
  <c r="C30" i="14639"/>
  <c r="N30" i="14639"/>
  <c r="E30" i="14639"/>
  <c r="F30" i="14639"/>
  <c r="M30" i="14639"/>
  <c r="K30" i="14639"/>
  <c r="L30" i="14639"/>
  <c r="G30" i="14639"/>
  <c r="E4" i="14675"/>
  <c r="K4" i="14675"/>
  <c r="G4" i="14675"/>
  <c r="D4" i="14675"/>
  <c r="J4" i="14675"/>
  <c r="F4" i="14675"/>
  <c r="C4" i="14675"/>
  <c r="N4" i="14675"/>
  <c r="L4" i="14675"/>
  <c r="I4" i="14675"/>
  <c r="H4" i="14675"/>
  <c r="M4" i="14675"/>
  <c r="F21" i="14648"/>
  <c r="D21" i="14648"/>
  <c r="J21" i="14648"/>
  <c r="N21" i="14648"/>
  <c r="C21" i="14648"/>
  <c r="H21" i="14648"/>
  <c r="K21" i="14648"/>
  <c r="M21" i="14648"/>
  <c r="E21" i="14648"/>
  <c r="L21" i="14648"/>
  <c r="I21" i="14648"/>
  <c r="G21" i="14648"/>
  <c r="K84" i="14648"/>
  <c r="N84" i="14648"/>
  <c r="I84" i="14648"/>
  <c r="J84" i="14648"/>
  <c r="E84" i="14648"/>
  <c r="M84" i="14648"/>
  <c r="C84" i="14648"/>
  <c r="D84" i="14648"/>
  <c r="L84" i="14648"/>
  <c r="F84" i="14648"/>
  <c r="G84" i="14648"/>
  <c r="H84" i="14648"/>
  <c r="N104" i="14648"/>
  <c r="D104" i="14648"/>
  <c r="G104" i="14648"/>
  <c r="K104" i="14648"/>
  <c r="C104" i="14648"/>
  <c r="L104" i="14648"/>
  <c r="M104" i="14648"/>
  <c r="E104" i="14648"/>
  <c r="H104" i="14648"/>
  <c r="F104" i="14648"/>
  <c r="J104" i="14648"/>
  <c r="I104" i="14648"/>
  <c r="D28" i="14633"/>
  <c r="K28" i="14633"/>
  <c r="L28" i="14633"/>
  <c r="E28" i="14633"/>
  <c r="I28" i="14633"/>
  <c r="J28" i="14633"/>
  <c r="C28" i="14633"/>
  <c r="G28" i="14633"/>
  <c r="N28" i="14633"/>
  <c r="H28" i="14633"/>
  <c r="F28" i="14633"/>
  <c r="M28" i="14633"/>
  <c r="D28" i="14676"/>
  <c r="E28" i="14676"/>
  <c r="H28" i="14676"/>
  <c r="I28" i="14676"/>
  <c r="C28" i="14676"/>
  <c r="N28" i="14676"/>
  <c r="K28" i="14676"/>
  <c r="J28" i="14676"/>
  <c r="F28" i="14676"/>
  <c r="M28" i="14676"/>
  <c r="G28" i="14676"/>
  <c r="L28" i="14676"/>
  <c r="C4" i="14637"/>
  <c r="K4" i="14637"/>
  <c r="H4" i="14637"/>
  <c r="D4" i="14637"/>
  <c r="J4" i="14637"/>
  <c r="F4" i="14637"/>
  <c r="B4" i="14637"/>
  <c r="M4" i="14637"/>
  <c r="L4" i="14637"/>
  <c r="G4" i="14637"/>
  <c r="I4" i="14637"/>
  <c r="E4" i="14637"/>
  <c r="E7" i="14698"/>
  <c r="C7" i="14698"/>
  <c r="L7" i="14698"/>
  <c r="J7" i="14698"/>
  <c r="B7" i="14698"/>
  <c r="I7" i="14698"/>
  <c r="D7" i="14698"/>
  <c r="F7" i="14698"/>
  <c r="M7" i="14698"/>
  <c r="G7" i="14698"/>
  <c r="K7" i="14698"/>
  <c r="H7" i="14698"/>
  <c r="G57" i="14653"/>
  <c r="C57" i="14653"/>
  <c r="D57" i="14653"/>
  <c r="I57" i="14653"/>
  <c r="M57" i="14653"/>
  <c r="J57" i="14653"/>
  <c r="F57" i="14653"/>
  <c r="H57" i="14653"/>
  <c r="L57" i="14653"/>
  <c r="K57" i="14653"/>
  <c r="B57" i="14653"/>
  <c r="E57" i="14653"/>
  <c r="I71" i="14701"/>
  <c r="D71" i="14701"/>
  <c r="L71" i="14701"/>
  <c r="K71" i="14701"/>
  <c r="B71" i="14701"/>
  <c r="J71" i="14701"/>
  <c r="C71" i="14701"/>
  <c r="E71" i="14701"/>
  <c r="H71" i="14701"/>
  <c r="F71" i="14701"/>
  <c r="G71" i="14701"/>
  <c r="M71" i="14701"/>
  <c r="I31" i="14653"/>
  <c r="E31" i="14653"/>
  <c r="G31" i="14653"/>
  <c r="M31" i="14653"/>
  <c r="K31" i="14653"/>
  <c r="C31" i="14653"/>
  <c r="B31" i="14653"/>
  <c r="H31" i="14653"/>
  <c r="D31" i="14653"/>
  <c r="J31" i="14653"/>
  <c r="F31" i="14653"/>
  <c r="L31" i="14653"/>
  <c r="U27" i="14655"/>
  <c r="T27" i="14655"/>
  <c r="T28" i="14655" s="1"/>
  <c r="Q28" i="14655"/>
  <c r="R6" i="14655" s="1" a="1"/>
  <c r="B24" i="14706"/>
  <c r="B24" i="14667"/>
  <c r="C13" i="14667" s="1"/>
  <c r="C41" i="14622"/>
  <c r="C16" i="4128"/>
  <c r="C40" i="14622"/>
  <c r="C39" i="14622"/>
  <c r="S129" i="14700" l="1"/>
  <c r="H174" i="14700"/>
  <c r="F174" i="14700"/>
  <c r="W112" i="14700"/>
  <c r="N174" i="14700"/>
  <c r="S150" i="14700"/>
  <c r="Q150" i="14700"/>
  <c r="R150" i="14700"/>
  <c r="T150" i="14700"/>
  <c r="P173" i="14700"/>
  <c r="P153" i="14700"/>
  <c r="L174" i="14700"/>
  <c r="S185" i="14700"/>
  <c r="K174" i="14700"/>
  <c r="M150" i="14700"/>
  <c r="O174" i="14700"/>
  <c r="O172" i="14700"/>
  <c r="N150" i="14700"/>
  <c r="J174" i="14700"/>
  <c r="S223" i="14700"/>
  <c r="U150" i="14700"/>
  <c r="E174" i="14700"/>
  <c r="F123" i="14700"/>
  <c r="V150" i="14700"/>
  <c r="G174" i="14700"/>
  <c r="L150" i="14700"/>
  <c r="S28" i="14638"/>
  <c r="V184" i="14700"/>
  <c r="I174" i="14700"/>
  <c r="P150" i="14700"/>
  <c r="P174" i="14700"/>
  <c r="O150" i="14700"/>
  <c r="F138" i="14700"/>
  <c r="V147" i="14700"/>
  <c r="O219" i="14700"/>
  <c r="K212" i="14700"/>
  <c r="E194" i="14700"/>
  <c r="P221" i="14700"/>
  <c r="Q221" i="14700"/>
  <c r="R222" i="14700"/>
  <c r="P165" i="14700"/>
  <c r="Q183" i="14700"/>
  <c r="F25" i="14678" a="1"/>
  <c r="F26" i="14678" s="1"/>
  <c r="D39" i="14700"/>
  <c r="J187" i="14700"/>
  <c r="H117" i="14700"/>
  <c r="C230" i="14700"/>
  <c r="O230" i="14698" s="1"/>
  <c r="F35" i="14700"/>
  <c r="B35" i="14700"/>
  <c r="P167" i="14700"/>
  <c r="N243" i="14700"/>
  <c r="B38" i="14700"/>
  <c r="E229" i="14700"/>
  <c r="N224" i="14700"/>
  <c r="E24" i="14678" a="1"/>
  <c r="E25" i="14678" s="1"/>
  <c r="J39" i="14700"/>
  <c r="H121" i="14700"/>
  <c r="M34" i="14700"/>
  <c r="I38" i="14700"/>
  <c r="H39" i="14700"/>
  <c r="L221" i="14700"/>
  <c r="M176" i="14700"/>
  <c r="E192" i="14700"/>
  <c r="H212" i="14700"/>
  <c r="X219" i="14700"/>
  <c r="M212" i="14700"/>
  <c r="U219" i="14700"/>
  <c r="J122" i="14700"/>
  <c r="O155" i="14700"/>
  <c r="N155" i="14700"/>
  <c r="R28" i="14638"/>
  <c r="G155" i="14700"/>
  <c r="Q155" i="14700"/>
  <c r="H155" i="14700"/>
  <c r="N115" i="14700"/>
  <c r="L155" i="14700"/>
  <c r="J155" i="14700"/>
  <c r="J228" i="14700"/>
  <c r="Q209" i="14700"/>
  <c r="K193" i="14700"/>
  <c r="E193" i="14700"/>
  <c r="P28" i="14638"/>
  <c r="L170" i="14700"/>
  <c r="P155" i="14700"/>
  <c r="K213" i="14700"/>
  <c r="N28" i="14638"/>
  <c r="N35" i="14637"/>
  <c r="C22" i="14678" a="1"/>
  <c r="C23" i="14678" s="1"/>
  <c r="N32" i="14637"/>
  <c r="Q28" i="14638"/>
  <c r="O28" i="14638"/>
  <c r="F137" i="14700"/>
  <c r="O225" i="14700"/>
  <c r="N207" i="14700"/>
  <c r="Q225" i="14700"/>
  <c r="R133" i="14700"/>
  <c r="H207" i="14700"/>
  <c r="N133" i="14700"/>
  <c r="X220" i="14700"/>
  <c r="N34" i="14637"/>
  <c r="J27" i="14638"/>
  <c r="J10" i="14670" s="1"/>
  <c r="N5" i="14640"/>
  <c r="G5" i="14617" s="1" a="1"/>
  <c r="O220" i="14700"/>
  <c r="L222" i="14700"/>
  <c r="G176" i="14700"/>
  <c r="L213" i="14700"/>
  <c r="N222" i="14700"/>
  <c r="K176" i="14700"/>
  <c r="Q137" i="14700"/>
  <c r="L175" i="14700"/>
  <c r="E27" i="14683"/>
  <c r="F19" i="14683" s="1" a="1"/>
  <c r="N37" i="14637"/>
  <c r="N39" i="14637"/>
  <c r="N36" i="14637"/>
  <c r="N33" i="14637"/>
  <c r="N38" i="14637"/>
  <c r="T201" i="14700"/>
  <c r="L207" i="14700"/>
  <c r="U220" i="14700"/>
  <c r="R225" i="14700"/>
  <c r="P137" i="14700"/>
  <c r="O133" i="14700"/>
  <c r="D213" i="14700"/>
  <c r="M207" i="14700"/>
  <c r="N111" i="14700"/>
  <c r="I207" i="14700"/>
  <c r="R220" i="14700"/>
  <c r="H225" i="14700"/>
  <c r="M137" i="14700"/>
  <c r="Q133" i="14700"/>
  <c r="J213" i="14700"/>
  <c r="I155" i="14700"/>
  <c r="R114" i="14700"/>
  <c r="S220" i="14700"/>
  <c r="T133" i="14700"/>
  <c r="U186" i="14700"/>
  <c r="K207" i="14700"/>
  <c r="T220" i="14700"/>
  <c r="S225" i="14700"/>
  <c r="L137" i="14700"/>
  <c r="J133" i="14700"/>
  <c r="O208" i="14700"/>
  <c r="G213" i="14700"/>
  <c r="E210" i="14700"/>
  <c r="K155" i="14700"/>
  <c r="P225" i="14700"/>
  <c r="O137" i="14700"/>
  <c r="M213" i="14700"/>
  <c r="D23" i="14678" a="1"/>
  <c r="D26" i="14678" s="1"/>
  <c r="B7" i="14640" a="1"/>
  <c r="D7" i="14640" s="1"/>
  <c r="I158" i="14700"/>
  <c r="Q207" i="14700"/>
  <c r="Q220" i="14700"/>
  <c r="I225" i="14700"/>
  <c r="N137" i="14700"/>
  <c r="U133" i="14700"/>
  <c r="F213" i="14700"/>
  <c r="L210" i="14700"/>
  <c r="F27" i="14638"/>
  <c r="F10" i="14670" s="1"/>
  <c r="O242" i="14700"/>
  <c r="S207" i="14700"/>
  <c r="W220" i="14700"/>
  <c r="N225" i="14700"/>
  <c r="O113" i="14700"/>
  <c r="J137" i="14700"/>
  <c r="K133" i="14700"/>
  <c r="I213" i="14700"/>
  <c r="G157" i="14700"/>
  <c r="I210" i="14700"/>
  <c r="M155" i="14700"/>
  <c r="M40" i="14637"/>
  <c r="B85" i="14700"/>
  <c r="R207" i="14700"/>
  <c r="V220" i="14700"/>
  <c r="J225" i="14700"/>
  <c r="K137" i="14700"/>
  <c r="P149" i="14700"/>
  <c r="M133" i="14700"/>
  <c r="B213" i="14700"/>
  <c r="N213" i="14698" s="1"/>
  <c r="N214" i="14698" s="1"/>
  <c r="B21" i="14678" a="1"/>
  <c r="B22" i="14678" s="1"/>
  <c r="J207" i="14700"/>
  <c r="N220" i="14700"/>
  <c r="L225" i="14700"/>
  <c r="H137" i="14700"/>
  <c r="L133" i="14700"/>
  <c r="C213" i="14700"/>
  <c r="O213" i="14698" s="1"/>
  <c r="H139" i="14700"/>
  <c r="O207" i="14700"/>
  <c r="M220" i="14700"/>
  <c r="K225" i="14700"/>
  <c r="G137" i="14700"/>
  <c r="R168" i="14700"/>
  <c r="S133" i="14700"/>
  <c r="E213" i="14700"/>
  <c r="T237" i="14700"/>
  <c r="C27" i="14638"/>
  <c r="C10" i="14670" s="1"/>
  <c r="R241" i="14700"/>
  <c r="L203" i="14700"/>
  <c r="U240" i="14700"/>
  <c r="J231" i="14700"/>
  <c r="Q203" i="14700"/>
  <c r="V204" i="14700"/>
  <c r="T241" i="14700"/>
  <c r="K204" i="14700"/>
  <c r="O238" i="14700"/>
  <c r="E247" i="14700"/>
  <c r="G246" i="14700"/>
  <c r="K158" i="14700"/>
  <c r="S238" i="14700"/>
  <c r="O247" i="14700"/>
  <c r="P148" i="14700"/>
  <c r="M27" i="14638"/>
  <c r="M28" i="14638" s="1"/>
  <c r="G158" i="14700"/>
  <c r="O148" i="14700"/>
  <c r="N192" i="14700"/>
  <c r="H27" i="14638"/>
  <c r="H10" i="14670" s="1"/>
  <c r="O193" i="14700"/>
  <c r="K27" i="14638"/>
  <c r="K10" i="14670" s="1"/>
  <c r="L27" i="14638"/>
  <c r="L10" i="14670" s="1"/>
  <c r="N15" i="14638"/>
  <c r="G244" i="14700"/>
  <c r="H28" i="14704"/>
  <c r="V113" i="14700"/>
  <c r="H193" i="14700"/>
  <c r="N245" i="14700"/>
  <c r="H119" i="14700"/>
  <c r="J193" i="14700"/>
  <c r="P245" i="14700"/>
  <c r="O119" i="14700"/>
  <c r="O202" i="14700"/>
  <c r="L114" i="14700"/>
  <c r="R206" i="14700"/>
  <c r="G190" i="14700"/>
  <c r="N193" i="14700"/>
  <c r="Q134" i="14700"/>
  <c r="L206" i="14700"/>
  <c r="O114" i="14700"/>
  <c r="M134" i="14700"/>
  <c r="O206" i="14700"/>
  <c r="L149" i="14700"/>
  <c r="L193" i="14700"/>
  <c r="M188" i="14700"/>
  <c r="G195" i="14700"/>
  <c r="N139" i="14700"/>
  <c r="N134" i="14700"/>
  <c r="M193" i="14700"/>
  <c r="V129" i="14700"/>
  <c r="J195" i="14700"/>
  <c r="M205" i="14700"/>
  <c r="O78" i="14704" a="1"/>
  <c r="O78" i="14704" s="1"/>
  <c r="E27" i="14638"/>
  <c r="E10" i="14670" s="1"/>
  <c r="D193" i="14700"/>
  <c r="N129" i="14700"/>
  <c r="K205" i="14700"/>
  <c r="I27" i="14638"/>
  <c r="I10" i="14670" s="1"/>
  <c r="G27" i="14638"/>
  <c r="G10" i="14670" s="1"/>
  <c r="C74" i="14643"/>
  <c r="D73" i="14643" s="1"/>
  <c r="I141" i="14700"/>
  <c r="F193" i="14700"/>
  <c r="G154" i="14700"/>
  <c r="D177" i="14700"/>
  <c r="U237" i="14700"/>
  <c r="L136" i="14700"/>
  <c r="I246" i="14700"/>
  <c r="D141" i="14700"/>
  <c r="G120" i="14700"/>
  <c r="G193" i="14700"/>
  <c r="M171" i="14700"/>
  <c r="C177" i="14700"/>
  <c r="O177" i="14698" s="1"/>
  <c r="Q237" i="14700"/>
  <c r="L205" i="14700"/>
  <c r="N136" i="14700"/>
  <c r="M141" i="14700"/>
  <c r="B177" i="14700"/>
  <c r="N177" i="14698" s="1"/>
  <c r="N178" i="14698" s="1"/>
  <c r="M151" i="14700"/>
  <c r="V203" i="14700"/>
  <c r="F246" i="14700"/>
  <c r="P134" i="14700"/>
  <c r="N240" i="14700"/>
  <c r="T238" i="14700"/>
  <c r="M206" i="14700"/>
  <c r="T204" i="14700"/>
  <c r="H231" i="14700"/>
  <c r="Y129" i="14700"/>
  <c r="J247" i="14700"/>
  <c r="M244" i="14700"/>
  <c r="J241" i="14700"/>
  <c r="J177" i="14700"/>
  <c r="M189" i="14700"/>
  <c r="T205" i="14700"/>
  <c r="O244" i="14700"/>
  <c r="T203" i="14700"/>
  <c r="K246" i="14700"/>
  <c r="T134" i="14700"/>
  <c r="P238" i="14700"/>
  <c r="P206" i="14700"/>
  <c r="R204" i="14700"/>
  <c r="D231" i="14700"/>
  <c r="Q129" i="14700"/>
  <c r="D247" i="14700"/>
  <c r="F140" i="14700"/>
  <c r="K244" i="14700"/>
  <c r="M241" i="14700"/>
  <c r="K177" i="14700"/>
  <c r="J205" i="14700"/>
  <c r="P203" i="14700"/>
  <c r="J134" i="14700"/>
  <c r="X238" i="14700"/>
  <c r="K206" i="14700"/>
  <c r="U204" i="14700"/>
  <c r="F231" i="14700"/>
  <c r="R129" i="14700"/>
  <c r="K247" i="14700"/>
  <c r="G140" i="14700"/>
  <c r="Q244" i="14700"/>
  <c r="S241" i="14700"/>
  <c r="E177" i="14700"/>
  <c r="S205" i="14700"/>
  <c r="S204" i="14700"/>
  <c r="B231" i="14700"/>
  <c r="B232" i="14700" s="1"/>
  <c r="G247" i="14700"/>
  <c r="L241" i="14700"/>
  <c r="L151" i="14700"/>
  <c r="W203" i="14700"/>
  <c r="K134" i="14700"/>
  <c r="V238" i="14700"/>
  <c r="S206" i="14700"/>
  <c r="O204" i="14700"/>
  <c r="E231" i="14700"/>
  <c r="U129" i="14700"/>
  <c r="N247" i="14700"/>
  <c r="L140" i="14700"/>
  <c r="J244" i="14700"/>
  <c r="K241" i="14700"/>
  <c r="I177" i="14700"/>
  <c r="R205" i="14700"/>
  <c r="P151" i="14700"/>
  <c r="N203" i="14700"/>
  <c r="S166" i="14700"/>
  <c r="S134" i="14700"/>
  <c r="C159" i="14700"/>
  <c r="O159" i="14698" s="1"/>
  <c r="W238" i="14700"/>
  <c r="N206" i="14700"/>
  <c r="N204" i="14700"/>
  <c r="M231" i="14700"/>
  <c r="X129" i="14700"/>
  <c r="F247" i="14700"/>
  <c r="M140" i="14700"/>
  <c r="H244" i="14700"/>
  <c r="U241" i="14700"/>
  <c r="L177" i="14700"/>
  <c r="P205" i="14700"/>
  <c r="P246" i="14700"/>
  <c r="P244" i="14700"/>
  <c r="S151" i="14700"/>
  <c r="O203" i="14700"/>
  <c r="N166" i="14700"/>
  <c r="L134" i="14700"/>
  <c r="I159" i="14700"/>
  <c r="N238" i="14700"/>
  <c r="J206" i="14700"/>
  <c r="P204" i="14700"/>
  <c r="G231" i="14700"/>
  <c r="P129" i="14700"/>
  <c r="I247" i="14700"/>
  <c r="R244" i="14700"/>
  <c r="Q241" i="14700"/>
  <c r="H177" i="14700"/>
  <c r="N205" i="14700"/>
  <c r="L231" i="14700"/>
  <c r="Q76" i="14704" a="1"/>
  <c r="Q76" i="14704" s="1"/>
  <c r="T151" i="14700"/>
  <c r="R203" i="14700"/>
  <c r="O246" i="14700"/>
  <c r="Q166" i="14700"/>
  <c r="R134" i="14700"/>
  <c r="G159" i="14700"/>
  <c r="M238" i="14700"/>
  <c r="I206" i="14700"/>
  <c r="L204" i="14700"/>
  <c r="C231" i="14700"/>
  <c r="O231" i="14698" s="1"/>
  <c r="W129" i="14700"/>
  <c r="M247" i="14700"/>
  <c r="I244" i="14700"/>
  <c r="N241" i="14700"/>
  <c r="G177" i="14700"/>
  <c r="U205" i="14700"/>
  <c r="K151" i="14700"/>
  <c r="U203" i="14700"/>
  <c r="N246" i="14700"/>
  <c r="O134" i="14700"/>
  <c r="R238" i="14700"/>
  <c r="T206" i="14700"/>
  <c r="Q204" i="14700"/>
  <c r="K231" i="14700"/>
  <c r="O129" i="14700"/>
  <c r="L247" i="14700"/>
  <c r="N244" i="14700"/>
  <c r="O241" i="14700"/>
  <c r="M177" i="14700"/>
  <c r="N189" i="14700"/>
  <c r="O205" i="14700"/>
  <c r="D27" i="14638"/>
  <c r="D10" i="14670" s="1"/>
  <c r="S203" i="14700"/>
  <c r="Q238" i="14700"/>
  <c r="J140" i="14700"/>
  <c r="R151" i="14700"/>
  <c r="M246" i="14700"/>
  <c r="K240" i="14700"/>
  <c r="L189" i="14700"/>
  <c r="O83" i="14698" a="1"/>
  <c r="O84" i="14698" s="1"/>
  <c r="Q136" i="14700"/>
  <c r="L248" i="14700"/>
  <c r="E246" i="14700"/>
  <c r="X166" i="14700"/>
  <c r="M114" i="14700"/>
  <c r="S240" i="14700"/>
  <c r="B141" i="14700"/>
  <c r="B142" i="14700" s="1"/>
  <c r="D159" i="14700"/>
  <c r="O149" i="14700"/>
  <c r="G245" i="14700"/>
  <c r="C140" i="14700"/>
  <c r="N194" i="14700"/>
  <c r="N119" i="14700"/>
  <c r="S189" i="14700"/>
  <c r="O139" i="14700"/>
  <c r="N237" i="14700"/>
  <c r="N175" i="14700"/>
  <c r="H136" i="14700"/>
  <c r="V166" i="14700"/>
  <c r="V114" i="14700"/>
  <c r="Q240" i="14700"/>
  <c r="F141" i="14700"/>
  <c r="E159" i="14700"/>
  <c r="R149" i="14700"/>
  <c r="X147" i="14700"/>
  <c r="H245" i="14700"/>
  <c r="F195" i="14700"/>
  <c r="K119" i="14700"/>
  <c r="R189" i="14700"/>
  <c r="G139" i="14700"/>
  <c r="V237" i="14700"/>
  <c r="J136" i="14700"/>
  <c r="U149" i="14700"/>
  <c r="F245" i="14700"/>
  <c r="H195" i="14700"/>
  <c r="J119" i="14700"/>
  <c r="L139" i="14700"/>
  <c r="O136" i="14700"/>
  <c r="O166" i="14700"/>
  <c r="K114" i="14700"/>
  <c r="R240" i="14700"/>
  <c r="G141" i="14700"/>
  <c r="M159" i="14700"/>
  <c r="W149" i="14700"/>
  <c r="O245" i="14700"/>
  <c r="E195" i="14700"/>
  <c r="G211" i="14700"/>
  <c r="G119" i="14700"/>
  <c r="O189" i="14700"/>
  <c r="M139" i="14700"/>
  <c r="S237" i="14700"/>
  <c r="R136" i="14700"/>
  <c r="R166" i="14700"/>
  <c r="S114" i="14700"/>
  <c r="P240" i="14700"/>
  <c r="K141" i="14700"/>
  <c r="F159" i="14700"/>
  <c r="V149" i="14700"/>
  <c r="K245" i="14700"/>
  <c r="K195" i="14700"/>
  <c r="J211" i="14700"/>
  <c r="L119" i="14700"/>
  <c r="H189" i="14700"/>
  <c r="F139" i="14700"/>
  <c r="Y237" i="14700"/>
  <c r="B231" i="14704" a="1"/>
  <c r="I231" i="14704" s="1"/>
  <c r="C85" i="14700"/>
  <c r="I136" i="14700"/>
  <c r="W166" i="14700"/>
  <c r="Q114" i="14700"/>
  <c r="V240" i="14700"/>
  <c r="J141" i="14700"/>
  <c r="B159" i="14700"/>
  <c r="B160" i="14700" s="1"/>
  <c r="T149" i="14700"/>
  <c r="L245" i="14700"/>
  <c r="I195" i="14700"/>
  <c r="K211" i="14700"/>
  <c r="P119" i="14700"/>
  <c r="Q189" i="14700"/>
  <c r="E139" i="14700"/>
  <c r="P237" i="14700"/>
  <c r="G136" i="14700"/>
  <c r="M166" i="14700"/>
  <c r="T114" i="14700"/>
  <c r="M240" i="14700"/>
  <c r="L141" i="14700"/>
  <c r="J159" i="14700"/>
  <c r="N149" i="14700"/>
  <c r="M245" i="14700"/>
  <c r="M195" i="14700"/>
  <c r="F119" i="14700"/>
  <c r="P189" i="14700"/>
  <c r="D139" i="14700"/>
  <c r="X237" i="14700"/>
  <c r="T72" i="14704" a="1"/>
  <c r="T72" i="14704" s="1"/>
  <c r="P136" i="14700"/>
  <c r="T130" i="14700"/>
  <c r="T166" i="14700"/>
  <c r="N114" i="14700"/>
  <c r="T240" i="14700"/>
  <c r="C141" i="14700"/>
  <c r="O141" i="14698" s="1"/>
  <c r="H159" i="14700"/>
  <c r="M149" i="14700"/>
  <c r="J245" i="14700"/>
  <c r="C195" i="14700"/>
  <c r="O195" i="14698" s="1"/>
  <c r="M119" i="14700"/>
  <c r="I189" i="14700"/>
  <c r="R237" i="14700"/>
  <c r="Y147" i="14700"/>
  <c r="K136" i="14700"/>
  <c r="R130" i="14700"/>
  <c r="U166" i="14700"/>
  <c r="U114" i="14700"/>
  <c r="L240" i="14700"/>
  <c r="E141" i="14700"/>
  <c r="K159" i="14700"/>
  <c r="Q149" i="14700"/>
  <c r="Q245" i="14700"/>
  <c r="L195" i="14700"/>
  <c r="Q119" i="14700"/>
  <c r="J189" i="14700"/>
  <c r="I139" i="14700"/>
  <c r="W237" i="14700"/>
  <c r="T74" i="14704" a="1"/>
  <c r="T74" i="14704" s="1"/>
  <c r="I84" i="14704" a="1"/>
  <c r="I84" i="14704" s="1"/>
  <c r="G208" i="14704" a="1"/>
  <c r="N208" i="14704" s="1"/>
  <c r="P130" i="14700"/>
  <c r="J139" i="14700"/>
  <c r="D85" i="14700"/>
  <c r="K82" i="14704" a="1"/>
  <c r="K82" i="14704" s="1"/>
  <c r="N187" i="14700"/>
  <c r="H38" i="14700"/>
  <c r="K34" i="14700"/>
  <c r="N79" i="14704" a="1"/>
  <c r="N79" i="14704" s="1"/>
  <c r="V222" i="14700"/>
  <c r="O187" i="14700"/>
  <c r="F158" i="14700"/>
  <c r="E176" i="14700"/>
  <c r="C122" i="14700"/>
  <c r="O122" i="14698" s="1"/>
  <c r="G212" i="14700"/>
  <c r="G37" i="14700"/>
  <c r="I32" i="14700"/>
  <c r="E36" i="14700"/>
  <c r="H36" i="14700"/>
  <c r="C35" i="14700"/>
  <c r="C39" i="14700"/>
  <c r="E34" i="14700"/>
  <c r="L38" i="14700"/>
  <c r="O117" i="14700"/>
  <c r="E230" i="14700"/>
  <c r="U221" i="14700"/>
  <c r="N167" i="14700"/>
  <c r="S113" i="14700"/>
  <c r="M229" i="14700"/>
  <c r="W219" i="14700"/>
  <c r="H243" i="14700"/>
  <c r="H210" i="14700"/>
  <c r="G227" i="14700"/>
  <c r="I224" i="14700"/>
  <c r="D121" i="14700"/>
  <c r="K192" i="14700"/>
  <c r="N122" i="14700"/>
  <c r="I37" i="14700"/>
  <c r="M33" i="14700"/>
  <c r="N151" i="14700"/>
  <c r="P222" i="14700"/>
  <c r="T187" i="14700"/>
  <c r="E158" i="14700"/>
  <c r="H176" i="14700"/>
  <c r="D122" i="14700"/>
  <c r="D212" i="14700"/>
  <c r="G36" i="14700"/>
  <c r="L32" i="14700"/>
  <c r="K35" i="14700"/>
  <c r="D35" i="14700"/>
  <c r="C38" i="14700"/>
  <c r="H33" i="14700"/>
  <c r="D37" i="14700"/>
  <c r="C33" i="14700"/>
  <c r="J117" i="14700"/>
  <c r="D230" i="14700"/>
  <c r="S221" i="14700"/>
  <c r="L167" i="14700"/>
  <c r="R113" i="14700"/>
  <c r="D229" i="14700"/>
  <c r="P208" i="14700"/>
  <c r="T219" i="14700"/>
  <c r="J243" i="14700"/>
  <c r="F210" i="14700"/>
  <c r="H227" i="14700"/>
  <c r="L224" i="14700"/>
  <c r="O121" i="14700"/>
  <c r="P192" i="14700"/>
  <c r="K77" i="14704" a="1"/>
  <c r="K77" i="14704" s="1"/>
  <c r="G38" i="14700"/>
  <c r="M32" i="14700"/>
  <c r="T73" i="14704" a="1"/>
  <c r="T73" i="14704" s="1"/>
  <c r="S222" i="14700"/>
  <c r="K187" i="14700"/>
  <c r="C158" i="14700"/>
  <c r="O158" i="14698" s="1"/>
  <c r="N176" i="14700"/>
  <c r="G122" i="14700"/>
  <c r="N212" i="14700"/>
  <c r="D32" i="14700"/>
  <c r="J32" i="14700"/>
  <c r="I35" i="14700"/>
  <c r="L36" i="14700"/>
  <c r="L34" i="14700"/>
  <c r="F33" i="14700"/>
  <c r="E39" i="14700"/>
  <c r="K33" i="14700"/>
  <c r="P117" i="14700"/>
  <c r="K230" i="14700"/>
  <c r="T221" i="14700"/>
  <c r="Q167" i="14700"/>
  <c r="T113" i="14700"/>
  <c r="J229" i="14700"/>
  <c r="G208" i="14700"/>
  <c r="N219" i="14700"/>
  <c r="I243" i="14700"/>
  <c r="M210" i="14700"/>
  <c r="Q227" i="14700"/>
  <c r="R224" i="14700"/>
  <c r="N121" i="14700"/>
  <c r="G192" i="14700"/>
  <c r="U72" i="14704" a="1"/>
  <c r="U72" i="14704" s="1"/>
  <c r="T222" i="14700"/>
  <c r="M187" i="14700"/>
  <c r="H158" i="14700"/>
  <c r="I176" i="14700"/>
  <c r="L122" i="14700"/>
  <c r="L212" i="14700"/>
  <c r="L35" i="14700"/>
  <c r="I39" i="14700"/>
  <c r="F37" i="14700"/>
  <c r="H34" i="14700"/>
  <c r="J35" i="14700"/>
  <c r="F32" i="14700"/>
  <c r="B34" i="14700"/>
  <c r="H35" i="14700"/>
  <c r="M117" i="14700"/>
  <c r="J230" i="14700"/>
  <c r="R221" i="14700"/>
  <c r="R167" i="14700"/>
  <c r="P113" i="14700"/>
  <c r="L229" i="14700"/>
  <c r="K208" i="14700"/>
  <c r="P219" i="14700"/>
  <c r="P243" i="14700"/>
  <c r="K210" i="14700"/>
  <c r="K227" i="14700"/>
  <c r="T224" i="14700"/>
  <c r="K121" i="14700"/>
  <c r="J192" i="14700"/>
  <c r="K117" i="14700"/>
  <c r="J121" i="14700"/>
  <c r="I28" i="14704"/>
  <c r="J151" i="14700"/>
  <c r="U222" i="14700"/>
  <c r="P187" i="14700"/>
  <c r="M158" i="14700"/>
  <c r="F176" i="14700"/>
  <c r="H122" i="14700"/>
  <c r="I212" i="14700"/>
  <c r="C34" i="14700"/>
  <c r="E38" i="14700"/>
  <c r="C36" i="14700"/>
  <c r="L39" i="14700"/>
  <c r="J37" i="14700"/>
  <c r="I34" i="14700"/>
  <c r="D38" i="14700"/>
  <c r="B39" i="14700"/>
  <c r="N117" i="14700"/>
  <c r="I230" i="14700"/>
  <c r="W221" i="14700"/>
  <c r="V167" i="14700"/>
  <c r="U113" i="14700"/>
  <c r="O229" i="14700"/>
  <c r="J208" i="14700"/>
  <c r="Y219" i="14700"/>
  <c r="L243" i="14700"/>
  <c r="P210" i="14700"/>
  <c r="N227" i="14700"/>
  <c r="K224" i="14700"/>
  <c r="G121" i="14700"/>
  <c r="S74" i="14704" a="1"/>
  <c r="S74" i="14704" s="1"/>
  <c r="K222" i="14700"/>
  <c r="U187" i="14700"/>
  <c r="J158" i="14700"/>
  <c r="C176" i="14700"/>
  <c r="O176" i="14698" s="1"/>
  <c r="I122" i="14700"/>
  <c r="E212" i="14700"/>
  <c r="J36" i="14700"/>
  <c r="F38" i="14700"/>
  <c r="J34" i="14700"/>
  <c r="G35" i="14700"/>
  <c r="G39" i="14700"/>
  <c r="I33" i="14700"/>
  <c r="E35" i="14700"/>
  <c r="K36" i="14700"/>
  <c r="Q117" i="14700"/>
  <c r="N230" i="14700"/>
  <c r="O221" i="14700"/>
  <c r="U167" i="14700"/>
  <c r="F229" i="14700"/>
  <c r="L208" i="14700"/>
  <c r="V219" i="14700"/>
  <c r="Q243" i="14700"/>
  <c r="N210" i="14700"/>
  <c r="S224" i="14700"/>
  <c r="E121" i="14700"/>
  <c r="E120" i="14704" a="1"/>
  <c r="N120" i="14704" s="1"/>
  <c r="L37" i="14700"/>
  <c r="M38" i="14700"/>
  <c r="R75" i="14704" a="1"/>
  <c r="R75" i="14704" s="1"/>
  <c r="O222" i="14700"/>
  <c r="L187" i="14700"/>
  <c r="N158" i="14700"/>
  <c r="L176" i="14700"/>
  <c r="E122" i="14700"/>
  <c r="F212" i="14700"/>
  <c r="F34" i="14700"/>
  <c r="G33" i="14700"/>
  <c r="G32" i="14700"/>
  <c r="D33" i="14700"/>
  <c r="M36" i="14700"/>
  <c r="M37" i="14700"/>
  <c r="L33" i="14700"/>
  <c r="F36" i="14700"/>
  <c r="I117" i="14700"/>
  <c r="H230" i="14700"/>
  <c r="M221" i="14700"/>
  <c r="S167" i="14700"/>
  <c r="I229" i="14700"/>
  <c r="Q208" i="14700"/>
  <c r="R219" i="14700"/>
  <c r="Q148" i="14700"/>
  <c r="K243" i="14700"/>
  <c r="G210" i="14700"/>
  <c r="M224" i="14700"/>
  <c r="M121" i="14700"/>
  <c r="K222" i="14704" a="1"/>
  <c r="L222" i="14704" s="1"/>
  <c r="L81" i="14704" a="1"/>
  <c r="L81" i="14704" s="1"/>
  <c r="M230" i="14700"/>
  <c r="O167" i="14700"/>
  <c r="N229" i="14700"/>
  <c r="O243" i="14700"/>
  <c r="P224" i="14700"/>
  <c r="P77" i="14704" a="1"/>
  <c r="P77" i="14704" s="1"/>
  <c r="M222" i="14700"/>
  <c r="Q187" i="14700"/>
  <c r="L158" i="14700"/>
  <c r="D176" i="14700"/>
  <c r="K122" i="14700"/>
  <c r="J212" i="14700"/>
  <c r="K32" i="14700"/>
  <c r="B36" i="14700"/>
  <c r="B33" i="14700"/>
  <c r="H37" i="14700"/>
  <c r="I36" i="14700"/>
  <c r="G34" i="14700"/>
  <c r="B32" i="14700"/>
  <c r="E32" i="14700"/>
  <c r="R117" i="14700"/>
  <c r="L230" i="14700"/>
  <c r="V221" i="14700"/>
  <c r="W167" i="14700"/>
  <c r="K229" i="14700"/>
  <c r="H208" i="14700"/>
  <c r="Q219" i="14700"/>
  <c r="S148" i="14700"/>
  <c r="R243" i="14700"/>
  <c r="J210" i="14700"/>
  <c r="O224" i="14700"/>
  <c r="L121" i="14700"/>
  <c r="D34" i="14700"/>
  <c r="K37" i="14700"/>
  <c r="S187" i="14700"/>
  <c r="M122" i="14700"/>
  <c r="F39" i="14700"/>
  <c r="K38" i="14700"/>
  <c r="J33" i="14700"/>
  <c r="M39" i="14700"/>
  <c r="E37" i="14700"/>
  <c r="K39" i="14700"/>
  <c r="S117" i="14700"/>
  <c r="F230" i="14700"/>
  <c r="T167" i="14700"/>
  <c r="G229" i="14700"/>
  <c r="M208" i="14700"/>
  <c r="V148" i="14700"/>
  <c r="M243" i="14700"/>
  <c r="J224" i="14700"/>
  <c r="I121" i="14700"/>
  <c r="C32" i="14700"/>
  <c r="M35" i="14700"/>
  <c r="B37" i="14700"/>
  <c r="E33" i="14700"/>
  <c r="D36" i="14700"/>
  <c r="C37" i="14700"/>
  <c r="J38" i="14700"/>
  <c r="N208" i="14700"/>
  <c r="R148" i="14700"/>
  <c r="J205" i="14704" a="1"/>
  <c r="M205" i="14704" s="1"/>
  <c r="K150" i="14704" a="1"/>
  <c r="S150" i="14704" s="1"/>
  <c r="E66" i="14643" a="1"/>
  <c r="E73" i="14643" s="1"/>
  <c r="E82" i="14704" a="1"/>
  <c r="E82" i="14704" s="1"/>
  <c r="P82" i="14698" a="1"/>
  <c r="P84" i="14698" s="1"/>
  <c r="K83" i="14704" a="1"/>
  <c r="K83" i="14704" s="1"/>
  <c r="N25" i="14704"/>
  <c r="V72" i="14704" a="1"/>
  <c r="V72" i="14704" s="1"/>
  <c r="Q201" i="14700"/>
  <c r="N228" i="14700"/>
  <c r="T186" i="14700"/>
  <c r="M242" i="14700"/>
  <c r="P116" i="14700"/>
  <c r="T115" i="14700"/>
  <c r="K168" i="14700"/>
  <c r="I157" i="14700"/>
  <c r="S239" i="14700"/>
  <c r="T170" i="14700"/>
  <c r="I209" i="14700"/>
  <c r="V239" i="14700"/>
  <c r="H80" i="14704" a="1"/>
  <c r="H80" i="14704" s="1"/>
  <c r="E210" i="14704" a="1"/>
  <c r="I210" i="14704" s="1"/>
  <c r="M81" i="14704" a="1"/>
  <c r="M81" i="14704" s="1"/>
  <c r="V201" i="14700"/>
  <c r="H228" i="14700"/>
  <c r="R186" i="14700"/>
  <c r="S242" i="14700"/>
  <c r="N113" i="14700"/>
  <c r="R115" i="14700"/>
  <c r="L168" i="14700"/>
  <c r="E157" i="14700"/>
  <c r="E140" i="14700"/>
  <c r="P239" i="14700"/>
  <c r="I170" i="14700"/>
  <c r="L209" i="14700"/>
  <c r="O73" i="14704" a="1"/>
  <c r="O73" i="14704" s="1"/>
  <c r="C212" i="14704" a="1"/>
  <c r="M212" i="14704" s="1"/>
  <c r="H246" i="14700"/>
  <c r="N201" i="14700"/>
  <c r="M228" i="14700"/>
  <c r="K186" i="14700"/>
  <c r="J242" i="14700"/>
  <c r="J81" i="14704" a="1"/>
  <c r="J81" i="14704" s="1"/>
  <c r="M113" i="14700"/>
  <c r="U115" i="14700"/>
  <c r="O168" i="14700"/>
  <c r="F157" i="14700"/>
  <c r="H140" i="14700"/>
  <c r="N239" i="14700"/>
  <c r="O170" i="14700"/>
  <c r="N209" i="14700"/>
  <c r="K204" i="14704" a="1"/>
  <c r="K204" i="14704" s="1"/>
  <c r="J246" i="14700"/>
  <c r="R201" i="14700"/>
  <c r="I228" i="14700"/>
  <c r="P186" i="14700"/>
  <c r="R242" i="14700"/>
  <c r="Q74" i="14704" a="1"/>
  <c r="Q74" i="14704" s="1"/>
  <c r="W113" i="14700"/>
  <c r="L115" i="14700"/>
  <c r="P168" i="14700"/>
  <c r="L157" i="14700"/>
  <c r="K140" i="14700"/>
  <c r="T239" i="14700"/>
  <c r="J170" i="14700"/>
  <c r="K209" i="14700"/>
  <c r="N201" i="14704" a="1"/>
  <c r="W201" i="14704" s="1"/>
  <c r="B213" i="14704" a="1"/>
  <c r="D213" i="14704" s="1"/>
  <c r="O201" i="14700"/>
  <c r="G228" i="14700"/>
  <c r="M186" i="14700"/>
  <c r="L242" i="14700"/>
  <c r="J115" i="14700"/>
  <c r="N168" i="14700"/>
  <c r="M157" i="14700"/>
  <c r="W239" i="14700"/>
  <c r="M170" i="14700"/>
  <c r="H209" i="14700"/>
  <c r="H207" i="14704" a="1"/>
  <c r="M207" i="14704" s="1"/>
  <c r="F209" i="14704" a="1"/>
  <c r="L209" i="14704" s="1"/>
  <c r="P201" i="14700"/>
  <c r="P228" i="14700"/>
  <c r="N186" i="14700"/>
  <c r="I242" i="14700"/>
  <c r="L113" i="14700"/>
  <c r="V168" i="14700"/>
  <c r="D157" i="14700"/>
  <c r="D140" i="14700"/>
  <c r="L239" i="14700"/>
  <c r="R170" i="14700"/>
  <c r="G209" i="14700"/>
  <c r="D211" i="14704" a="1"/>
  <c r="F211" i="14704" s="1"/>
  <c r="U201" i="14700"/>
  <c r="F228" i="14700"/>
  <c r="S186" i="14700"/>
  <c r="N242" i="14700"/>
  <c r="S115" i="14700"/>
  <c r="U168" i="14700"/>
  <c r="H157" i="14700"/>
  <c r="N140" i="14700"/>
  <c r="Q239" i="14700"/>
  <c r="P170" i="14700"/>
  <c r="F209" i="14700"/>
  <c r="Y72" i="14704" a="1"/>
  <c r="Y72" i="14704" s="1"/>
  <c r="Y85" i="14704" s="1"/>
  <c r="X74" i="14698" a="1"/>
  <c r="X81" i="14698" s="1"/>
  <c r="W75" i="14698" a="1"/>
  <c r="W76" i="14698" s="1"/>
  <c r="F85" i="14700"/>
  <c r="O39" i="14639"/>
  <c r="L131" i="14704" a="1"/>
  <c r="T131" i="14704" s="1"/>
  <c r="M112" i="14704" a="1"/>
  <c r="R112" i="14704" s="1"/>
  <c r="M202" i="14704" a="1"/>
  <c r="V202" i="14704" s="1"/>
  <c r="Y201" i="14700"/>
  <c r="K228" i="14700"/>
  <c r="L186" i="14700"/>
  <c r="K242" i="14700"/>
  <c r="K115" i="14700"/>
  <c r="S168" i="14700"/>
  <c r="O157" i="14700"/>
  <c r="O239" i="14700"/>
  <c r="N170" i="14700"/>
  <c r="J209" i="14700"/>
  <c r="L203" i="14704" a="1"/>
  <c r="R203" i="14704" s="1"/>
  <c r="W201" i="14700"/>
  <c r="O228" i="14700"/>
  <c r="V186" i="14700"/>
  <c r="T242" i="14700"/>
  <c r="P115" i="14700"/>
  <c r="T168" i="14700"/>
  <c r="J157" i="14700"/>
  <c r="M239" i="14700"/>
  <c r="K170" i="14700"/>
  <c r="O209" i="14700"/>
  <c r="I206" i="14704" a="1"/>
  <c r="J206" i="14704" s="1"/>
  <c r="E34" i="14683" a="1"/>
  <c r="E40" i="14683" s="1"/>
  <c r="S201" i="14700"/>
  <c r="E228" i="14700"/>
  <c r="O186" i="14700"/>
  <c r="P242" i="14700"/>
  <c r="K116" i="14700"/>
  <c r="M115" i="14700"/>
  <c r="M168" i="14700"/>
  <c r="N157" i="14700"/>
  <c r="U239" i="14700"/>
  <c r="Q170" i="14700"/>
  <c r="P209" i="14700"/>
  <c r="N116" i="14700"/>
  <c r="Q115" i="14700"/>
  <c r="G80" i="14704" a="1"/>
  <c r="G80" i="14704" s="1"/>
  <c r="N78" i="14704" a="1"/>
  <c r="N78" i="14704" s="1"/>
  <c r="V111" i="14700"/>
  <c r="P156" i="14700"/>
  <c r="L135" i="14700"/>
  <c r="L74" i="14704" a="1"/>
  <c r="L74" i="14704" s="1"/>
  <c r="F156" i="14700"/>
  <c r="J156" i="14700"/>
  <c r="E40" i="14637"/>
  <c r="D40" i="14637"/>
  <c r="H40" i="14637"/>
  <c r="N135" i="14700"/>
  <c r="C122" i="14704" a="1"/>
  <c r="G122" i="14704" s="1"/>
  <c r="R208" i="14700"/>
  <c r="T132" i="14700"/>
  <c r="O135" i="14700"/>
  <c r="L132" i="14700"/>
  <c r="J40" i="14637"/>
  <c r="B40" i="14637"/>
  <c r="K249" i="14700"/>
  <c r="O132" i="14700"/>
  <c r="G226" i="14700"/>
  <c r="F40" i="14637"/>
  <c r="O19" i="14639"/>
  <c r="U75" i="14704" a="1"/>
  <c r="U75" i="14704" s="1"/>
  <c r="I85" i="14700"/>
  <c r="G28" i="14704"/>
  <c r="C41" i="14639" a="1"/>
  <c r="M41" i="14639" s="1"/>
  <c r="M42" i="14639" s="1"/>
  <c r="I80" i="14704" a="1"/>
  <c r="I80" i="14704" s="1"/>
  <c r="I224" i="14704" a="1"/>
  <c r="K224" i="14704" s="1"/>
  <c r="D82" i="14704" a="1"/>
  <c r="D82" i="14704" s="1"/>
  <c r="U76" i="14704" a="1"/>
  <c r="U76" i="14704" s="1"/>
  <c r="M130" i="14704" a="1"/>
  <c r="O130" i="14704" s="1"/>
  <c r="K152" i="14700"/>
  <c r="C249" i="14700"/>
  <c r="O249" i="14698" s="1"/>
  <c r="L226" i="14700"/>
  <c r="O152" i="14700"/>
  <c r="J249" i="14700"/>
  <c r="P226" i="14700"/>
  <c r="J152" i="14700"/>
  <c r="J118" i="14700"/>
  <c r="L40" i="14637"/>
  <c r="C40" i="14637"/>
  <c r="R80" i="14698" a="1"/>
  <c r="R83" i="14698" s="1"/>
  <c r="H118" i="14700"/>
  <c r="F191" i="14700"/>
  <c r="L85" i="14700"/>
  <c r="K40" i="14637"/>
  <c r="K118" i="14700"/>
  <c r="L169" i="14700"/>
  <c r="J191" i="14700"/>
  <c r="X111" i="14700"/>
  <c r="H191" i="14700"/>
  <c r="I40" i="14637"/>
  <c r="P72" i="14704" a="1"/>
  <c r="P72" i="14704" s="1"/>
  <c r="L80" i="14704" a="1"/>
  <c r="L80" i="14704" s="1"/>
  <c r="O77" i="14704" a="1"/>
  <c r="O77" i="14704" s="1"/>
  <c r="K248" i="14700"/>
  <c r="G79" i="14704" a="1"/>
  <c r="G79" i="14704" s="1"/>
  <c r="X73" i="14704" a="1"/>
  <c r="X73" i="14704" s="1"/>
  <c r="K76" i="14704" a="1"/>
  <c r="K76" i="14704" s="1"/>
  <c r="G84" i="14704" a="1"/>
  <c r="G84" i="14704" s="1"/>
  <c r="R73" i="14704" a="1"/>
  <c r="R73" i="14704" s="1"/>
  <c r="J120" i="14700"/>
  <c r="K132" i="14704" a="1"/>
  <c r="Q132" i="14704" s="1"/>
  <c r="P190" i="14700"/>
  <c r="W131" i="14700"/>
  <c r="L188" i="14700"/>
  <c r="O154" i="14700"/>
  <c r="U169" i="14700"/>
  <c r="O171" i="14700"/>
  <c r="F227" i="14704" a="1"/>
  <c r="O227" i="14704" s="1"/>
  <c r="W202" i="14700"/>
  <c r="P131" i="14700"/>
  <c r="I83" i="14704" a="1"/>
  <c r="I83" i="14704" s="1"/>
  <c r="H248" i="14700"/>
  <c r="H78" i="14704" a="1"/>
  <c r="H78" i="14704" s="1"/>
  <c r="J77" i="14704" a="1"/>
  <c r="J77" i="14704" s="1"/>
  <c r="L79" i="14704" a="1"/>
  <c r="L79" i="14704" s="1"/>
  <c r="D247" i="14704" a="1"/>
  <c r="E247" i="14704" s="1"/>
  <c r="L120" i="14700"/>
  <c r="E138" i="14704" a="1"/>
  <c r="E138" i="14704" s="1"/>
  <c r="R190" i="14700"/>
  <c r="T76" i="14704" a="1"/>
  <c r="T76" i="14704" s="1"/>
  <c r="T131" i="14700"/>
  <c r="J188" i="14700"/>
  <c r="J154" i="14700"/>
  <c r="K169" i="14700"/>
  <c r="N171" i="14700"/>
  <c r="L221" i="14704" a="1"/>
  <c r="R221" i="14704" s="1"/>
  <c r="V202" i="14700"/>
  <c r="M79" i="14704" a="1"/>
  <c r="M79" i="14704" s="1"/>
  <c r="M80" i="14704" a="1"/>
  <c r="M80" i="14704" s="1"/>
  <c r="J83" i="14704" a="1"/>
  <c r="J83" i="14704" s="1"/>
  <c r="U151" i="14700"/>
  <c r="I248" i="14700"/>
  <c r="B195" i="14704" a="1"/>
  <c r="G195" i="14704" s="1"/>
  <c r="B84" i="14704" a="1"/>
  <c r="B84" i="14704" s="1"/>
  <c r="B85" i="14704" s="1"/>
  <c r="O80" i="14704" a="1"/>
  <c r="O80" i="14704" s="1"/>
  <c r="C28" i="14704"/>
  <c r="K80" i="14704" a="1"/>
  <c r="K80" i="14704" s="1"/>
  <c r="N120" i="14700"/>
  <c r="I134" i="14704" a="1"/>
  <c r="I134" i="14704" s="1"/>
  <c r="L190" i="14700"/>
  <c r="M131" i="14700"/>
  <c r="O188" i="14700"/>
  <c r="N154" i="14700"/>
  <c r="M169" i="14700"/>
  <c r="B195" i="14700"/>
  <c r="B196" i="14700" s="1"/>
  <c r="S171" i="14700"/>
  <c r="N26" i="14704"/>
  <c r="Q202" i="14700"/>
  <c r="M73" i="14704" a="1"/>
  <c r="M73" i="14704" s="1"/>
  <c r="K28" i="14704"/>
  <c r="N73" i="14704" a="1"/>
  <c r="N73" i="14704" s="1"/>
  <c r="H83" i="14704" a="1"/>
  <c r="H83" i="14704" s="1"/>
  <c r="F120" i="14700"/>
  <c r="D139" i="14704" a="1"/>
  <c r="K139" i="14704" s="1"/>
  <c r="N21" i="14704"/>
  <c r="N190" i="14700"/>
  <c r="U131" i="14700"/>
  <c r="Q188" i="14700"/>
  <c r="M154" i="14700"/>
  <c r="T169" i="14700"/>
  <c r="K171" i="14700"/>
  <c r="G226" i="14704" a="1"/>
  <c r="M226" i="14704" s="1"/>
  <c r="M202" i="14700"/>
  <c r="U77" i="14698" a="1"/>
  <c r="U77" i="14698" s="1"/>
  <c r="M148" i="14704" a="1"/>
  <c r="T148" i="14704" s="1"/>
  <c r="S73" i="14704" a="1"/>
  <c r="S73" i="14704" s="1"/>
  <c r="F173" i="14704" a="1"/>
  <c r="P173" i="14704" s="1"/>
  <c r="H84" i="14704" a="1"/>
  <c r="H84" i="14704" s="1"/>
  <c r="G172" i="14704" a="1"/>
  <c r="P172" i="14704" s="1"/>
  <c r="C248" i="14700"/>
  <c r="O248" i="14698" s="1"/>
  <c r="K186" i="14704" a="1"/>
  <c r="O186" i="14704" s="1"/>
  <c r="K75" i="14704" a="1"/>
  <c r="K75" i="14704" s="1"/>
  <c r="T75" i="14704" a="1"/>
  <c r="T75" i="14704" s="1"/>
  <c r="M74" i="14704" a="1"/>
  <c r="M74" i="14704" s="1"/>
  <c r="M78" i="14704" a="1"/>
  <c r="M78" i="14704" s="1"/>
  <c r="H120" i="14700"/>
  <c r="J133" i="14704" a="1"/>
  <c r="Q133" i="14704" s="1"/>
  <c r="G136" i="14704" a="1"/>
  <c r="I136" i="14704" s="1"/>
  <c r="I190" i="14700"/>
  <c r="O131" i="14700"/>
  <c r="P188" i="14700"/>
  <c r="R154" i="14700"/>
  <c r="O169" i="14700"/>
  <c r="H171" i="14700"/>
  <c r="C230" i="14704" a="1"/>
  <c r="L230" i="14704" s="1"/>
  <c r="N219" i="14704" a="1"/>
  <c r="T219" i="14704" s="1"/>
  <c r="N202" i="14700"/>
  <c r="N82" i="14704" a="1"/>
  <c r="N82" i="14704" s="1"/>
  <c r="L149" i="14704" a="1"/>
  <c r="Q149" i="14704" s="1"/>
  <c r="J85" i="14700"/>
  <c r="E85" i="14700"/>
  <c r="S79" i="14698" a="1"/>
  <c r="S79" i="14698" s="1"/>
  <c r="B9" i="14640" a="1"/>
  <c r="B9" i="14640" s="1"/>
  <c r="M184" i="14704" a="1"/>
  <c r="T184" i="14704" s="1"/>
  <c r="P76" i="14704" a="1"/>
  <c r="P76" i="14704" s="1"/>
  <c r="B177" i="14704" a="1"/>
  <c r="B177" i="14704" s="1"/>
  <c r="J248" i="14700"/>
  <c r="F80" i="14704" a="1"/>
  <c r="F80" i="14704" s="1"/>
  <c r="L75" i="14704" a="1"/>
  <c r="L75" i="14704" s="1"/>
  <c r="P75" i="14704" a="1"/>
  <c r="P75" i="14704" s="1"/>
  <c r="M120" i="14700"/>
  <c r="C140" i="14704" a="1"/>
  <c r="C140" i="14704" s="1"/>
  <c r="O190" i="14700"/>
  <c r="R131" i="14700"/>
  <c r="I188" i="14700"/>
  <c r="P154" i="14700"/>
  <c r="Q169" i="14700"/>
  <c r="I171" i="14700"/>
  <c r="D229" i="14704" a="1"/>
  <c r="K229" i="14704" s="1"/>
  <c r="M220" i="14704" a="1"/>
  <c r="O220" i="14704" s="1"/>
  <c r="U202" i="14700"/>
  <c r="K85" i="14700"/>
  <c r="T78" i="14698" a="1"/>
  <c r="T79" i="14698" s="1"/>
  <c r="P78" i="14704" a="1"/>
  <c r="P78" i="14704" s="1"/>
  <c r="D248" i="14700"/>
  <c r="Q75" i="14704" a="1"/>
  <c r="Q75" i="14704" s="1"/>
  <c r="L167" i="14704" a="1"/>
  <c r="R167" i="14704" s="1"/>
  <c r="Q151" i="14700"/>
  <c r="E248" i="14700"/>
  <c r="N72" i="14704" a="1"/>
  <c r="N72" i="14704" s="1"/>
  <c r="F81" i="14704" a="1"/>
  <c r="F81" i="14704" s="1"/>
  <c r="N77" i="14704" a="1"/>
  <c r="N77" i="14704" s="1"/>
  <c r="I120" i="14700"/>
  <c r="N129" i="14704" a="1"/>
  <c r="R129" i="14704" s="1"/>
  <c r="H190" i="14700"/>
  <c r="N131" i="14700"/>
  <c r="N188" i="14700"/>
  <c r="L154" i="14700"/>
  <c r="N169" i="14700"/>
  <c r="Q171" i="14700"/>
  <c r="H225" i="14704" a="1"/>
  <c r="N225" i="14704" s="1"/>
  <c r="P202" i="14700"/>
  <c r="Q131" i="14700"/>
  <c r="S188" i="14700"/>
  <c r="Q154" i="14700"/>
  <c r="J169" i="14700"/>
  <c r="J171" i="14700"/>
  <c r="J223" i="14704" a="1"/>
  <c r="O223" i="14704" s="1"/>
  <c r="S202" i="14700"/>
  <c r="O82" i="14704" a="1"/>
  <c r="O82" i="14704" s="1"/>
  <c r="K78" i="14704" a="1"/>
  <c r="K78" i="14704" s="1"/>
  <c r="M85" i="14700"/>
  <c r="M82" i="14704" a="1"/>
  <c r="M82" i="14704" s="1"/>
  <c r="N237" i="14704" a="1"/>
  <c r="Q237" i="14704" s="1"/>
  <c r="E81" i="14704" a="1"/>
  <c r="E81" i="14704" s="1"/>
  <c r="O72" i="14704" a="1"/>
  <c r="O72" i="14704" s="1"/>
  <c r="B141" i="14704" a="1"/>
  <c r="E141" i="14704" s="1"/>
  <c r="K190" i="14700"/>
  <c r="R74" i="14704" a="1"/>
  <c r="R74" i="14704" s="1"/>
  <c r="M248" i="14700"/>
  <c r="C83" i="14704" a="1"/>
  <c r="C83" i="14704" s="1"/>
  <c r="J76" i="14704" a="1"/>
  <c r="J76" i="14704" s="1"/>
  <c r="I78" i="14704" a="1"/>
  <c r="I78" i="14704" s="1"/>
  <c r="S72" i="14704" a="1"/>
  <c r="S72" i="14704" s="1"/>
  <c r="O120" i="14700"/>
  <c r="F137" i="14704" a="1"/>
  <c r="K137" i="14704" s="1"/>
  <c r="J190" i="14700"/>
  <c r="L131" i="14700"/>
  <c r="N75" i="14704" a="1"/>
  <c r="N75" i="14704" s="1"/>
  <c r="K188" i="14700"/>
  <c r="H154" i="14700"/>
  <c r="S169" i="14700"/>
  <c r="L171" i="14700"/>
  <c r="E228" i="14704" a="1"/>
  <c r="H228" i="14704" s="1"/>
  <c r="T202" i="14700"/>
  <c r="K81" i="14704" a="1"/>
  <c r="K81" i="14704" s="1"/>
  <c r="N248" i="14700"/>
  <c r="I77" i="14704" a="1"/>
  <c r="I77" i="14704" s="1"/>
  <c r="P74" i="14704" a="1"/>
  <c r="P74" i="14704" s="1"/>
  <c r="I82" i="14704" a="1"/>
  <c r="I82" i="14704" s="1"/>
  <c r="P120" i="14700"/>
  <c r="J82" i="14704" a="1"/>
  <c r="J82" i="14704" s="1"/>
  <c r="G248" i="14700"/>
  <c r="B28" i="14704"/>
  <c r="H79" i="14704" a="1"/>
  <c r="H79" i="14704" s="1"/>
  <c r="C84" i="14704" a="1"/>
  <c r="C84" i="14704" s="1"/>
  <c r="O76" i="14704" a="1"/>
  <c r="O76" i="14704" s="1"/>
  <c r="K120" i="14700"/>
  <c r="H135" i="14704" a="1"/>
  <c r="S135" i="14704" s="1"/>
  <c r="Q190" i="14700"/>
  <c r="V131" i="14700"/>
  <c r="G82" i="14704" a="1"/>
  <c r="G82" i="14704" s="1"/>
  <c r="T188" i="14700"/>
  <c r="I154" i="14700"/>
  <c r="P169" i="14700"/>
  <c r="P171" i="14700"/>
  <c r="R202" i="14700"/>
  <c r="D83" i="14704" a="1"/>
  <c r="D83" i="14704" s="1"/>
  <c r="R184" i="14700"/>
  <c r="S165" i="14700"/>
  <c r="J138" i="14700"/>
  <c r="M77" i="14704" a="1"/>
  <c r="M77" i="14704" s="1"/>
  <c r="J173" i="14700"/>
  <c r="M238" i="14704" a="1"/>
  <c r="Q238" i="14704" s="1"/>
  <c r="V185" i="14700"/>
  <c r="N22" i="14704"/>
  <c r="V112" i="14700"/>
  <c r="L84" i="14704" a="1"/>
  <c r="L84" i="14704" s="1"/>
  <c r="L28" i="14704"/>
  <c r="K153" i="14700"/>
  <c r="M172" i="14700"/>
  <c r="P223" i="14700"/>
  <c r="E123" i="14700"/>
  <c r="U183" i="14700"/>
  <c r="N23" i="14704"/>
  <c r="D175" i="14704" a="1"/>
  <c r="K175" i="14704" s="1"/>
  <c r="J78" i="14704" a="1"/>
  <c r="J78" i="14704" s="1"/>
  <c r="O184" i="14700"/>
  <c r="H135" i="14700"/>
  <c r="Y165" i="14700"/>
  <c r="L82" i="14704" a="1"/>
  <c r="L82" i="14704" s="1"/>
  <c r="G190" i="14704" a="1"/>
  <c r="Q190" i="14704" s="1"/>
  <c r="N20" i="14704"/>
  <c r="K138" i="14700"/>
  <c r="N130" i="14700"/>
  <c r="R111" i="14700"/>
  <c r="R72" i="14704" a="1"/>
  <c r="R72" i="14704" s="1"/>
  <c r="I81" i="14704" a="1"/>
  <c r="I81" i="14704" s="1"/>
  <c r="R116" i="14700"/>
  <c r="R79" i="14704" a="1"/>
  <c r="R79" i="14704" s="1"/>
  <c r="V73" i="14704" a="1"/>
  <c r="V73" i="14704" s="1"/>
  <c r="Q152" i="14700"/>
  <c r="G173" i="14700"/>
  <c r="I242" i="14704" a="1"/>
  <c r="K242" i="14704" s="1"/>
  <c r="L239" i="14704" a="1"/>
  <c r="M239" i="14704" s="1"/>
  <c r="W185" i="14700"/>
  <c r="G249" i="14700"/>
  <c r="G118" i="14700"/>
  <c r="G154" i="14704" a="1"/>
  <c r="L154" i="14704" s="1"/>
  <c r="R112" i="14700"/>
  <c r="S77" i="14704" a="1"/>
  <c r="S77" i="14704" s="1"/>
  <c r="H153" i="14700"/>
  <c r="N147" i="14700"/>
  <c r="P73" i="14704" a="1"/>
  <c r="P73" i="14704" s="1"/>
  <c r="L172" i="14700"/>
  <c r="M191" i="14700"/>
  <c r="K156" i="14700"/>
  <c r="D211" i="14700"/>
  <c r="L223" i="14700"/>
  <c r="C123" i="14700"/>
  <c r="O123" i="14698" s="1"/>
  <c r="Y183" i="14700"/>
  <c r="F194" i="14700"/>
  <c r="M132" i="14700"/>
  <c r="N148" i="14700"/>
  <c r="F227" i="14700"/>
  <c r="K226" i="14700"/>
  <c r="F175" i="14700"/>
  <c r="L192" i="14700"/>
  <c r="S112" i="14700"/>
  <c r="Q153" i="14700"/>
  <c r="G123" i="14700"/>
  <c r="I170" i="14704" a="1"/>
  <c r="O170" i="14704" s="1"/>
  <c r="N74" i="14704" a="1"/>
  <c r="N74" i="14704" s="1"/>
  <c r="L76" i="14704" a="1"/>
  <c r="L76" i="14704" s="1"/>
  <c r="M184" i="14700"/>
  <c r="P135" i="14700"/>
  <c r="V165" i="14700"/>
  <c r="S75" i="14704" a="1"/>
  <c r="S75" i="14704" s="1"/>
  <c r="O79" i="14704" a="1"/>
  <c r="O79" i="14704" s="1"/>
  <c r="I188" i="14704" a="1"/>
  <c r="J188" i="14704" s="1"/>
  <c r="J115" i="14704" a="1"/>
  <c r="U115" i="14704" s="1"/>
  <c r="M138" i="14700"/>
  <c r="M130" i="14700"/>
  <c r="U111" i="14700"/>
  <c r="Q73" i="14704" a="1"/>
  <c r="Q73" i="14704" s="1"/>
  <c r="Y73" i="14698" a="1"/>
  <c r="Y83" i="14698" s="1"/>
  <c r="T116" i="14700"/>
  <c r="Q80" i="14704" a="1"/>
  <c r="Q80" i="14704" s="1"/>
  <c r="W72" i="14704" a="1"/>
  <c r="W72" i="14704" s="1"/>
  <c r="S152" i="14700"/>
  <c r="H173" i="14700"/>
  <c r="G244" i="14704" a="1"/>
  <c r="H244" i="14704" s="1"/>
  <c r="T185" i="14700"/>
  <c r="M249" i="14700"/>
  <c r="M118" i="14700"/>
  <c r="D157" i="14704" a="1"/>
  <c r="H157" i="14704" s="1"/>
  <c r="O112" i="14700"/>
  <c r="Q79" i="14704" a="1"/>
  <c r="Q79" i="14704" s="1"/>
  <c r="R153" i="14700"/>
  <c r="P147" i="14700"/>
  <c r="V76" i="14698" a="1"/>
  <c r="V82" i="14698" s="1"/>
  <c r="F83" i="14704" a="1"/>
  <c r="F83" i="14704" s="1"/>
  <c r="P172" i="14700"/>
  <c r="Q191" i="14700"/>
  <c r="M156" i="14700"/>
  <c r="E211" i="14700"/>
  <c r="Q223" i="14700"/>
  <c r="M123" i="14700"/>
  <c r="O183" i="14700"/>
  <c r="G194" i="14700"/>
  <c r="K132" i="14700"/>
  <c r="P227" i="14700"/>
  <c r="H85" i="14700"/>
  <c r="H226" i="14700"/>
  <c r="E175" i="14700"/>
  <c r="N184" i="14700"/>
  <c r="T165" i="14700"/>
  <c r="K79" i="14704" a="1"/>
  <c r="K79" i="14704" s="1"/>
  <c r="J151" i="14704" a="1"/>
  <c r="N151" i="14704" s="1"/>
  <c r="J169" i="14704" a="1"/>
  <c r="L169" i="14704" s="1"/>
  <c r="G81" i="14704" a="1"/>
  <c r="G81" i="14704" s="1"/>
  <c r="E83" i="14704" a="1"/>
  <c r="E83" i="14704" s="1"/>
  <c r="T184" i="14700"/>
  <c r="R135" i="14700"/>
  <c r="W165" i="14700"/>
  <c r="J28" i="14704"/>
  <c r="E192" i="14704" a="1"/>
  <c r="F192" i="14704" s="1"/>
  <c r="D193" i="14704" a="1"/>
  <c r="L193" i="14704" s="1"/>
  <c r="B123" i="14704" a="1"/>
  <c r="H123" i="14704" s="1"/>
  <c r="G138" i="14700"/>
  <c r="U130" i="14700"/>
  <c r="Q111" i="14700"/>
  <c r="L78" i="14704" a="1"/>
  <c r="L78" i="14704" s="1"/>
  <c r="J116" i="14700"/>
  <c r="W74" i="14704" a="1"/>
  <c r="W74" i="14704" s="1"/>
  <c r="S76" i="14704" a="1"/>
  <c r="S76" i="14704" s="1"/>
  <c r="N152" i="14700"/>
  <c r="M173" i="14700"/>
  <c r="N27" i="14704"/>
  <c r="M185" i="14700"/>
  <c r="I249" i="14700"/>
  <c r="Q118" i="14700"/>
  <c r="H153" i="14704" a="1"/>
  <c r="H153" i="14704" s="1"/>
  <c r="M112" i="14700"/>
  <c r="P80" i="14704" a="1"/>
  <c r="P80" i="14704" s="1"/>
  <c r="O153" i="14700"/>
  <c r="T147" i="14700"/>
  <c r="H81" i="14704" a="1"/>
  <c r="H81" i="14704" s="1"/>
  <c r="Q172" i="14700"/>
  <c r="I191" i="14700"/>
  <c r="I156" i="14700"/>
  <c r="M211" i="14700"/>
  <c r="J223" i="14700"/>
  <c r="I123" i="14700"/>
  <c r="R183" i="14700"/>
  <c r="K194" i="14700"/>
  <c r="U132" i="14700"/>
  <c r="U148" i="14700"/>
  <c r="I227" i="14700"/>
  <c r="O226" i="14700"/>
  <c r="I175" i="14700"/>
  <c r="I192" i="14700"/>
  <c r="Q173" i="14700"/>
  <c r="N185" i="14700"/>
  <c r="D194" i="14700"/>
  <c r="C176" i="14704" a="1"/>
  <c r="N176" i="14704" s="1"/>
  <c r="F82" i="14704" a="1"/>
  <c r="F82" i="14704" s="1"/>
  <c r="U184" i="14700"/>
  <c r="J135" i="14700"/>
  <c r="U165" i="14700"/>
  <c r="R76" i="14704" a="1"/>
  <c r="R76" i="14704" s="1"/>
  <c r="F191" i="14704" a="1"/>
  <c r="I191" i="14704" s="1"/>
  <c r="H189" i="14704" a="1"/>
  <c r="R189" i="14704" s="1"/>
  <c r="G118" i="14704" a="1"/>
  <c r="M118" i="14704" s="1"/>
  <c r="O138" i="14700"/>
  <c r="X130" i="14700"/>
  <c r="O111" i="14700"/>
  <c r="F84" i="14704" a="1"/>
  <c r="F84" i="14704" s="1"/>
  <c r="M116" i="14700"/>
  <c r="V75" i="14704" a="1"/>
  <c r="V75" i="14704" s="1"/>
  <c r="N83" i="14704" a="1"/>
  <c r="N83" i="14704" s="1"/>
  <c r="U74" i="14704" a="1"/>
  <c r="U74" i="14704" s="1"/>
  <c r="T152" i="14700"/>
  <c r="N173" i="14700"/>
  <c r="K240" i="14704" a="1"/>
  <c r="N240" i="14704" s="1"/>
  <c r="O185" i="14700"/>
  <c r="B249" i="14700"/>
  <c r="N249" i="14698" s="1"/>
  <c r="N250" i="14698" s="1"/>
  <c r="G85" i="14700"/>
  <c r="N118" i="14700"/>
  <c r="C158" i="14704" a="1"/>
  <c r="H158" i="14704" s="1"/>
  <c r="P112" i="14700"/>
  <c r="V74" i="14704" a="1"/>
  <c r="V74" i="14704" s="1"/>
  <c r="S153" i="14700"/>
  <c r="R147" i="14700"/>
  <c r="Q72" i="14704" a="1"/>
  <c r="Q72" i="14704" s="1"/>
  <c r="J79" i="14704" a="1"/>
  <c r="J79" i="14704" s="1"/>
  <c r="I172" i="14700"/>
  <c r="G191" i="14700"/>
  <c r="L156" i="14700"/>
  <c r="O211" i="14700"/>
  <c r="N223" i="14700"/>
  <c r="H123" i="14700"/>
  <c r="S183" i="14700"/>
  <c r="L194" i="14700"/>
  <c r="V132" i="14700"/>
  <c r="X148" i="14700"/>
  <c r="O227" i="14700"/>
  <c r="J226" i="14700"/>
  <c r="D175" i="14700"/>
  <c r="F192" i="14700"/>
  <c r="P138" i="14700"/>
  <c r="K168" i="14704" a="1"/>
  <c r="R168" i="14704" s="1"/>
  <c r="I79" i="14704" a="1"/>
  <c r="I79" i="14704" s="1"/>
  <c r="X184" i="14700"/>
  <c r="Q135" i="14700"/>
  <c r="O165" i="14700"/>
  <c r="N80" i="14704" a="1"/>
  <c r="N80" i="14704" s="1"/>
  <c r="N24" i="14704"/>
  <c r="N111" i="14704" a="1"/>
  <c r="Y111" i="14704" s="1"/>
  <c r="Y124" i="14704" s="1"/>
  <c r="K114" i="14704" a="1"/>
  <c r="N114" i="14704" s="1"/>
  <c r="I138" i="14700"/>
  <c r="V130" i="14700"/>
  <c r="S111" i="14700"/>
  <c r="N76" i="14704" a="1"/>
  <c r="N76" i="14704" s="1"/>
  <c r="L116" i="14700"/>
  <c r="M84" i="14704" a="1"/>
  <c r="M84" i="14704" s="1"/>
  <c r="P81" i="14704" a="1"/>
  <c r="P81" i="14704" s="1"/>
  <c r="Q78" i="14704" a="1"/>
  <c r="Q78" i="14704" s="1"/>
  <c r="M152" i="14700"/>
  <c r="I173" i="14700"/>
  <c r="C248" i="14704" a="1"/>
  <c r="K248" i="14704" s="1"/>
  <c r="Q185" i="14700"/>
  <c r="F249" i="14700"/>
  <c r="O118" i="14700"/>
  <c r="E156" i="14704" a="1"/>
  <c r="O156" i="14704" s="1"/>
  <c r="N112" i="14700"/>
  <c r="R78" i="14704" a="1"/>
  <c r="R78" i="14704" s="1"/>
  <c r="I153" i="14700"/>
  <c r="O147" i="14700"/>
  <c r="E28" i="14704"/>
  <c r="L77" i="14704" a="1"/>
  <c r="L77" i="14704" s="1"/>
  <c r="K172" i="14700"/>
  <c r="K191" i="14700"/>
  <c r="G156" i="14700"/>
  <c r="N211" i="14700"/>
  <c r="K223" i="14700"/>
  <c r="L123" i="14700"/>
  <c r="X183" i="14700"/>
  <c r="H194" i="14700"/>
  <c r="S132" i="14700"/>
  <c r="W148" i="14700"/>
  <c r="L227" i="14700"/>
  <c r="R226" i="14700"/>
  <c r="G175" i="14700"/>
  <c r="H192" i="14700"/>
  <c r="E246" i="14704" a="1"/>
  <c r="L246" i="14704" s="1"/>
  <c r="M166" i="14704" a="1"/>
  <c r="T166" i="14704" s="1"/>
  <c r="D84" i="14704" a="1"/>
  <c r="D84" i="14704" s="1"/>
  <c r="Q184" i="14700"/>
  <c r="I135" i="14700"/>
  <c r="R165" i="14700"/>
  <c r="Q81" i="14698" a="1"/>
  <c r="Q82" i="14698" s="1"/>
  <c r="J84" i="14704" a="1"/>
  <c r="J84" i="14704" s="1"/>
  <c r="L185" i="14704" a="1"/>
  <c r="W185" i="14704" s="1"/>
  <c r="B32" i="14704" a="1"/>
  <c r="I39" i="14704" s="1"/>
  <c r="L113" i="14704" a="1"/>
  <c r="Q113" i="14704" s="1"/>
  <c r="H138" i="14700"/>
  <c r="W130" i="14700"/>
  <c r="Y111" i="14700"/>
  <c r="H82" i="14704" a="1"/>
  <c r="H82" i="14704" s="1"/>
  <c r="O116" i="14700"/>
  <c r="S78" i="14704" a="1"/>
  <c r="S78" i="14704" s="1"/>
  <c r="P79" i="14704" a="1"/>
  <c r="P79" i="14704" s="1"/>
  <c r="R77" i="14704" a="1"/>
  <c r="R77" i="14704" s="1"/>
  <c r="P152" i="14700"/>
  <c r="F173" i="14700"/>
  <c r="B249" i="14704" a="1"/>
  <c r="I249" i="14704" s="1"/>
  <c r="U185" i="14700"/>
  <c r="L249" i="14700"/>
  <c r="L118" i="14700"/>
  <c r="N28" i="14700"/>
  <c r="E13" i="14657" s="1"/>
  <c r="N147" i="14704" a="1"/>
  <c r="Y147" i="14704" s="1"/>
  <c r="Y160" i="14704" s="1"/>
  <c r="X112" i="14700"/>
  <c r="W73" i="14704" a="1"/>
  <c r="W73" i="14704" s="1"/>
  <c r="L153" i="14700"/>
  <c r="S147" i="14700"/>
  <c r="O74" i="14704" a="1"/>
  <c r="O74" i="14704" s="1"/>
  <c r="J172" i="14700"/>
  <c r="P191" i="14700"/>
  <c r="H156" i="14700"/>
  <c r="F211" i="14700"/>
  <c r="U223" i="14700"/>
  <c r="J123" i="14700"/>
  <c r="N183" i="14700"/>
  <c r="C194" i="14700"/>
  <c r="C196" i="14700" s="1"/>
  <c r="P132" i="14700"/>
  <c r="M226" i="14700"/>
  <c r="M175" i="14700"/>
  <c r="O75" i="14704" a="1"/>
  <c r="O75" i="14704" s="1"/>
  <c r="F245" i="14704" a="1"/>
  <c r="M245" i="14704" s="1"/>
  <c r="T223" i="14700"/>
  <c r="P183" i="14700"/>
  <c r="O175" i="14700"/>
  <c r="N165" i="14704" a="1"/>
  <c r="V165" i="14704" s="1"/>
  <c r="D28" i="14704"/>
  <c r="S184" i="14700"/>
  <c r="M135" i="14700"/>
  <c r="N165" i="14700"/>
  <c r="Q77" i="14704" a="1"/>
  <c r="Q77" i="14704" s="1"/>
  <c r="N183" i="14704" a="1"/>
  <c r="P183" i="14704" s="1"/>
  <c r="I116" i="14704" a="1"/>
  <c r="T116" i="14704" s="1"/>
  <c r="N138" i="14700"/>
  <c r="O130" i="14700"/>
  <c r="T111" i="14700"/>
  <c r="J80" i="14704" a="1"/>
  <c r="J80" i="14704" s="1"/>
  <c r="S116" i="14700"/>
  <c r="M28" i="14704"/>
  <c r="L83" i="14704" a="1"/>
  <c r="L83" i="14704" s="1"/>
  <c r="N81" i="14704" a="1"/>
  <c r="N81" i="14704" s="1"/>
  <c r="R152" i="14700"/>
  <c r="L173" i="14700"/>
  <c r="J241" i="14704" a="1"/>
  <c r="J241" i="14704" s="1"/>
  <c r="R185" i="14700"/>
  <c r="D249" i="14700"/>
  <c r="I118" i="14700"/>
  <c r="U112" i="14700"/>
  <c r="X72" i="14704" a="1"/>
  <c r="X72" i="14704" s="1"/>
  <c r="N153" i="14700"/>
  <c r="W147" i="14700"/>
  <c r="M76" i="14704" a="1"/>
  <c r="M76" i="14704" s="1"/>
  <c r="N172" i="14700"/>
  <c r="L191" i="14700"/>
  <c r="N156" i="14700"/>
  <c r="I211" i="14700"/>
  <c r="M223" i="14700"/>
  <c r="D123" i="14700"/>
  <c r="T183" i="14700"/>
  <c r="J194" i="14700"/>
  <c r="Q132" i="14700"/>
  <c r="M148" i="14700"/>
  <c r="M227" i="14700"/>
  <c r="N226" i="14700"/>
  <c r="J175" i="14700"/>
  <c r="O192" i="14700"/>
  <c r="M83" i="14704" a="1"/>
  <c r="M83" i="14704" s="1"/>
  <c r="G172" i="14700"/>
  <c r="H171" i="14704" a="1"/>
  <c r="K171" i="14704" s="1"/>
  <c r="M75" i="14704" a="1"/>
  <c r="M75" i="14704" s="1"/>
  <c r="W184" i="14700"/>
  <c r="S135" i="14700"/>
  <c r="Q165" i="14700"/>
  <c r="U73" i="14704" a="1"/>
  <c r="U73" i="14704" s="1"/>
  <c r="C194" i="14704" a="1"/>
  <c r="L194" i="14704" s="1"/>
  <c r="F119" i="14704" a="1"/>
  <c r="K119" i="14704" s="1"/>
  <c r="D121" i="14704" a="1"/>
  <c r="F121" i="14704" s="1"/>
  <c r="L138" i="14700"/>
  <c r="S130" i="14700"/>
  <c r="W111" i="14700"/>
  <c r="F28" i="14704"/>
  <c r="I116" i="14700"/>
  <c r="T77" i="14704" a="1"/>
  <c r="T77" i="14704" s="1"/>
  <c r="K84" i="14704" a="1"/>
  <c r="K84" i="14704" s="1"/>
  <c r="L152" i="14700"/>
  <c r="K173" i="14700"/>
  <c r="H243" i="14704" a="1"/>
  <c r="R243" i="14704" s="1"/>
  <c r="P185" i="14700"/>
  <c r="H249" i="14700"/>
  <c r="R118" i="14700"/>
  <c r="F155" i="14704" a="1"/>
  <c r="K155" i="14704" s="1"/>
  <c r="I152" i="14704" a="1"/>
  <c r="T152" i="14704" s="1"/>
  <c r="T112" i="14700"/>
  <c r="O81" i="14704" a="1"/>
  <c r="O81" i="14704" s="1"/>
  <c r="M153" i="14700"/>
  <c r="U147" i="14700"/>
  <c r="E84" i="14704" a="1"/>
  <c r="E84" i="14704" s="1"/>
  <c r="R172" i="14700"/>
  <c r="O191" i="14700"/>
  <c r="O156" i="14700"/>
  <c r="H211" i="14700"/>
  <c r="O223" i="14700"/>
  <c r="B123" i="14700"/>
  <c r="N123" i="14698" s="1"/>
  <c r="N124" i="14698" s="1"/>
  <c r="V183" i="14700"/>
  <c r="M194" i="14700"/>
  <c r="R132" i="14700"/>
  <c r="I226" i="14700"/>
  <c r="K175" i="14700"/>
  <c r="E174" i="14704" a="1"/>
  <c r="H174" i="14704" s="1"/>
  <c r="J187" i="14704" a="1"/>
  <c r="J187" i="14704" s="1"/>
  <c r="H117" i="14704" a="1"/>
  <c r="R117" i="14704" s="1"/>
  <c r="G83" i="14704" a="1"/>
  <c r="G83" i="14704" s="1"/>
  <c r="B159" i="14704" a="1"/>
  <c r="H159" i="14704" s="1"/>
  <c r="S76" i="14701" a="1"/>
  <c r="S76" i="14701" s="1"/>
  <c r="V73" i="14701" a="1"/>
  <c r="V73" i="14701" s="1"/>
  <c r="K28" i="14701"/>
  <c r="P79" i="14701" a="1"/>
  <c r="P79" i="14701" s="1"/>
  <c r="O80" i="14701" a="1"/>
  <c r="O80" i="14701" s="1"/>
  <c r="Q78" i="14701" a="1"/>
  <c r="Q78" i="14701" s="1"/>
  <c r="T75" i="14701" a="1"/>
  <c r="T75" i="14701" s="1"/>
  <c r="M82" i="14701" a="1"/>
  <c r="M82" i="14701" s="1"/>
  <c r="R77" i="14701" a="1"/>
  <c r="R77" i="14701" s="1"/>
  <c r="L83" i="14701" a="1"/>
  <c r="L83" i="14701" s="1"/>
  <c r="U74" i="14701" a="1"/>
  <c r="U74" i="14701" s="1"/>
  <c r="K84" i="14701" a="1"/>
  <c r="K84" i="14701" s="1"/>
  <c r="W72" i="14701" a="1"/>
  <c r="W72" i="14701" s="1"/>
  <c r="N81" i="14701" a="1"/>
  <c r="N81" i="14701" s="1"/>
  <c r="L77" i="14701" a="1"/>
  <c r="L77" i="14701" s="1"/>
  <c r="E84" i="14701" a="1"/>
  <c r="E84" i="14701" s="1"/>
  <c r="Q72" i="14701" a="1"/>
  <c r="Q72" i="14701" s="1"/>
  <c r="G82" i="14701" a="1"/>
  <c r="G82" i="14701" s="1"/>
  <c r="K78" i="14701" a="1"/>
  <c r="K78" i="14701" s="1"/>
  <c r="J79" i="14701" a="1"/>
  <c r="J79" i="14701" s="1"/>
  <c r="N75" i="14701" a="1"/>
  <c r="N75" i="14701" s="1"/>
  <c r="O74" i="14701" a="1"/>
  <c r="O74" i="14701" s="1"/>
  <c r="E28" i="14701"/>
  <c r="M76" i="14701" a="1"/>
  <c r="M76" i="14701" s="1"/>
  <c r="P73" i="14701" a="1"/>
  <c r="P73" i="14701" s="1"/>
  <c r="F83" i="14701" a="1"/>
  <c r="F83" i="14701" s="1"/>
  <c r="I80" i="14701" a="1"/>
  <c r="I80" i="14701" s="1"/>
  <c r="H81" i="14701" a="1"/>
  <c r="H81" i="14701" s="1"/>
  <c r="D175" i="14701" a="1"/>
  <c r="K168" i="14701" a="1"/>
  <c r="M166" i="14701" a="1"/>
  <c r="L167" i="14701" a="1"/>
  <c r="G172" i="14701" a="1"/>
  <c r="J169" i="14701" a="1"/>
  <c r="C176" i="14701" a="1"/>
  <c r="N165" i="14701" a="1"/>
  <c r="F173" i="14701" a="1"/>
  <c r="H171" i="14701" a="1"/>
  <c r="N23" i="14701"/>
  <c r="I170" i="14701" a="1"/>
  <c r="B177" i="14701" a="1"/>
  <c r="E174" i="14701" a="1"/>
  <c r="H6" i="14683"/>
  <c r="H12" i="14683"/>
  <c r="H8" i="14683"/>
  <c r="H13" i="14683"/>
  <c r="H11" i="14683"/>
  <c r="H10" i="14683"/>
  <c r="H7" i="14683"/>
  <c r="H9" i="14683"/>
  <c r="Y72" i="14701" a="1"/>
  <c r="Y72" i="14701" s="1"/>
  <c r="W74" i="14701" a="1"/>
  <c r="W74" i="14701" s="1"/>
  <c r="U76" i="14701" a="1"/>
  <c r="U76" i="14701" s="1"/>
  <c r="S78" i="14701" a="1"/>
  <c r="S78" i="14701" s="1"/>
  <c r="O82" i="14701" a="1"/>
  <c r="O82" i="14701" s="1"/>
  <c r="T77" i="14701" a="1"/>
  <c r="T77" i="14701" s="1"/>
  <c r="Q80" i="14701" a="1"/>
  <c r="Q80" i="14701" s="1"/>
  <c r="P81" i="14701" a="1"/>
  <c r="P81" i="14701" s="1"/>
  <c r="R79" i="14701" a="1"/>
  <c r="R79" i="14701" s="1"/>
  <c r="M28" i="14701"/>
  <c r="M84" i="14701" a="1"/>
  <c r="M84" i="14701" s="1"/>
  <c r="V75" i="14701" a="1"/>
  <c r="V75" i="14701" s="1"/>
  <c r="X73" i="14701" a="1"/>
  <c r="X73" i="14701" s="1"/>
  <c r="N83" i="14701" a="1"/>
  <c r="N83" i="14701" s="1"/>
  <c r="E83" i="14701" a="1"/>
  <c r="E83" i="14701" s="1"/>
  <c r="G81" i="14701" a="1"/>
  <c r="G81" i="14701" s="1"/>
  <c r="I79" i="14701" a="1"/>
  <c r="I79" i="14701" s="1"/>
  <c r="L76" i="14701" a="1"/>
  <c r="L76" i="14701" s="1"/>
  <c r="H80" i="14701" a="1"/>
  <c r="H80" i="14701" s="1"/>
  <c r="D28" i="14701"/>
  <c r="K77" i="14701" a="1"/>
  <c r="K77" i="14701" s="1"/>
  <c r="J78" i="14701" a="1"/>
  <c r="J78" i="14701" s="1"/>
  <c r="M75" i="14701" a="1"/>
  <c r="M75" i="14701" s="1"/>
  <c r="D84" i="14701" a="1"/>
  <c r="D84" i="14701" s="1"/>
  <c r="P72" i="14701" a="1"/>
  <c r="P72" i="14701" s="1"/>
  <c r="F82" i="14701" a="1"/>
  <c r="F82" i="14701" s="1"/>
  <c r="O73" i="14701" a="1"/>
  <c r="O73" i="14701" s="1"/>
  <c r="N74" i="14701" a="1"/>
  <c r="N74" i="14701" s="1"/>
  <c r="M112" i="14701" a="1"/>
  <c r="H78" i="14701" a="1"/>
  <c r="H78" i="14701" s="1"/>
  <c r="K114" i="14701" a="1"/>
  <c r="N111" i="14701" a="1"/>
  <c r="G118" i="14701" a="1"/>
  <c r="N20" i="14701"/>
  <c r="B123" i="14701" a="1"/>
  <c r="B32" i="14701" a="1"/>
  <c r="G79" i="14701" a="1"/>
  <c r="G79" i="14701" s="1"/>
  <c r="L113" i="14701" a="1"/>
  <c r="C83" i="14701" a="1"/>
  <c r="C83" i="14701" s="1"/>
  <c r="J76" i="14701" a="1"/>
  <c r="J76" i="14701" s="1"/>
  <c r="E81" i="14701" a="1"/>
  <c r="E81" i="14701" s="1"/>
  <c r="M73" i="14701" a="1"/>
  <c r="M73" i="14701" s="1"/>
  <c r="I116" i="14701" a="1"/>
  <c r="B28" i="14701"/>
  <c r="I77" i="14701" a="1"/>
  <c r="I77" i="14701" s="1"/>
  <c r="C122" i="14701" a="1"/>
  <c r="F80" i="14701" a="1"/>
  <c r="F80" i="14701" s="1"/>
  <c r="D82" i="14701" a="1"/>
  <c r="D82" i="14701" s="1"/>
  <c r="H117" i="14701" a="1"/>
  <c r="J115" i="14701" a="1"/>
  <c r="E120" i="14701" a="1"/>
  <c r="B84" i="14701" a="1"/>
  <c r="B84" i="14701" s="1"/>
  <c r="L74" i="14701" a="1"/>
  <c r="L74" i="14701" s="1"/>
  <c r="N72" i="14701" a="1"/>
  <c r="N72" i="14701" s="1"/>
  <c r="D121" i="14701" a="1"/>
  <c r="F119" i="14701" a="1"/>
  <c r="K75" i="14701" a="1"/>
  <c r="K75" i="14701" s="1"/>
  <c r="H243" i="14701" a="1"/>
  <c r="L239" i="14701" a="1"/>
  <c r="D247" i="14701" a="1"/>
  <c r="C248" i="14701" a="1"/>
  <c r="N237" i="14701" a="1"/>
  <c r="G244" i="14701" a="1"/>
  <c r="I242" i="14701" a="1"/>
  <c r="E246" i="14701" a="1"/>
  <c r="J241" i="14701" a="1"/>
  <c r="M238" i="14701" a="1"/>
  <c r="B249" i="14701" a="1"/>
  <c r="N27" i="14701"/>
  <c r="F245" i="14701" a="1"/>
  <c r="K240" i="14701" a="1"/>
  <c r="J223" i="14701" a="1"/>
  <c r="N219" i="14701" a="1"/>
  <c r="K222" i="14701" a="1"/>
  <c r="N26" i="14701"/>
  <c r="C230" i="14701" a="1"/>
  <c r="B231" i="14701" a="1"/>
  <c r="D229" i="14701" a="1"/>
  <c r="H225" i="14701" a="1"/>
  <c r="M220" i="14701" a="1"/>
  <c r="G226" i="14701" a="1"/>
  <c r="E228" i="14701" a="1"/>
  <c r="F227" i="14701" a="1"/>
  <c r="L221" i="14701" a="1"/>
  <c r="I224" i="14701" a="1"/>
  <c r="J6" i="14683" a="1"/>
  <c r="N129" i="14701" a="1"/>
  <c r="H135" i="14701" a="1"/>
  <c r="N21" i="14701"/>
  <c r="M130" i="14701" a="1"/>
  <c r="J133" i="14701" a="1"/>
  <c r="I134" i="14701" a="1"/>
  <c r="B141" i="14701" a="1"/>
  <c r="E138" i="14701" a="1"/>
  <c r="K132" i="14701" a="1"/>
  <c r="L131" i="14701" a="1"/>
  <c r="F137" i="14701" a="1"/>
  <c r="D139" i="14701" a="1"/>
  <c r="G136" i="14701" a="1"/>
  <c r="C140" i="14701" a="1"/>
  <c r="T73" i="14701" a="1"/>
  <c r="T73" i="14701" s="1"/>
  <c r="P77" i="14701" a="1"/>
  <c r="P77" i="14701" s="1"/>
  <c r="Q76" i="14701" a="1"/>
  <c r="Q76" i="14701" s="1"/>
  <c r="O78" i="14701" a="1"/>
  <c r="O78" i="14701" s="1"/>
  <c r="I84" i="14701" a="1"/>
  <c r="I84" i="14701" s="1"/>
  <c r="S74" i="14701" a="1"/>
  <c r="S74" i="14701" s="1"/>
  <c r="L81" i="14701" a="1"/>
  <c r="L81" i="14701" s="1"/>
  <c r="N79" i="14701" a="1"/>
  <c r="N79" i="14701" s="1"/>
  <c r="J83" i="14701" a="1"/>
  <c r="J83" i="14701" s="1"/>
  <c r="I28" i="14701"/>
  <c r="U72" i="14701" a="1"/>
  <c r="U72" i="14701" s="1"/>
  <c r="K82" i="14701" a="1"/>
  <c r="K82" i="14701" s="1"/>
  <c r="R75" i="14701" a="1"/>
  <c r="R75" i="14701" s="1"/>
  <c r="M80" i="14701" a="1"/>
  <c r="M80" i="14701" s="1"/>
  <c r="K81" i="14701" a="1"/>
  <c r="K81" i="14701" s="1"/>
  <c r="L80" i="14701" a="1"/>
  <c r="L80" i="14701" s="1"/>
  <c r="R74" i="14701" a="1"/>
  <c r="R74" i="14701" s="1"/>
  <c r="H28" i="14701"/>
  <c r="N78" i="14701" a="1"/>
  <c r="N78" i="14701" s="1"/>
  <c r="H84" i="14701" a="1"/>
  <c r="H84" i="14701" s="1"/>
  <c r="Q75" i="14701" a="1"/>
  <c r="Q75" i="14701" s="1"/>
  <c r="T72" i="14701" a="1"/>
  <c r="T72" i="14701" s="1"/>
  <c r="J82" i="14701" a="1"/>
  <c r="J82" i="14701" s="1"/>
  <c r="S73" i="14701" a="1"/>
  <c r="S73" i="14701" s="1"/>
  <c r="I83" i="14701" a="1"/>
  <c r="I83" i="14701" s="1"/>
  <c r="O77" i="14701" a="1"/>
  <c r="O77" i="14701" s="1"/>
  <c r="M79" i="14701" a="1"/>
  <c r="M79" i="14701" s="1"/>
  <c r="P76" i="14701" a="1"/>
  <c r="P76" i="14701" s="1"/>
  <c r="K79" i="14701" a="1"/>
  <c r="K79" i="14701" s="1"/>
  <c r="F28" i="14701"/>
  <c r="I81" i="14701" a="1"/>
  <c r="I81" i="14701" s="1"/>
  <c r="P74" i="14701" a="1"/>
  <c r="P74" i="14701" s="1"/>
  <c r="R72" i="14701" a="1"/>
  <c r="R72" i="14701" s="1"/>
  <c r="J80" i="14701" a="1"/>
  <c r="J80" i="14701" s="1"/>
  <c r="F84" i="14701" a="1"/>
  <c r="F84" i="14701" s="1"/>
  <c r="O75" i="14701" a="1"/>
  <c r="O75" i="14701" s="1"/>
  <c r="M77" i="14701" a="1"/>
  <c r="M77" i="14701" s="1"/>
  <c r="L78" i="14701" a="1"/>
  <c r="L78" i="14701" s="1"/>
  <c r="N76" i="14701" a="1"/>
  <c r="N76" i="14701" s="1"/>
  <c r="Q73" i="14701" a="1"/>
  <c r="Q73" i="14701" s="1"/>
  <c r="G83" i="14701" a="1"/>
  <c r="G83" i="14701" s="1"/>
  <c r="H82" i="14701" a="1"/>
  <c r="H82" i="14701" s="1"/>
  <c r="B195" i="14701" a="1"/>
  <c r="L185" i="14701" a="1"/>
  <c r="K186" i="14701" a="1"/>
  <c r="N24" i="14701"/>
  <c r="N183" i="14701" a="1"/>
  <c r="F191" i="14701" a="1"/>
  <c r="E192" i="14701" a="1"/>
  <c r="I188" i="14701" a="1"/>
  <c r="C194" i="14701" a="1"/>
  <c r="H189" i="14701" a="1"/>
  <c r="J187" i="14701" a="1"/>
  <c r="M184" i="14701" a="1"/>
  <c r="G190" i="14701" a="1"/>
  <c r="D193" i="14701" a="1"/>
  <c r="J28" i="14701"/>
  <c r="O79" i="14701" a="1"/>
  <c r="O79" i="14701" s="1"/>
  <c r="T74" i="14701" a="1"/>
  <c r="T74" i="14701" s="1"/>
  <c r="M81" i="14701" a="1"/>
  <c r="M81" i="14701" s="1"/>
  <c r="S75" i="14701" a="1"/>
  <c r="S75" i="14701" s="1"/>
  <c r="U73" i="14701" a="1"/>
  <c r="U73" i="14701" s="1"/>
  <c r="N80" i="14701" a="1"/>
  <c r="N80" i="14701" s="1"/>
  <c r="L82" i="14701" a="1"/>
  <c r="L82" i="14701" s="1"/>
  <c r="Q77" i="14701" a="1"/>
  <c r="Q77" i="14701" s="1"/>
  <c r="J84" i="14701" a="1"/>
  <c r="J84" i="14701" s="1"/>
  <c r="V72" i="14701" a="1"/>
  <c r="V72" i="14701" s="1"/>
  <c r="K83" i="14701" a="1"/>
  <c r="K83" i="14701" s="1"/>
  <c r="R76" i="14701" a="1"/>
  <c r="R76" i="14701" s="1"/>
  <c r="P78" i="14701" a="1"/>
  <c r="P78" i="14701" s="1"/>
  <c r="N77" i="14701" a="1"/>
  <c r="N77" i="14701" s="1"/>
  <c r="L79" i="14701" a="1"/>
  <c r="L79" i="14701" s="1"/>
  <c r="S72" i="14701" a="1"/>
  <c r="S72" i="14701" s="1"/>
  <c r="K80" i="14701" a="1"/>
  <c r="K80" i="14701" s="1"/>
  <c r="R73" i="14701" a="1"/>
  <c r="R73" i="14701" s="1"/>
  <c r="J81" i="14701" a="1"/>
  <c r="J81" i="14701" s="1"/>
  <c r="P75" i="14701" a="1"/>
  <c r="P75" i="14701" s="1"/>
  <c r="O76" i="14701" a="1"/>
  <c r="O76" i="14701" s="1"/>
  <c r="G28" i="14701"/>
  <c r="G84" i="14701" a="1"/>
  <c r="G84" i="14701" s="1"/>
  <c r="M78" i="14701" a="1"/>
  <c r="M78" i="14701" s="1"/>
  <c r="Q74" i="14701" a="1"/>
  <c r="Q74" i="14701" s="1"/>
  <c r="H83" i="14701" a="1"/>
  <c r="H83" i="14701" s="1"/>
  <c r="I82" i="14701" a="1"/>
  <c r="I82" i="14701" s="1"/>
  <c r="I27" i="14702"/>
  <c r="D27" i="14702"/>
  <c r="G20" i="14702"/>
  <c r="H23" i="14702"/>
  <c r="L21" i="14702"/>
  <c r="B27" i="14702"/>
  <c r="H24" i="14702"/>
  <c r="E26" i="14702"/>
  <c r="B24" i="14702"/>
  <c r="D20" i="14702"/>
  <c r="I22" i="14702"/>
  <c r="D25" i="14702"/>
  <c r="B21" i="14702"/>
  <c r="L27" i="14702"/>
  <c r="D23" i="14702"/>
  <c r="D21" i="14702"/>
  <c r="J22" i="14702"/>
  <c r="G23" i="14702"/>
  <c r="L25" i="14702"/>
  <c r="B23" i="14702"/>
  <c r="C27" i="14702"/>
  <c r="F25" i="14702"/>
  <c r="J24" i="14702"/>
  <c r="E25" i="14702"/>
  <c r="L23" i="14702"/>
  <c r="E21" i="14702"/>
  <c r="J21" i="14702"/>
  <c r="K24" i="14702"/>
  <c r="D22" i="14702"/>
  <c r="K27" i="14702"/>
  <c r="L20" i="14702"/>
  <c r="L22" i="14702"/>
  <c r="G26" i="14702"/>
  <c r="K22" i="14702"/>
  <c r="L26" i="14702"/>
  <c r="G21" i="14702"/>
  <c r="B25" i="14702"/>
  <c r="I20" i="14702"/>
  <c r="B20" i="14702"/>
  <c r="I24" i="14702"/>
  <c r="C23" i="14702"/>
  <c r="E23" i="14702"/>
  <c r="M23" i="14702"/>
  <c r="E22" i="14702"/>
  <c r="M20" i="14702"/>
  <c r="M21" i="14702"/>
  <c r="E27" i="14702"/>
  <c r="F21" i="14702"/>
  <c r="F22" i="14702"/>
  <c r="C24" i="14702"/>
  <c r="H27" i="14702"/>
  <c r="J25" i="14702"/>
  <c r="G27" i="14702"/>
  <c r="C22" i="14702"/>
  <c r="I21" i="14702"/>
  <c r="F23" i="14702"/>
  <c r="E20" i="14702"/>
  <c r="J23" i="14702"/>
  <c r="M22" i="14702"/>
  <c r="C26" i="14702"/>
  <c r="I25" i="14702"/>
  <c r="B22" i="14702"/>
  <c r="C21" i="14702"/>
  <c r="F20" i="14702"/>
  <c r="C25" i="14702"/>
  <c r="M27" i="14702"/>
  <c r="J26" i="14702"/>
  <c r="F24" i="14702"/>
  <c r="K25" i="14702"/>
  <c r="D24" i="14702"/>
  <c r="M25" i="14702"/>
  <c r="K21" i="14702"/>
  <c r="I26" i="14702"/>
  <c r="H21" i="14702"/>
  <c r="H22" i="14702"/>
  <c r="B26" i="14702"/>
  <c r="M24" i="14702"/>
  <c r="J27" i="14702"/>
  <c r="F26" i="14702"/>
  <c r="G24" i="14702"/>
  <c r="C20" i="14702"/>
  <c r="K20" i="14702"/>
  <c r="F27" i="14702"/>
  <c r="J20" i="14702"/>
  <c r="G25" i="14702"/>
  <c r="G22" i="14702"/>
  <c r="E24" i="14702"/>
  <c r="K23" i="14702"/>
  <c r="I23" i="14702"/>
  <c r="M26" i="14702"/>
  <c r="L24" i="14702"/>
  <c r="H20" i="14702"/>
  <c r="H26" i="14702"/>
  <c r="D26" i="14702"/>
  <c r="H25" i="14702"/>
  <c r="K26" i="14702"/>
  <c r="X72" i="14701" a="1"/>
  <c r="X72" i="14701" s="1"/>
  <c r="P80" i="14701" a="1"/>
  <c r="P80" i="14701" s="1"/>
  <c r="L84" i="14701" a="1"/>
  <c r="L84" i="14701" s="1"/>
  <c r="N82" i="14701" a="1"/>
  <c r="N82" i="14701" s="1"/>
  <c r="L28" i="14701"/>
  <c r="S77" i="14701" a="1"/>
  <c r="S77" i="14701" s="1"/>
  <c r="T76" i="14701" a="1"/>
  <c r="T76" i="14701" s="1"/>
  <c r="W73" i="14701" a="1"/>
  <c r="W73" i="14701" s="1"/>
  <c r="V74" i="14701" a="1"/>
  <c r="V74" i="14701" s="1"/>
  <c r="M83" i="14701" a="1"/>
  <c r="M83" i="14701" s="1"/>
  <c r="Q79" i="14701" a="1"/>
  <c r="Q79" i="14701" s="1"/>
  <c r="R78" i="14701" a="1"/>
  <c r="R78" i="14701" s="1"/>
  <c r="O81" i="14701" a="1"/>
  <c r="O81" i="14701" s="1"/>
  <c r="U75" i="14701" a="1"/>
  <c r="U75" i="14701" s="1"/>
  <c r="E156" i="14701" a="1"/>
  <c r="M148" i="14701" a="1"/>
  <c r="G154" i="14701" a="1"/>
  <c r="C158" i="14701" a="1"/>
  <c r="D157" i="14701" a="1"/>
  <c r="F155" i="14701" a="1"/>
  <c r="I152" i="14701" a="1"/>
  <c r="L149" i="14701" a="1"/>
  <c r="H153" i="14701" a="1"/>
  <c r="J151" i="14701" a="1"/>
  <c r="N22" i="14701"/>
  <c r="B159" i="14701" a="1"/>
  <c r="N147" i="14701" a="1"/>
  <c r="K150" i="14701" a="1"/>
  <c r="D83" i="14701" a="1"/>
  <c r="D83" i="14701" s="1"/>
  <c r="O72" i="14701" a="1"/>
  <c r="O72" i="14701" s="1"/>
  <c r="N73" i="14701" a="1"/>
  <c r="N73" i="14701" s="1"/>
  <c r="I78" i="14701" a="1"/>
  <c r="I78" i="14701" s="1"/>
  <c r="H79" i="14701" a="1"/>
  <c r="H79" i="14701" s="1"/>
  <c r="C28" i="14701"/>
  <c r="M74" i="14701" a="1"/>
  <c r="M74" i="14701" s="1"/>
  <c r="C84" i="14701" a="1"/>
  <c r="C84" i="14701" s="1"/>
  <c r="K76" i="14701" a="1"/>
  <c r="K76" i="14701" s="1"/>
  <c r="F81" i="14701" a="1"/>
  <c r="F81" i="14701" s="1"/>
  <c r="L75" i="14701" a="1"/>
  <c r="L75" i="14701" s="1"/>
  <c r="G80" i="14701" a="1"/>
  <c r="G80" i="14701" s="1"/>
  <c r="E82" i="14701" a="1"/>
  <c r="E82" i="14701" s="1"/>
  <c r="J77" i="14701" a="1"/>
  <c r="J77" i="14701" s="1"/>
  <c r="L203" i="14701" a="1"/>
  <c r="M202" i="14701" a="1"/>
  <c r="F209" i="14701" a="1"/>
  <c r="J205" i="14701" a="1"/>
  <c r="K204" i="14701" a="1"/>
  <c r="I206" i="14701" a="1"/>
  <c r="E210" i="14701" a="1"/>
  <c r="H207" i="14701" a="1"/>
  <c r="B213" i="14701" a="1"/>
  <c r="G208" i="14701" a="1"/>
  <c r="N201" i="14701" a="1"/>
  <c r="D211" i="14701" a="1"/>
  <c r="C212" i="14701" a="1"/>
  <c r="N25" i="14701"/>
  <c r="N41" i="14624"/>
  <c r="B40" i="14668" a="1"/>
  <c r="D40" i="14668" s="1"/>
  <c r="B60" i="14624"/>
  <c r="J209" i="14704"/>
  <c r="M122" i="14704"/>
  <c r="I122" i="14704"/>
  <c r="O212" i="14698"/>
  <c r="K172" i="14704"/>
  <c r="V167" i="14704"/>
  <c r="O140" i="14698"/>
  <c r="M195" i="14704"/>
  <c r="D195" i="14704"/>
  <c r="F195" i="14704"/>
  <c r="E9" i="14640"/>
  <c r="L55" i="14624"/>
  <c r="N54" i="14624"/>
  <c r="N53" i="14624"/>
  <c r="K55" i="14624"/>
  <c r="K60" i="14624"/>
  <c r="D55" i="14624"/>
  <c r="D60" i="14624"/>
  <c r="E55" i="14624"/>
  <c r="E60" i="14624"/>
  <c r="G60" i="14624"/>
  <c r="H60" i="14624"/>
  <c r="F55" i="14624"/>
  <c r="F60" i="14624"/>
  <c r="J55" i="14624"/>
  <c r="J60" i="14624"/>
  <c r="C55" i="14624"/>
  <c r="C60" i="14624"/>
  <c r="I60" i="14624"/>
  <c r="M60" i="14624"/>
  <c r="L60" i="14624"/>
  <c r="B55" i="14624"/>
  <c r="G55" i="14624"/>
  <c r="H55" i="14624"/>
  <c r="I55" i="14624"/>
  <c r="M55" i="14624"/>
  <c r="N38" i="14624"/>
  <c r="F11" i="14657"/>
  <c r="N12" i="14678"/>
  <c r="N42" i="14624"/>
  <c r="C25" i="14678"/>
  <c r="C31" i="14675" a="1"/>
  <c r="B25" i="14669"/>
  <c r="B7" i="14679" a="1"/>
  <c r="N17" i="14669"/>
  <c r="D25" i="14669"/>
  <c r="D45" i="14681" s="1"/>
  <c r="K25" i="14669"/>
  <c r="K45" i="14681" s="1"/>
  <c r="N22" i="14669"/>
  <c r="F25" i="14669"/>
  <c r="F45" i="14681" s="1"/>
  <c r="I25" i="14669"/>
  <c r="I45" i="14681" s="1"/>
  <c r="G25" i="14669"/>
  <c r="G45" i="14681" s="1"/>
  <c r="M25" i="14669"/>
  <c r="M45" i="14681" s="1"/>
  <c r="J25" i="14669"/>
  <c r="J45" i="14681" s="1"/>
  <c r="N18" i="14669"/>
  <c r="H25" i="14669"/>
  <c r="H45" i="14681" s="1"/>
  <c r="N23" i="14669"/>
  <c r="N21" i="14669"/>
  <c r="L25" i="14669"/>
  <c r="L45" i="14681" s="1"/>
  <c r="G24" i="14683"/>
  <c r="G26" i="14683"/>
  <c r="G25" i="14683"/>
  <c r="G21" i="14683"/>
  <c r="G23" i="14683"/>
  <c r="G20" i="14683"/>
  <c r="G19" i="14683"/>
  <c r="G22" i="14683"/>
  <c r="C81" i="14643"/>
  <c r="C83" i="14643"/>
  <c r="C82" i="14643"/>
  <c r="C86" i="14643"/>
  <c r="C79" i="14643"/>
  <c r="C80" i="14643"/>
  <c r="C85" i="14643"/>
  <c r="C84" i="14643"/>
  <c r="O38" i="14674"/>
  <c r="G19" i="14674" a="1"/>
  <c r="G19" i="14674" s="1"/>
  <c r="G39" i="14674"/>
  <c r="E39" i="14674"/>
  <c r="E19" i="14674" a="1"/>
  <c r="E19" i="14674" s="1"/>
  <c r="O35" i="14674"/>
  <c r="N19" i="14674" a="1"/>
  <c r="N19" i="14674" s="1"/>
  <c r="N39" i="14674"/>
  <c r="O37" i="14674"/>
  <c r="O36" i="14674"/>
  <c r="O31" i="14674"/>
  <c r="C39" i="14674"/>
  <c r="C19" i="14674" a="1"/>
  <c r="C19" i="14674" s="1"/>
  <c r="M39" i="14674"/>
  <c r="M19" i="14674" a="1"/>
  <c r="M19" i="14674" s="1"/>
  <c r="J19" i="14674" a="1"/>
  <c r="J19" i="14674" s="1"/>
  <c r="J39" i="14674"/>
  <c r="J7" i="14640"/>
  <c r="K28" i="14638"/>
  <c r="B10" i="14670"/>
  <c r="H5" i="14670"/>
  <c r="K5" i="14670"/>
  <c r="I5" i="14670"/>
  <c r="L5" i="14670"/>
  <c r="B5" i="14670"/>
  <c r="M5" i="14670"/>
  <c r="F5" i="14670"/>
  <c r="G5" i="14670"/>
  <c r="J5" i="14670"/>
  <c r="D5" i="14670"/>
  <c r="E5" i="14670"/>
  <c r="C5" i="14670"/>
  <c r="K25" i="14678" a="1"/>
  <c r="K25" i="14678" s="1"/>
  <c r="I23" i="14678" a="1"/>
  <c r="I23" i="14678" s="1"/>
  <c r="L26" i="14678" a="1"/>
  <c r="L26" i="14678" s="1"/>
  <c r="H22" i="14678" a="1"/>
  <c r="H22" i="14678" s="1"/>
  <c r="J24" i="14678" a="1"/>
  <c r="J24" i="14678" s="1"/>
  <c r="F15" i="14678"/>
  <c r="F20" i="14678" a="1"/>
  <c r="F20" i="14678" s="1"/>
  <c r="G21" i="14678" a="1"/>
  <c r="G21" i="14678" s="1"/>
  <c r="N8" i="14678"/>
  <c r="N10" i="14678"/>
  <c r="I15" i="14678"/>
  <c r="K22" i="14678" a="1"/>
  <c r="K22" i="14678" s="1"/>
  <c r="N25" i="14678" a="1"/>
  <c r="N25" i="14678" s="1"/>
  <c r="M24" i="14678" a="1"/>
  <c r="M24" i="14678" s="1"/>
  <c r="J21" i="14678" a="1"/>
  <c r="J21" i="14678" s="1"/>
  <c r="O26" i="14678" a="1"/>
  <c r="O26" i="14678" s="1"/>
  <c r="L23" i="14678" a="1"/>
  <c r="L23" i="14678" s="1"/>
  <c r="I20" i="14678" a="1"/>
  <c r="I20" i="14678" s="1"/>
  <c r="L20" i="14678" a="1"/>
  <c r="L20" i="14678" s="1"/>
  <c r="Q25" i="14678" a="1"/>
  <c r="Q25" i="14678" s="1"/>
  <c r="L15" i="14678"/>
  <c r="O23" i="14678" a="1"/>
  <c r="O23" i="14678" s="1"/>
  <c r="N22" i="14678" a="1"/>
  <c r="N22" i="14678" s="1"/>
  <c r="P24" i="14678" a="1"/>
  <c r="P24" i="14678" s="1"/>
  <c r="R26" i="14678" a="1"/>
  <c r="R26" i="14678" s="1"/>
  <c r="M21" i="14678" a="1"/>
  <c r="M21" i="14678" s="1"/>
  <c r="N13" i="14678"/>
  <c r="E25" i="14669"/>
  <c r="E45" i="14681" s="1"/>
  <c r="N24" i="14669"/>
  <c r="N20" i="14669"/>
  <c r="N19" i="14669"/>
  <c r="C25" i="14669"/>
  <c r="C45" i="14681" s="1"/>
  <c r="G37" i="14668"/>
  <c r="B38" i="14668"/>
  <c r="L37" i="14668"/>
  <c r="D37" i="14668"/>
  <c r="H33" i="14668"/>
  <c r="B34" i="14668"/>
  <c r="J36" i="14668"/>
  <c r="G38" i="14668"/>
  <c r="J37" i="14668"/>
  <c r="D33" i="14668"/>
  <c r="C32" i="14668"/>
  <c r="E38" i="14668"/>
  <c r="D39" i="14668"/>
  <c r="E39" i="14668"/>
  <c r="B32" i="14668"/>
  <c r="G33" i="14668"/>
  <c r="M35" i="14668"/>
  <c r="D36" i="14668"/>
  <c r="H35" i="14668"/>
  <c r="B37" i="14668"/>
  <c r="K32" i="14668"/>
  <c r="F37" i="14668"/>
  <c r="I34" i="14668"/>
  <c r="F34" i="14668"/>
  <c r="B35" i="14668"/>
  <c r="L38" i="14668"/>
  <c r="J33" i="14668"/>
  <c r="B39" i="14668"/>
  <c r="E33" i="14668"/>
  <c r="L34" i="14668"/>
  <c r="G35" i="14668"/>
  <c r="M36" i="14668"/>
  <c r="B33" i="14668"/>
  <c r="K38" i="14668"/>
  <c r="K34" i="14668"/>
  <c r="I32" i="14668"/>
  <c r="M32" i="14668"/>
  <c r="J34" i="14668"/>
  <c r="C38" i="14668"/>
  <c r="C37" i="14668"/>
  <c r="B36" i="14668"/>
  <c r="K33" i="14668"/>
  <c r="H32" i="14668"/>
  <c r="F33" i="14668"/>
  <c r="J39" i="14668"/>
  <c r="K36" i="14668"/>
  <c r="E32" i="14668"/>
  <c r="J35" i="14668"/>
  <c r="D35" i="14668"/>
  <c r="F38" i="14668"/>
  <c r="K37" i="14668"/>
  <c r="M37" i="14668"/>
  <c r="L35" i="14668"/>
  <c r="D34" i="14668"/>
  <c r="E36" i="14668"/>
  <c r="G36" i="14668"/>
  <c r="I37" i="14668"/>
  <c r="K39" i="14668"/>
  <c r="D32" i="14668"/>
  <c r="F36" i="14668"/>
  <c r="C39" i="14668"/>
  <c r="C33" i="14668"/>
  <c r="E34" i="14668"/>
  <c r="L33" i="14668"/>
  <c r="I38" i="14668"/>
  <c r="I36" i="14668"/>
  <c r="L32" i="14668"/>
  <c r="G39" i="14668"/>
  <c r="D38" i="14668"/>
  <c r="H38" i="14668"/>
  <c r="J38" i="14668"/>
  <c r="H37" i="14668"/>
  <c r="M33" i="14668"/>
  <c r="H34" i="14668"/>
  <c r="E37" i="14668"/>
  <c r="I33" i="14668"/>
  <c r="L36" i="14668"/>
  <c r="K35" i="14668"/>
  <c r="J32" i="14668"/>
  <c r="G32" i="14668"/>
  <c r="I35" i="14668"/>
  <c r="F35" i="14668"/>
  <c r="M38" i="14668"/>
  <c r="C34" i="14668"/>
  <c r="M39" i="14668"/>
  <c r="G34" i="14668"/>
  <c r="F32" i="14668"/>
  <c r="C35" i="14668"/>
  <c r="I39" i="14668"/>
  <c r="F39" i="14668"/>
  <c r="E35" i="14668"/>
  <c r="M34" i="14668"/>
  <c r="C36" i="14668"/>
  <c r="L39" i="14668"/>
  <c r="H36" i="14668"/>
  <c r="H39" i="14668"/>
  <c r="O32" i="14674"/>
  <c r="F39" i="14674"/>
  <c r="F19" i="14674" a="1"/>
  <c r="F19" i="14674" s="1"/>
  <c r="K39" i="14674"/>
  <c r="K19" i="14674" a="1"/>
  <c r="K19" i="14674" s="1"/>
  <c r="H19" i="14674" a="1"/>
  <c r="H19" i="14674" s="1"/>
  <c r="H39" i="14674"/>
  <c r="O34" i="14674"/>
  <c r="L39" i="14674"/>
  <c r="L19" i="14674" a="1"/>
  <c r="L19" i="14674" s="1"/>
  <c r="I39" i="14674"/>
  <c r="I19" i="14674" a="1"/>
  <c r="I19" i="14674" s="1"/>
  <c r="O33" i="14674"/>
  <c r="D19" i="14674" a="1"/>
  <c r="D19" i="14674" s="1"/>
  <c r="D39" i="14674"/>
  <c r="G6" i="14617"/>
  <c r="K33" i="14652" a="1"/>
  <c r="L24" i="14678" a="1"/>
  <c r="L24" i="14678" s="1"/>
  <c r="I21" i="14678" a="1"/>
  <c r="I21" i="14678" s="1"/>
  <c r="M25" i="14678" a="1"/>
  <c r="M25" i="14678" s="1"/>
  <c r="K23" i="14678" a="1"/>
  <c r="K23" i="14678" s="1"/>
  <c r="H15" i="14678"/>
  <c r="H20" i="14678" a="1"/>
  <c r="H20" i="14678" s="1"/>
  <c r="J22" i="14678" a="1"/>
  <c r="J22" i="14678" s="1"/>
  <c r="N26" i="14678" a="1"/>
  <c r="N26" i="14678" s="1"/>
  <c r="C21" i="14678" a="1"/>
  <c r="C21" i="14678" s="1"/>
  <c r="B20" i="14678" a="1"/>
  <c r="B20" i="14678" s="1"/>
  <c r="B15" i="14678"/>
  <c r="N7" i="14678"/>
  <c r="E23" i="14678" a="1"/>
  <c r="E23" i="14678" s="1"/>
  <c r="H26" i="14678" a="1"/>
  <c r="H26" i="14678" s="1"/>
  <c r="F24" i="14678" a="1"/>
  <c r="F24" i="14678" s="1"/>
  <c r="D22" i="14678" a="1"/>
  <c r="D22" i="14678" s="1"/>
  <c r="G25" i="14678" a="1"/>
  <c r="G25" i="14678" s="1"/>
  <c r="N11" i="14678"/>
  <c r="H24" i="14678" a="1"/>
  <c r="H24" i="14678" s="1"/>
  <c r="J26" i="14678" a="1"/>
  <c r="J26" i="14678" s="1"/>
  <c r="G23" i="14678" a="1"/>
  <c r="G23" i="14678" s="1"/>
  <c r="D20" i="14678" a="1"/>
  <c r="D20" i="14678" s="1"/>
  <c r="D15" i="14678"/>
  <c r="E21" i="14678" a="1"/>
  <c r="E21" i="14678" s="1"/>
  <c r="I25" i="14678" a="1"/>
  <c r="I25" i="14678" s="1"/>
  <c r="F22" i="14678" a="1"/>
  <c r="F22" i="14678" s="1"/>
  <c r="L22" i="14678" a="1"/>
  <c r="L22" i="14678" s="1"/>
  <c r="J15" i="14678"/>
  <c r="P26" i="14678" a="1"/>
  <c r="P26" i="14678" s="1"/>
  <c r="N24" i="14678" a="1"/>
  <c r="N24" i="14678" s="1"/>
  <c r="K21" i="14678" a="1"/>
  <c r="K21" i="14678" s="1"/>
  <c r="M23" i="14678" a="1"/>
  <c r="M23" i="14678" s="1"/>
  <c r="O25" i="14678" a="1"/>
  <c r="O25" i="14678" s="1"/>
  <c r="J20" i="14678" a="1"/>
  <c r="J20" i="14678" s="1"/>
  <c r="Q26" i="14678" a="1"/>
  <c r="Q26" i="14678" s="1"/>
  <c r="O24" i="14678" a="1"/>
  <c r="O24" i="14678" s="1"/>
  <c r="K15" i="14678"/>
  <c r="N23" i="14678" a="1"/>
  <c r="N23" i="14678" s="1"/>
  <c r="K20" i="14678" a="1"/>
  <c r="K20" i="14678" s="1"/>
  <c r="M22" i="14678" a="1"/>
  <c r="M22" i="14678" s="1"/>
  <c r="P25" i="14678" a="1"/>
  <c r="P25" i="14678" s="1"/>
  <c r="L21" i="14678" a="1"/>
  <c r="L21" i="14678" s="1"/>
  <c r="H23" i="14678" a="1"/>
  <c r="H23" i="14678" s="1"/>
  <c r="E20" i="14678" a="1"/>
  <c r="E20" i="14678" s="1"/>
  <c r="J25" i="14678" a="1"/>
  <c r="J25" i="14678" s="1"/>
  <c r="E15" i="14678"/>
  <c r="I24" i="14678" a="1"/>
  <c r="I24" i="14678" s="1"/>
  <c r="G22" i="14678" a="1"/>
  <c r="G22" i="14678" s="1"/>
  <c r="K26" i="14678" a="1"/>
  <c r="K26" i="14678" s="1"/>
  <c r="F21" i="14678" a="1"/>
  <c r="F21" i="14678" s="1"/>
  <c r="N9" i="14678"/>
  <c r="K24" i="14678" a="1"/>
  <c r="K24" i="14678" s="1"/>
  <c r="G20" i="14678" a="1"/>
  <c r="G20" i="14678" s="1"/>
  <c r="J23" i="14678" a="1"/>
  <c r="J23" i="14678" s="1"/>
  <c r="L25" i="14678" a="1"/>
  <c r="L25" i="14678" s="1"/>
  <c r="I22" i="14678" a="1"/>
  <c r="I22" i="14678" s="1"/>
  <c r="H21" i="14678" a="1"/>
  <c r="H21" i="14678" s="1"/>
  <c r="M26" i="14678" a="1"/>
  <c r="M26" i="14678" s="1"/>
  <c r="G15" i="14678"/>
  <c r="N14" i="14678"/>
  <c r="F23" i="14678" a="1"/>
  <c r="F23" i="14678" s="1"/>
  <c r="C15" i="14678"/>
  <c r="D21" i="14678" a="1"/>
  <c r="D21" i="14678" s="1"/>
  <c r="E22" i="14678" a="1"/>
  <c r="E22" i="14678" s="1"/>
  <c r="C20" i="14678" a="1"/>
  <c r="C20" i="14678" s="1"/>
  <c r="H25" i="14678" a="1"/>
  <c r="H25" i="14678" s="1"/>
  <c r="G24" i="14678" a="1"/>
  <c r="G24" i="14678" s="1"/>
  <c r="I26" i="14678" a="1"/>
  <c r="I26" i="14678" s="1"/>
  <c r="M20" i="14678" a="1"/>
  <c r="M20" i="14678" s="1"/>
  <c r="M15" i="14678"/>
  <c r="P23" i="14678" a="1"/>
  <c r="P23" i="14678" s="1"/>
  <c r="N21" i="14678" a="1"/>
  <c r="N21" i="14678" s="1"/>
  <c r="S26" i="14678" a="1"/>
  <c r="S26" i="14678" s="1"/>
  <c r="O22" i="14678" a="1"/>
  <c r="O22" i="14678" s="1"/>
  <c r="R25" i="14678" a="1"/>
  <c r="R25" i="14678" s="1"/>
  <c r="Q24" i="14678" a="1"/>
  <c r="Q24" i="14678" s="1"/>
  <c r="R6" i="14655"/>
  <c r="R8" i="14655"/>
  <c r="R10" i="14655"/>
  <c r="R12" i="14655"/>
  <c r="R14" i="14655"/>
  <c r="R16" i="14655"/>
  <c r="R18" i="14655"/>
  <c r="R20" i="14655"/>
  <c r="R22" i="14655"/>
  <c r="R24" i="14655"/>
  <c r="R26" i="14655"/>
  <c r="R7" i="14655"/>
  <c r="R9" i="14655"/>
  <c r="R11" i="14655"/>
  <c r="R13" i="14655"/>
  <c r="R15" i="14655"/>
  <c r="R17" i="14655"/>
  <c r="R19" i="14655"/>
  <c r="R21" i="14655"/>
  <c r="R23" i="14655"/>
  <c r="R25" i="14655"/>
  <c r="R27" i="14655"/>
  <c r="N51" i="14624"/>
  <c r="N37" i="14624"/>
  <c r="N45" i="14624"/>
  <c r="N52" i="14624"/>
  <c r="N35" i="14624"/>
  <c r="N40" i="14624"/>
  <c r="N47" i="14624"/>
  <c r="N49" i="14624"/>
  <c r="B33" i="14629" s="1" a="1"/>
  <c r="N46" i="14624"/>
  <c r="N48" i="14624"/>
  <c r="N39" i="14624"/>
  <c r="N44" i="14624"/>
  <c r="N36" i="14624"/>
  <c r="N50" i="14624"/>
  <c r="N43" i="14624"/>
  <c r="E65" i="14703"/>
  <c r="J64" i="14703"/>
  <c r="L65" i="14703"/>
  <c r="B64" i="14703"/>
  <c r="F59" i="14703"/>
  <c r="J61" i="14703"/>
  <c r="I65" i="14703"/>
  <c r="J65" i="14703"/>
  <c r="G65" i="14703"/>
  <c r="D64" i="14703"/>
  <c r="H64" i="14703"/>
  <c r="G64" i="14703"/>
  <c r="E64" i="14703"/>
  <c r="I60" i="14703"/>
  <c r="B66" i="14703"/>
  <c r="J66" i="14703"/>
  <c r="F66" i="14703"/>
  <c r="H66" i="14703"/>
  <c r="G66" i="14703"/>
  <c r="I66" i="14703"/>
  <c r="E66" i="14703"/>
  <c r="F64" i="14703"/>
  <c r="L66" i="14703"/>
  <c r="E63" i="14703"/>
  <c r="I59" i="14703"/>
  <c r="B65" i="14703"/>
  <c r="H65" i="14703"/>
  <c r="M65" i="14703"/>
  <c r="C65" i="14703"/>
  <c r="F65" i="14703"/>
  <c r="D65" i="14703"/>
  <c r="J62" i="14703"/>
  <c r="H61" i="14703"/>
  <c r="M66" i="14703"/>
  <c r="K64" i="14703"/>
  <c r="I64" i="14703"/>
  <c r="K66" i="14703"/>
  <c r="C66" i="14703"/>
  <c r="E61" i="14703"/>
  <c r="M64" i="14703"/>
  <c r="G63" i="14703"/>
  <c r="C63" i="14703"/>
  <c r="C64" i="14703"/>
  <c r="J59" i="14703"/>
  <c r="H60" i="14703"/>
  <c r="C60" i="14703"/>
  <c r="H63" i="14703"/>
  <c r="K63" i="14703"/>
  <c r="M63" i="14703"/>
  <c r="D63" i="14703"/>
  <c r="I63" i="14703"/>
  <c r="F63" i="14703"/>
  <c r="L63" i="14703"/>
  <c r="B63" i="14703"/>
  <c r="G61" i="14703"/>
  <c r="K61" i="14703"/>
  <c r="B61" i="14703"/>
  <c r="D61" i="14703"/>
  <c r="L61" i="14703"/>
  <c r="I61" i="14703"/>
  <c r="M61" i="14703"/>
  <c r="N54" i="14703"/>
  <c r="J60" i="14703"/>
  <c r="D60" i="14703"/>
  <c r="L62" i="14703"/>
  <c r="L60" i="14703"/>
  <c r="M60" i="14703"/>
  <c r="B60" i="14703"/>
  <c r="E60" i="14703"/>
  <c r="K60" i="14703"/>
  <c r="F61" i="14703"/>
  <c r="F60" i="14703"/>
  <c r="K62" i="14703"/>
  <c r="H62" i="14703"/>
  <c r="C62" i="14703"/>
  <c r="C59" i="14703"/>
  <c r="D59" i="14703"/>
  <c r="L59" i="14703"/>
  <c r="B62" i="14703"/>
  <c r="M62" i="14703"/>
  <c r="F62" i="14703"/>
  <c r="G62" i="14703"/>
  <c r="H59" i="14703"/>
  <c r="G59" i="14703"/>
  <c r="B59" i="14703"/>
  <c r="M59" i="14703"/>
  <c r="E59" i="14703"/>
  <c r="E62" i="14703"/>
  <c r="D62" i="14703"/>
  <c r="B19" i="14623" a="1"/>
  <c r="B7" i="14645" a="1"/>
  <c r="N71" i="14703" a="1"/>
  <c r="D67" i="14690"/>
  <c r="Q46" i="14632"/>
  <c r="R57" i="14632" s="1"/>
  <c r="R30" i="14632"/>
  <c r="E19" i="4129"/>
  <c r="N44" i="14653"/>
  <c r="J6" i="14659"/>
  <c r="J30" i="14659" s="1"/>
  <c r="Q18" i="14638"/>
  <c r="N71" i="14700" a="1"/>
  <c r="B27" i="14645" a="1"/>
  <c r="B19" i="14638" a="1"/>
  <c r="N71" i="14702" a="1"/>
  <c r="B19" i="14679" a="1"/>
  <c r="B19" i="14632" a="1"/>
  <c r="B17" i="14645" a="1"/>
  <c r="N71" i="14698" a="1"/>
  <c r="J3" i="14667"/>
  <c r="N3" i="14667"/>
  <c r="L3" i="14667"/>
  <c r="N19" i="14679" a="1"/>
  <c r="N71" i="14704" a="1"/>
  <c r="B19" i="14678" a="1"/>
  <c r="B37" i="14645" a="1"/>
  <c r="N71" i="14701" a="1"/>
  <c r="J32" i="14667"/>
  <c r="L33" i="14667"/>
  <c r="L37" i="14706"/>
  <c r="J34" i="14706"/>
  <c r="C43" i="14622" a="1"/>
  <c r="C43" i="14622" s="1"/>
  <c r="C14" i="14667"/>
  <c r="B53" i="14667"/>
  <c r="C5" i="14667"/>
  <c r="C24" i="14667" s="1"/>
  <c r="C17" i="14667"/>
  <c r="C10" i="14667"/>
  <c r="C11" i="14667"/>
  <c r="C18" i="14667"/>
  <c r="C8" i="14667"/>
  <c r="C16" i="14667"/>
  <c r="C21" i="14667"/>
  <c r="C19" i="14667"/>
  <c r="C20" i="14667"/>
  <c r="C7" i="14667"/>
  <c r="C9" i="14667"/>
  <c r="C6" i="14667"/>
  <c r="C15" i="14667"/>
  <c r="C22" i="14667"/>
  <c r="C10" i="14706"/>
  <c r="C7" i="14706"/>
  <c r="C18" i="14706"/>
  <c r="C16" i="14706"/>
  <c r="C22" i="14706"/>
  <c r="C11" i="14706"/>
  <c r="C20" i="14706"/>
  <c r="C19" i="14706"/>
  <c r="C17" i="14706"/>
  <c r="C21" i="14706"/>
  <c r="C8" i="14706"/>
  <c r="C12" i="14706"/>
  <c r="C14" i="14706"/>
  <c r="C9" i="14706"/>
  <c r="C13" i="14706"/>
  <c r="C6" i="14706"/>
  <c r="V27" i="14655"/>
  <c r="U28" i="14655"/>
  <c r="C5" i="14706"/>
  <c r="B33" i="14629" l="1"/>
  <c r="B34" i="14629"/>
  <c r="B35" i="14629"/>
  <c r="B36" i="14629"/>
  <c r="B37" i="14629"/>
  <c r="B38" i="14629"/>
  <c r="B39" i="14629"/>
  <c r="B40" i="14629"/>
  <c r="B41" i="14629"/>
  <c r="B42" i="14629"/>
  <c r="B43" i="14629"/>
  <c r="B44" i="14629"/>
  <c r="B45" i="14629"/>
  <c r="B46" i="14629"/>
  <c r="B47" i="14629"/>
  <c r="B48" i="14629"/>
  <c r="B49" i="14629"/>
  <c r="B50" i="14629"/>
  <c r="B51" i="14629"/>
  <c r="B52" i="14629"/>
  <c r="B53" i="14629"/>
  <c r="B54" i="14629"/>
  <c r="J40" i="14629"/>
  <c r="J43" i="14629"/>
  <c r="J51" i="14629"/>
  <c r="K36" i="14629"/>
  <c r="K47" i="14629"/>
  <c r="C33" i="14629"/>
  <c r="C34" i="14629"/>
  <c r="C35" i="14629"/>
  <c r="C36" i="14629"/>
  <c r="C37" i="14629"/>
  <c r="C38" i="14629"/>
  <c r="C39" i="14629"/>
  <c r="C40" i="14629"/>
  <c r="C41" i="14629"/>
  <c r="C42" i="14629"/>
  <c r="C43" i="14629"/>
  <c r="C44" i="14629"/>
  <c r="C45" i="14629"/>
  <c r="C46" i="14629"/>
  <c r="C47" i="14629"/>
  <c r="C48" i="14629"/>
  <c r="C49" i="14629"/>
  <c r="C50" i="14629"/>
  <c r="C51" i="14629"/>
  <c r="C52" i="14629"/>
  <c r="C53" i="14629"/>
  <c r="C54" i="14629"/>
  <c r="J39" i="14629"/>
  <c r="J44" i="14629"/>
  <c r="J52" i="14629"/>
  <c r="K33" i="14629"/>
  <c r="K45" i="14629"/>
  <c r="K54" i="14629"/>
  <c r="D33" i="14629"/>
  <c r="D34" i="14629"/>
  <c r="D35" i="14629"/>
  <c r="D36" i="14629"/>
  <c r="D37" i="14629"/>
  <c r="D38" i="14629"/>
  <c r="D39" i="14629"/>
  <c r="D40" i="14629"/>
  <c r="D41" i="14629"/>
  <c r="D42" i="14629"/>
  <c r="D43" i="14629"/>
  <c r="D44" i="14629"/>
  <c r="D45" i="14629"/>
  <c r="D46" i="14629"/>
  <c r="D47" i="14629"/>
  <c r="D48" i="14629"/>
  <c r="D49" i="14629"/>
  <c r="D50" i="14629"/>
  <c r="D51" i="14629"/>
  <c r="D52" i="14629"/>
  <c r="D53" i="14629"/>
  <c r="D54" i="14629"/>
  <c r="J37" i="14629"/>
  <c r="J48" i="14629"/>
  <c r="K34" i="14629"/>
  <c r="K44" i="14629"/>
  <c r="K52" i="14629"/>
  <c r="E33" i="14629"/>
  <c r="E34" i="14629"/>
  <c r="E35" i="14629"/>
  <c r="E36" i="14629"/>
  <c r="E37" i="14629"/>
  <c r="E38" i="14629"/>
  <c r="E39" i="14629"/>
  <c r="E40" i="14629"/>
  <c r="E41" i="14629"/>
  <c r="E42" i="14629"/>
  <c r="E43" i="14629"/>
  <c r="E44" i="14629"/>
  <c r="E45" i="14629"/>
  <c r="E46" i="14629"/>
  <c r="E47" i="14629"/>
  <c r="E48" i="14629"/>
  <c r="E49" i="14629"/>
  <c r="E50" i="14629"/>
  <c r="E51" i="14629"/>
  <c r="E52" i="14629"/>
  <c r="E53" i="14629"/>
  <c r="E54" i="14629"/>
  <c r="J38" i="14629"/>
  <c r="J47" i="14629"/>
  <c r="J54" i="14629"/>
  <c r="K37" i="14629"/>
  <c r="K43" i="14629"/>
  <c r="K50" i="14629"/>
  <c r="F33" i="14629"/>
  <c r="F34" i="14629"/>
  <c r="F35" i="14629"/>
  <c r="F36" i="14629"/>
  <c r="F37" i="14629"/>
  <c r="F38" i="14629"/>
  <c r="F39" i="14629"/>
  <c r="F40" i="14629"/>
  <c r="F41" i="14629"/>
  <c r="F42" i="14629"/>
  <c r="F43" i="14629"/>
  <c r="F44" i="14629"/>
  <c r="F45" i="14629"/>
  <c r="F46" i="14629"/>
  <c r="F47" i="14629"/>
  <c r="F48" i="14629"/>
  <c r="F49" i="14629"/>
  <c r="F50" i="14629"/>
  <c r="F51" i="14629"/>
  <c r="F52" i="14629"/>
  <c r="F53" i="14629"/>
  <c r="F54" i="14629"/>
  <c r="J36" i="14629"/>
  <c r="J41" i="14629"/>
  <c r="J45" i="14629"/>
  <c r="J53" i="14629"/>
  <c r="K35" i="14629"/>
  <c r="K46" i="14629"/>
  <c r="G33" i="14629"/>
  <c r="G34" i="14629"/>
  <c r="G35" i="14629"/>
  <c r="G36" i="14629"/>
  <c r="G37" i="14629"/>
  <c r="G38" i="14629"/>
  <c r="G39" i="14629"/>
  <c r="G40" i="14629"/>
  <c r="G41" i="14629"/>
  <c r="G42" i="14629"/>
  <c r="G43" i="14629"/>
  <c r="G44" i="14629"/>
  <c r="G45" i="14629"/>
  <c r="G46" i="14629"/>
  <c r="G47" i="14629"/>
  <c r="G48" i="14629"/>
  <c r="G49" i="14629"/>
  <c r="G50" i="14629"/>
  <c r="G51" i="14629"/>
  <c r="G52" i="14629"/>
  <c r="G53" i="14629"/>
  <c r="G54" i="14629"/>
  <c r="J34" i="14629"/>
  <c r="J46" i="14629"/>
  <c r="K38" i="14629"/>
  <c r="K42" i="14629"/>
  <c r="K49" i="14629"/>
  <c r="H33" i="14629"/>
  <c r="H34" i="14629"/>
  <c r="H35" i="14629"/>
  <c r="H36" i="14629"/>
  <c r="H37" i="14629"/>
  <c r="H38" i="14629"/>
  <c r="H39" i="14629"/>
  <c r="H40" i="14629"/>
  <c r="H41" i="14629"/>
  <c r="H42" i="14629"/>
  <c r="H43" i="14629"/>
  <c r="H44" i="14629"/>
  <c r="H45" i="14629"/>
  <c r="H46" i="14629"/>
  <c r="H47" i="14629"/>
  <c r="H48" i="14629"/>
  <c r="H49" i="14629"/>
  <c r="H50" i="14629"/>
  <c r="H51" i="14629"/>
  <c r="H52" i="14629"/>
  <c r="H53" i="14629"/>
  <c r="H54" i="14629"/>
  <c r="J35" i="14629"/>
  <c r="J42" i="14629"/>
  <c r="J50" i="14629"/>
  <c r="K39" i="14629"/>
  <c r="K41" i="14629"/>
  <c r="K48" i="14629"/>
  <c r="K53" i="14629"/>
  <c r="I33" i="14629"/>
  <c r="I34" i="14629"/>
  <c r="I35" i="14629"/>
  <c r="I36" i="14629"/>
  <c r="I37" i="14629"/>
  <c r="I38" i="14629"/>
  <c r="I39" i="14629"/>
  <c r="I40" i="14629"/>
  <c r="I41" i="14629"/>
  <c r="I42" i="14629"/>
  <c r="I43" i="14629"/>
  <c r="I44" i="14629"/>
  <c r="I45" i="14629"/>
  <c r="I46" i="14629"/>
  <c r="I47" i="14629"/>
  <c r="I48" i="14629"/>
  <c r="I49" i="14629"/>
  <c r="I50" i="14629"/>
  <c r="I51" i="14629"/>
  <c r="I52" i="14629"/>
  <c r="I53" i="14629"/>
  <c r="I54" i="14629"/>
  <c r="J33" i="14629"/>
  <c r="J49" i="14629"/>
  <c r="K40" i="14629"/>
  <c r="K51" i="14629"/>
  <c r="L33" i="14629"/>
  <c r="L34" i="14629"/>
  <c r="L35" i="14629"/>
  <c r="L36" i="14629"/>
  <c r="L37" i="14629"/>
  <c r="L38" i="14629"/>
  <c r="L39" i="14629"/>
  <c r="L40" i="14629"/>
  <c r="L41" i="14629"/>
  <c r="L42" i="14629"/>
  <c r="L43" i="14629"/>
  <c r="L44" i="14629"/>
  <c r="L45" i="14629"/>
  <c r="L46" i="14629"/>
  <c r="L47" i="14629"/>
  <c r="L48" i="14629"/>
  <c r="L49" i="14629"/>
  <c r="L50" i="14629"/>
  <c r="L51" i="14629"/>
  <c r="L52" i="14629"/>
  <c r="L53" i="14629"/>
  <c r="L54" i="14629"/>
  <c r="M33" i="14629"/>
  <c r="M34" i="14629"/>
  <c r="M35" i="14629"/>
  <c r="M36" i="14629"/>
  <c r="M37" i="14629"/>
  <c r="M38" i="14629"/>
  <c r="M39" i="14629"/>
  <c r="M40" i="14629"/>
  <c r="M41" i="14629"/>
  <c r="M42" i="14629"/>
  <c r="M43" i="14629"/>
  <c r="M44" i="14629"/>
  <c r="M45" i="14629"/>
  <c r="M46" i="14629"/>
  <c r="M47" i="14629"/>
  <c r="M48" i="14629"/>
  <c r="M49" i="14629"/>
  <c r="M50" i="14629"/>
  <c r="M51" i="14629"/>
  <c r="M52" i="14629"/>
  <c r="M53" i="14629"/>
  <c r="M54" i="14629"/>
  <c r="O204" i="14704"/>
  <c r="D9" i="14640"/>
  <c r="H195" i="14704"/>
  <c r="L204" i="14704"/>
  <c r="N122" i="14704"/>
  <c r="H9" i="14640"/>
  <c r="Q204" i="14704"/>
  <c r="H122" i="14704"/>
  <c r="C9" i="14640"/>
  <c r="P204" i="14704"/>
  <c r="U167" i="14704"/>
  <c r="K122" i="14704"/>
  <c r="G9" i="14640"/>
  <c r="M204" i="14704"/>
  <c r="J172" i="14704"/>
  <c r="L122" i="14704"/>
  <c r="R204" i="14704"/>
  <c r="K9" i="14640"/>
  <c r="N204" i="14704"/>
  <c r="G172" i="14704"/>
  <c r="E122" i="14704"/>
  <c r="C195" i="14704"/>
  <c r="O195" i="14702" s="1"/>
  <c r="S204" i="14704"/>
  <c r="R172" i="14704"/>
  <c r="T204" i="14704"/>
  <c r="K195" i="14704"/>
  <c r="V204" i="14704"/>
  <c r="L172" i="14704"/>
  <c r="U204" i="14704"/>
  <c r="I195" i="14704"/>
  <c r="D122" i="14704"/>
  <c r="D23" i="14678"/>
  <c r="M167" i="14704"/>
  <c r="F25" i="14678"/>
  <c r="F27" i="14678" s="1"/>
  <c r="F10" i="14671" s="1"/>
  <c r="H209" i="14704"/>
  <c r="L213" i="14704"/>
  <c r="G211" i="14704"/>
  <c r="G213" i="14704"/>
  <c r="U81" i="14698"/>
  <c r="I9" i="14640"/>
  <c r="W167" i="14704"/>
  <c r="M9" i="14640"/>
  <c r="B195" i="14704"/>
  <c r="N195" i="14702" s="1"/>
  <c r="H172" i="14704"/>
  <c r="S167" i="14704"/>
  <c r="T167" i="14704"/>
  <c r="N131" i="14704"/>
  <c r="E39" i="14683"/>
  <c r="R148" i="14704"/>
  <c r="K133" i="14704"/>
  <c r="V149" i="14704"/>
  <c r="N130" i="14704"/>
  <c r="B24" i="14678"/>
  <c r="F124" i="14700"/>
  <c r="B23" i="14678"/>
  <c r="P150" i="14704"/>
  <c r="U112" i="14704"/>
  <c r="K205" i="14704"/>
  <c r="H28" i="14638"/>
  <c r="W148" i="14704"/>
  <c r="V130" i="14704"/>
  <c r="N141" i="14698"/>
  <c r="N142" i="14698" s="1"/>
  <c r="J133" i="14704"/>
  <c r="N149" i="14704"/>
  <c r="X148" i="14704"/>
  <c r="R130" i="14704"/>
  <c r="L133" i="14704"/>
  <c r="T149" i="14704"/>
  <c r="N148" i="14704"/>
  <c r="W130" i="14704"/>
  <c r="T133" i="14704"/>
  <c r="O149" i="14704"/>
  <c r="V83" i="14698"/>
  <c r="U148" i="14704"/>
  <c r="Q130" i="14704"/>
  <c r="R133" i="14704"/>
  <c r="S149" i="14704"/>
  <c r="V148" i="14704"/>
  <c r="P130" i="14704"/>
  <c r="U133" i="14704"/>
  <c r="U149" i="14704"/>
  <c r="Q148" i="14704"/>
  <c r="U130" i="14704"/>
  <c r="P240" i="14704"/>
  <c r="O133" i="14704"/>
  <c r="P149" i="14704"/>
  <c r="P133" i="14704"/>
  <c r="X130" i="14704"/>
  <c r="M149" i="14704"/>
  <c r="P148" i="14704"/>
  <c r="L117" i="14704"/>
  <c r="S130" i="14704"/>
  <c r="R119" i="14698" a="1"/>
  <c r="R122" i="14698" s="1"/>
  <c r="N133" i="14704"/>
  <c r="L149" i="14704"/>
  <c r="S148" i="14704"/>
  <c r="B178" i="14700"/>
  <c r="M130" i="14704"/>
  <c r="T78" i="14698"/>
  <c r="S133" i="14704"/>
  <c r="W149" i="14704"/>
  <c r="O148" i="14704"/>
  <c r="M148" i="14704"/>
  <c r="T130" i="14704"/>
  <c r="T83" i="14698"/>
  <c r="M133" i="14704"/>
  <c r="R149" i="14704"/>
  <c r="V81" i="14698"/>
  <c r="T84" i="14698"/>
  <c r="M150" i="14704"/>
  <c r="M112" i="14704"/>
  <c r="H173" i="14704"/>
  <c r="O178" i="14698"/>
  <c r="O173" i="14704"/>
  <c r="E41" i="14683"/>
  <c r="D24" i="14678"/>
  <c r="L203" i="14704"/>
  <c r="N243" i="14704"/>
  <c r="L9" i="14640"/>
  <c r="L195" i="14704"/>
  <c r="K123" i="14704"/>
  <c r="F122" i="14704"/>
  <c r="F28" i="14638"/>
  <c r="J9" i="14640"/>
  <c r="E195" i="14704"/>
  <c r="H176" i="14704"/>
  <c r="J122" i="14704"/>
  <c r="G120" i="14704"/>
  <c r="J8" i="14707"/>
  <c r="V24" i="14655" s="1"/>
  <c r="N167" i="14704"/>
  <c r="F9" i="14640"/>
  <c r="J195" i="14704"/>
  <c r="O167" i="14704"/>
  <c r="I172" i="14704"/>
  <c r="C122" i="14704"/>
  <c r="O122" i="14702" s="1"/>
  <c r="Q167" i="14704"/>
  <c r="Q172" i="14704"/>
  <c r="C22" i="14678"/>
  <c r="K153" i="14704"/>
  <c r="C24" i="14678"/>
  <c r="O135" i="14704"/>
  <c r="C26" i="14678"/>
  <c r="E24" i="14678"/>
  <c r="E26" i="14678"/>
  <c r="D25" i="14678"/>
  <c r="K213" i="14704"/>
  <c r="O209" i="14704"/>
  <c r="J97" i="14700" a="1"/>
  <c r="J97" i="14700" s="1"/>
  <c r="R97" i="14700" a="1"/>
  <c r="R97" i="14700" s="1"/>
  <c r="O214" i="14698"/>
  <c r="C214" i="14700"/>
  <c r="Q246" i="14698" a="1"/>
  <c r="Q249" i="14698" s="1"/>
  <c r="I7" i="14640"/>
  <c r="G5" i="14617"/>
  <c r="H15" i="14617" s="1"/>
  <c r="B7" i="14640"/>
  <c r="D211" i="14704"/>
  <c r="G7" i="14640"/>
  <c r="E211" i="14704"/>
  <c r="D230" i="14704"/>
  <c r="B214" i="14700"/>
  <c r="G139" i="14704"/>
  <c r="P206" i="14704"/>
  <c r="P136" i="14704"/>
  <c r="S30" i="14638"/>
  <c r="J16" i="14667" s="1"/>
  <c r="K138" i="14704"/>
  <c r="W131" i="14704"/>
  <c r="K140" i="14704"/>
  <c r="I212" i="14704"/>
  <c r="O201" i="14704"/>
  <c r="C176" i="14704"/>
  <c r="O176" i="14702" s="1"/>
  <c r="O120" i="14704"/>
  <c r="J7" i="14707"/>
  <c r="V22" i="14655" s="1"/>
  <c r="P120" i="14704"/>
  <c r="I28" i="14638"/>
  <c r="J28" i="14638"/>
  <c r="D66" i="14643"/>
  <c r="O113" i="14704"/>
  <c r="L28" i="14638"/>
  <c r="E175" i="14704"/>
  <c r="I41" i="14639"/>
  <c r="I42" i="14639" s="1"/>
  <c r="H175" i="14704"/>
  <c r="R224" i="14704"/>
  <c r="Y80" i="14698"/>
  <c r="G194" i="14704"/>
  <c r="O224" i="14704"/>
  <c r="Y74" i="14698"/>
  <c r="M238" i="14704"/>
  <c r="N117" i="14704"/>
  <c r="V166" i="14704"/>
  <c r="X76" i="14698"/>
  <c r="X238" i="14704"/>
  <c r="T81" i="14698"/>
  <c r="Q192" i="14698" a="1"/>
  <c r="Q195" i="14698" s="1"/>
  <c r="T114" i="14704"/>
  <c r="J141" i="14704"/>
  <c r="K191" i="14704"/>
  <c r="L174" i="14704"/>
  <c r="R81" i="14698"/>
  <c r="I208" i="14704"/>
  <c r="E196" i="14700"/>
  <c r="D142" i="14700"/>
  <c r="P222" i="14704"/>
  <c r="X129" i="14704"/>
  <c r="P203" i="14704"/>
  <c r="X112" i="14704"/>
  <c r="P95" i="14700" a="1"/>
  <c r="P95" i="14700" s="1"/>
  <c r="Q138" i="14698" a="1"/>
  <c r="Q139" i="14698" s="1"/>
  <c r="B25" i="14678"/>
  <c r="K231" i="14704"/>
  <c r="O112" i="14704"/>
  <c r="E37" i="14683"/>
  <c r="N150" i="14704"/>
  <c r="P112" i="14704"/>
  <c r="E36" i="14683"/>
  <c r="F173" i="14704"/>
  <c r="U150" i="14704"/>
  <c r="N112" i="14704"/>
  <c r="E35" i="14683"/>
  <c r="Q173" i="14704"/>
  <c r="O150" i="14704"/>
  <c r="B26" i="14678"/>
  <c r="K173" i="14704"/>
  <c r="U203" i="14704"/>
  <c r="V150" i="14704"/>
  <c r="I98" i="14700" a="1"/>
  <c r="I98" i="14700" s="1"/>
  <c r="B21" i="14678"/>
  <c r="Y237" i="14704"/>
  <c r="Y250" i="14704" s="1"/>
  <c r="L173" i="14704"/>
  <c r="O203" i="14704"/>
  <c r="S165" i="14704"/>
  <c r="J173" i="14704"/>
  <c r="W203" i="14704"/>
  <c r="D196" i="14700"/>
  <c r="N247" i="14704"/>
  <c r="N173" i="14704"/>
  <c r="S203" i="14704"/>
  <c r="F142" i="14700"/>
  <c r="P139" i="14698" a="1"/>
  <c r="P139" i="14698" s="1"/>
  <c r="C28" i="14638"/>
  <c r="N159" i="14698"/>
  <c r="N160" i="14698" s="1"/>
  <c r="H135" i="14704"/>
  <c r="P241" i="14704"/>
  <c r="J223" i="14704"/>
  <c r="H225" i="14704"/>
  <c r="D35" i="14704"/>
  <c r="I38" i="14704"/>
  <c r="E28" i="14638"/>
  <c r="N187" i="14704"/>
  <c r="H246" i="14704"/>
  <c r="R245" i="14698" a="1"/>
  <c r="R248" i="14698" s="1"/>
  <c r="G28" i="14638"/>
  <c r="M94" i="14700" a="1"/>
  <c r="M94" i="14700" s="1"/>
  <c r="S84" i="14698"/>
  <c r="I135" i="14704"/>
  <c r="E142" i="14700"/>
  <c r="S97" i="14700" a="1"/>
  <c r="S97" i="14700" s="1"/>
  <c r="G138" i="14704"/>
  <c r="X147" i="14704"/>
  <c r="P117" i="14704"/>
  <c r="P131" i="14704"/>
  <c r="D212" i="14704"/>
  <c r="M243" i="14704"/>
  <c r="M189" i="14704"/>
  <c r="L205" i="14704"/>
  <c r="I206" i="14704"/>
  <c r="T82" i="14698"/>
  <c r="K223" i="14704"/>
  <c r="I140" i="14704"/>
  <c r="N136" i="14704"/>
  <c r="O139" i="14704"/>
  <c r="K212" i="14704"/>
  <c r="N189" i="14704"/>
  <c r="P205" i="14704"/>
  <c r="L240" i="14704"/>
  <c r="O206" i="14704"/>
  <c r="T80" i="14698"/>
  <c r="L223" i="14704"/>
  <c r="D140" i="14704"/>
  <c r="K136" i="14704"/>
  <c r="F139" i="14704"/>
  <c r="I138" i="14704"/>
  <c r="N147" i="14704"/>
  <c r="J117" i="14704"/>
  <c r="R131" i="14704"/>
  <c r="O119" i="14704"/>
  <c r="L212" i="14704"/>
  <c r="I189" i="14704"/>
  <c r="S205" i="14704"/>
  <c r="U240" i="14704"/>
  <c r="T206" i="14704"/>
  <c r="T223" i="14704"/>
  <c r="F140" i="14704"/>
  <c r="M136" i="14704"/>
  <c r="M139" i="14704"/>
  <c r="Q120" i="14698" a="1"/>
  <c r="Q120" i="14698" s="1"/>
  <c r="H138" i="14704"/>
  <c r="U147" i="14704"/>
  <c r="Q118" i="14704"/>
  <c r="U223" i="14704"/>
  <c r="M140" i="14704"/>
  <c r="H136" i="14704"/>
  <c r="W147" i="14704"/>
  <c r="M138" i="14704"/>
  <c r="Q147" i="14704"/>
  <c r="L119" i="14704"/>
  <c r="F212" i="14704"/>
  <c r="T205" i="14704"/>
  <c r="K206" i="14704"/>
  <c r="M223" i="14704"/>
  <c r="G140" i="14704"/>
  <c r="L136" i="14704"/>
  <c r="N139" i="14704"/>
  <c r="U131" i="14704"/>
  <c r="P138" i="14704"/>
  <c r="T147" i="14704"/>
  <c r="O131" i="14704"/>
  <c r="K194" i="14704"/>
  <c r="N205" i="14704"/>
  <c r="S206" i="14704"/>
  <c r="R223" i="14704"/>
  <c r="J140" i="14704"/>
  <c r="G136" i="14704"/>
  <c r="J139" i="14704"/>
  <c r="Q131" i="14704"/>
  <c r="H212" i="14704"/>
  <c r="R205" i="14704"/>
  <c r="M206" i="14704"/>
  <c r="I139" i="14704"/>
  <c r="L138" i="14704"/>
  <c r="V147" i="14704"/>
  <c r="V131" i="14704"/>
  <c r="D194" i="14704"/>
  <c r="N212" i="14704"/>
  <c r="O205" i="14704"/>
  <c r="L206" i="14704"/>
  <c r="N223" i="14704"/>
  <c r="L140" i="14704"/>
  <c r="R136" i="14704"/>
  <c r="S166" i="14704"/>
  <c r="L139" i="14704"/>
  <c r="D160" i="14700"/>
  <c r="J138" i="14704"/>
  <c r="J212" i="14704"/>
  <c r="F138" i="14704"/>
  <c r="P147" i="14704"/>
  <c r="L131" i="14704"/>
  <c r="F194" i="14704"/>
  <c r="E212" i="14704"/>
  <c r="U205" i="14704"/>
  <c r="R206" i="14704"/>
  <c r="P223" i="14704"/>
  <c r="E140" i="14704"/>
  <c r="J136" i="14704"/>
  <c r="O166" i="14704"/>
  <c r="E139" i="14704"/>
  <c r="O138" i="14704"/>
  <c r="C212" i="14704"/>
  <c r="Q205" i="14704"/>
  <c r="N206" i="14704"/>
  <c r="N140" i="14704"/>
  <c r="N138" i="14704"/>
  <c r="V76" i="14698"/>
  <c r="M131" i="14704"/>
  <c r="G212" i="14704"/>
  <c r="S243" i="14704"/>
  <c r="J205" i="14704"/>
  <c r="Q206" i="14704"/>
  <c r="Q223" i="14704"/>
  <c r="H140" i="14704"/>
  <c r="O136" i="14704"/>
  <c r="D139" i="14704"/>
  <c r="S131" i="14704"/>
  <c r="S223" i="14704"/>
  <c r="Q136" i="14704"/>
  <c r="H139" i="14704"/>
  <c r="R147" i="14704"/>
  <c r="V77" i="14698"/>
  <c r="L243" i="14704"/>
  <c r="V113" i="14704"/>
  <c r="B123" i="14704"/>
  <c r="N123" i="14702" s="1"/>
  <c r="R155" i="14698" a="1"/>
  <c r="R156" i="14698" s="1"/>
  <c r="M102" i="14700" a="1"/>
  <c r="M102" i="14700" s="1"/>
  <c r="X203" i="14698" a="1"/>
  <c r="X212" i="14698" s="1"/>
  <c r="O95" i="14700" a="1"/>
  <c r="O95" i="14700" s="1"/>
  <c r="R191" i="14698" a="1"/>
  <c r="R194" i="14698" s="1"/>
  <c r="V205" i="14698" a="1"/>
  <c r="V209" i="14698" s="1"/>
  <c r="H98" i="14700" a="1"/>
  <c r="H98" i="14700" s="1"/>
  <c r="E250" i="14700"/>
  <c r="O250" i="14698"/>
  <c r="K232" i="14700"/>
  <c r="L99" i="14700" a="1"/>
  <c r="L99" i="14700" s="1"/>
  <c r="S31" i="14638"/>
  <c r="J42" i="14645" s="1"/>
  <c r="J43" i="14645" s="1"/>
  <c r="L7" i="14640"/>
  <c r="D28" i="14638"/>
  <c r="S238" i="14704"/>
  <c r="J213" i="14704"/>
  <c r="W83" i="14698"/>
  <c r="L210" i="14704"/>
  <c r="X82" i="14698"/>
  <c r="U113" i="14704"/>
  <c r="I175" i="14704"/>
  <c r="I224" i="14704"/>
  <c r="G249" i="14704"/>
  <c r="Y78" i="14698"/>
  <c r="I101" i="14700" a="1"/>
  <c r="I101" i="14700" s="1"/>
  <c r="O211" i="14704"/>
  <c r="K209" i="14704"/>
  <c r="D124" i="14700"/>
  <c r="V85" i="14704"/>
  <c r="C142" i="14700"/>
  <c r="W113" i="14704"/>
  <c r="O175" i="14704"/>
  <c r="P224" i="14704"/>
  <c r="H248" i="14704"/>
  <c r="F7" i="14640"/>
  <c r="R238" i="14704"/>
  <c r="E213" i="14704"/>
  <c r="M210" i="14704"/>
  <c r="X78" i="14698"/>
  <c r="P113" i="14704"/>
  <c r="F175" i="14704"/>
  <c r="T224" i="14704"/>
  <c r="Y77" i="14698"/>
  <c r="N96" i="14700" a="1"/>
  <c r="N96" i="14700" s="1"/>
  <c r="H211" i="14704"/>
  <c r="I209" i="14704"/>
  <c r="P229" i="14698" a="1"/>
  <c r="P229" i="14698" s="1"/>
  <c r="K134" i="14704"/>
  <c r="U238" i="14704"/>
  <c r="C213" i="14704"/>
  <c r="O213" i="14702" s="1"/>
  <c r="T132" i="14704"/>
  <c r="K210" i="14704"/>
  <c r="X80" i="14698"/>
  <c r="N113" i="14704"/>
  <c r="L175" i="14704"/>
  <c r="L224" i="14704"/>
  <c r="P154" i="14704"/>
  <c r="Y84" i="14698"/>
  <c r="L98" i="14700" a="1"/>
  <c r="L98" i="14700" s="1"/>
  <c r="N231" i="14698"/>
  <c r="N232" i="14698" s="1"/>
  <c r="J211" i="14704"/>
  <c r="X220" i="14704"/>
  <c r="Q209" i="14704"/>
  <c r="E214" i="14700"/>
  <c r="P211" i="14698" a="1"/>
  <c r="P211" i="14698" s="1"/>
  <c r="Q99" i="14700" a="1"/>
  <c r="Q99" i="14700" s="1"/>
  <c r="G103" i="14700" a="1"/>
  <c r="G103" i="14700" s="1"/>
  <c r="L95" i="14700" a="1"/>
  <c r="L95" i="14700" s="1"/>
  <c r="K7" i="14640"/>
  <c r="O238" i="14704"/>
  <c r="M213" i="14704"/>
  <c r="M132" i="14704"/>
  <c r="X77" i="14698"/>
  <c r="M113" i="14704"/>
  <c r="H36" i="14704"/>
  <c r="N175" i="14704"/>
  <c r="J224" i="14704"/>
  <c r="N211" i="14704"/>
  <c r="F229" i="14704"/>
  <c r="F209" i="14704"/>
  <c r="Y73" i="14698"/>
  <c r="C7" i="14640"/>
  <c r="N238" i="14704"/>
  <c r="F213" i="14704"/>
  <c r="X74" i="14698"/>
  <c r="R113" i="14704"/>
  <c r="E32" i="14704"/>
  <c r="G175" i="14704"/>
  <c r="Q224" i="14704"/>
  <c r="W111" i="14704"/>
  <c r="Y75" i="14698"/>
  <c r="K211" i="14704"/>
  <c r="I229" i="14704"/>
  <c r="M209" i="14704"/>
  <c r="F250" i="14700"/>
  <c r="R137" i="14698" a="1"/>
  <c r="R138" i="14698" s="1"/>
  <c r="L134" i="14704"/>
  <c r="V238" i="14704"/>
  <c r="W75" i="14698"/>
  <c r="Y79" i="14698"/>
  <c r="W238" i="14704"/>
  <c r="B213" i="14704"/>
  <c r="B214" i="14704" s="1"/>
  <c r="X83" i="14698"/>
  <c r="L113" i="14704"/>
  <c r="K33" i="14704"/>
  <c r="D175" i="14704"/>
  <c r="S224" i="14704"/>
  <c r="U111" i="14704"/>
  <c r="Y76" i="14698"/>
  <c r="M211" i="14704"/>
  <c r="G209" i="14704"/>
  <c r="X79" i="14698"/>
  <c r="H7" i="14640"/>
  <c r="T238" i="14704"/>
  <c r="H213" i="14704"/>
  <c r="T95" i="14700" a="1"/>
  <c r="T95" i="14700" s="1"/>
  <c r="X84" i="14698"/>
  <c r="S113" i="14704"/>
  <c r="I33" i="14704"/>
  <c r="J175" i="14704"/>
  <c r="N224" i="14704"/>
  <c r="Y81" i="14698"/>
  <c r="I211" i="14704"/>
  <c r="N209" i="14704"/>
  <c r="D248" i="14704"/>
  <c r="M7" i="14640"/>
  <c r="E7" i="14640"/>
  <c r="G226" i="14704"/>
  <c r="P238" i="14704"/>
  <c r="I213" i="14704"/>
  <c r="N101" i="14700" a="1"/>
  <c r="N101" i="14700" s="1"/>
  <c r="O221" i="14704"/>
  <c r="X75" i="14698"/>
  <c r="T113" i="14704"/>
  <c r="H39" i="14704"/>
  <c r="M175" i="14704"/>
  <c r="M224" i="14704"/>
  <c r="Y82" i="14698"/>
  <c r="L211" i="14704"/>
  <c r="V219" i="14704"/>
  <c r="P209" i="14704"/>
  <c r="M174" i="14704"/>
  <c r="D36" i="14704"/>
  <c r="K141" i="14704"/>
  <c r="H230" i="14704"/>
  <c r="E38" i="14683"/>
  <c r="G173" i="14704"/>
  <c r="E228" i="14704"/>
  <c r="Q203" i="14704"/>
  <c r="K150" i="14704"/>
  <c r="T112" i="14704"/>
  <c r="S96" i="14700" a="1"/>
  <c r="S96" i="14700" s="1"/>
  <c r="E101" i="14700" a="1"/>
  <c r="E101" i="14700" s="1"/>
  <c r="U93" i="14700" a="1"/>
  <c r="U93" i="14700" s="1"/>
  <c r="T225" i="14698" a="1"/>
  <c r="T230" i="14698" s="1"/>
  <c r="H227" i="14704"/>
  <c r="E34" i="14683"/>
  <c r="I173" i="14704"/>
  <c r="O194" i="14698"/>
  <c r="O196" i="14698" s="1"/>
  <c r="L188" i="14704"/>
  <c r="V203" i="14704"/>
  <c r="Q150" i="14704"/>
  <c r="Q112" i="14704"/>
  <c r="X202" i="14704"/>
  <c r="N156" i="14704"/>
  <c r="M173" i="14704"/>
  <c r="T241" i="14704"/>
  <c r="D214" i="14700"/>
  <c r="T203" i="14704"/>
  <c r="T150" i="14704"/>
  <c r="W112" i="14704"/>
  <c r="X85" i="14704"/>
  <c r="H103" i="14700" a="1"/>
  <c r="H103" i="14700" s="1"/>
  <c r="M203" i="14704"/>
  <c r="R150" i="14704"/>
  <c r="S112" i="14704"/>
  <c r="C250" i="14700"/>
  <c r="Q94" i="14700" a="1"/>
  <c r="Q94" i="14700" s="1"/>
  <c r="N203" i="14704"/>
  <c r="L150" i="14704"/>
  <c r="V112" i="14704"/>
  <c r="E121" i="14704"/>
  <c r="P247" i="14698" a="1"/>
  <c r="P248" i="14698" s="1"/>
  <c r="K250" i="14700"/>
  <c r="E160" i="14700"/>
  <c r="H100" i="14700" a="1"/>
  <c r="H100" i="14700" s="1"/>
  <c r="B40" i="14700"/>
  <c r="N102" i="14700" a="1"/>
  <c r="N102" i="14700" s="1"/>
  <c r="N38" i="14700"/>
  <c r="V223" i="14698" a="1"/>
  <c r="V225" i="14698" s="1"/>
  <c r="G214" i="14700"/>
  <c r="N92" i="14700" a="1"/>
  <c r="N92" i="14700" s="1"/>
  <c r="E232" i="14700"/>
  <c r="J214" i="14700"/>
  <c r="G196" i="14700"/>
  <c r="D69" i="14643"/>
  <c r="D41" i="14639"/>
  <c r="D42" i="14639" s="1"/>
  <c r="F101" i="14700" a="1"/>
  <c r="F101" i="14700" s="1"/>
  <c r="X201" i="14704"/>
  <c r="T237" i="14704"/>
  <c r="K158" i="14704"/>
  <c r="M40" i="14700"/>
  <c r="Y183" i="14704"/>
  <c r="Y196" i="14704" s="1"/>
  <c r="I153" i="14704"/>
  <c r="K241" i="14704"/>
  <c r="S92" i="14700" a="1"/>
  <c r="S92" i="14700" s="1"/>
  <c r="G99" i="14700" a="1"/>
  <c r="G99" i="14700" s="1"/>
  <c r="P151" i="14704"/>
  <c r="P94" i="14700" a="1"/>
  <c r="P94" i="14700" s="1"/>
  <c r="M120" i="14704"/>
  <c r="P82" i="14698"/>
  <c r="P207" i="14704"/>
  <c r="L94" i="14700" a="1"/>
  <c r="L94" i="14700" s="1"/>
  <c r="J177" i="14704"/>
  <c r="G41" i="14639"/>
  <c r="G42" i="14639" s="1"/>
  <c r="P91" i="14700" a="1"/>
  <c r="P91" i="14700" s="1"/>
  <c r="P201" i="14704"/>
  <c r="G176" i="14704"/>
  <c r="Q119" i="14704"/>
  <c r="N170" i="14704"/>
  <c r="P100" i="14700" a="1"/>
  <c r="P100" i="14700" s="1"/>
  <c r="J135" i="14704"/>
  <c r="S208" i="14698" a="1"/>
  <c r="S208" i="14698" s="1"/>
  <c r="O96" i="14700" a="1"/>
  <c r="O96" i="14700" s="1"/>
  <c r="C103" i="14700" a="1"/>
  <c r="C103" i="14700" s="1"/>
  <c r="O103" i="14698" s="1"/>
  <c r="M177" i="14704"/>
  <c r="M97" i="14700" a="1"/>
  <c r="M97" i="14700" s="1"/>
  <c r="K99" i="14700" a="1"/>
  <c r="K99" i="14700" s="1"/>
  <c r="E120" i="14704"/>
  <c r="Y201" i="14704"/>
  <c r="Y214" i="14704" s="1"/>
  <c r="J41" i="14639"/>
  <c r="J42" i="14639" s="1"/>
  <c r="D70" i="14643"/>
  <c r="L41" i="14639"/>
  <c r="L42" i="14639" s="1"/>
  <c r="D40" i="14700"/>
  <c r="R201" i="14704"/>
  <c r="F176" i="14704"/>
  <c r="M119" i="14704"/>
  <c r="W93" i="14700" a="1"/>
  <c r="W93" i="14700" s="1"/>
  <c r="R98" i="14700" a="1"/>
  <c r="R98" i="14700" s="1"/>
  <c r="K135" i="14704"/>
  <c r="G137" i="14704"/>
  <c r="K100" i="14700" a="1"/>
  <c r="K100" i="14700" s="1"/>
  <c r="F100" i="14700" a="1"/>
  <c r="F100" i="14700" s="1"/>
  <c r="G177" i="14704"/>
  <c r="L118" i="14704"/>
  <c r="S91" i="14700" a="1"/>
  <c r="S91" i="14700" s="1"/>
  <c r="I120" i="14704"/>
  <c r="I142" i="14700"/>
  <c r="D71" i="14643"/>
  <c r="F41" i="14639"/>
  <c r="F42" i="14639" s="1"/>
  <c r="O83" i="14698"/>
  <c r="O85" i="14698" s="1"/>
  <c r="H99" i="14700" a="1"/>
  <c r="H99" i="14700" s="1"/>
  <c r="U201" i="14704"/>
  <c r="N119" i="14704"/>
  <c r="X92" i="14700" a="1"/>
  <c r="X92" i="14700" s="1"/>
  <c r="M103" i="14700" a="1"/>
  <c r="M103" i="14700" s="1"/>
  <c r="L135" i="14704"/>
  <c r="J101" i="14700" a="1"/>
  <c r="J101" i="14700" s="1"/>
  <c r="D102" i="14700" a="1"/>
  <c r="D102" i="14700" s="1"/>
  <c r="C177" i="14704"/>
  <c r="O177" i="14702" s="1"/>
  <c r="P118" i="14704"/>
  <c r="Q93" i="14700" a="1"/>
  <c r="Q93" i="14700" s="1"/>
  <c r="C178" i="14700"/>
  <c r="F120" i="14704"/>
  <c r="P152" i="14704"/>
  <c r="H214" i="14700"/>
  <c r="D72" i="14643"/>
  <c r="H102" i="14700" a="1"/>
  <c r="H102" i="14700" s="1"/>
  <c r="J120" i="14704"/>
  <c r="U95" i="14700" a="1"/>
  <c r="U95" i="14700" s="1"/>
  <c r="E177" i="14704"/>
  <c r="D68" i="14643"/>
  <c r="K41" i="14639"/>
  <c r="K42" i="14639" s="1"/>
  <c r="E124" i="14700"/>
  <c r="O92" i="14700" a="1"/>
  <c r="O92" i="14700" s="1"/>
  <c r="Q201" i="14704"/>
  <c r="P119" i="14704"/>
  <c r="O101" i="14700" a="1"/>
  <c r="O101" i="14700" s="1"/>
  <c r="O160" i="14698"/>
  <c r="P135" i="14704"/>
  <c r="R93" i="14700" a="1"/>
  <c r="R93" i="14700" s="1"/>
  <c r="M98" i="14700" a="1"/>
  <c r="M98" i="14700" s="1"/>
  <c r="I97" i="14700" a="1"/>
  <c r="I97" i="14700" s="1"/>
  <c r="R92" i="14700" a="1"/>
  <c r="R92" i="14700" s="1"/>
  <c r="I225" i="14704"/>
  <c r="K120" i="14704"/>
  <c r="U186" i="14704"/>
  <c r="F245" i="14704"/>
  <c r="S170" i="14704"/>
  <c r="U206" i="14698" a="1"/>
  <c r="U209" i="14698" s="1"/>
  <c r="E41" i="14639"/>
  <c r="E42" i="14639" s="1"/>
  <c r="K96" i="14700" a="1"/>
  <c r="K96" i="14700" s="1"/>
  <c r="T201" i="14704"/>
  <c r="T96" i="14700" a="1"/>
  <c r="T96" i="14700" s="1"/>
  <c r="C160" i="14700"/>
  <c r="H40" i="14700"/>
  <c r="N97" i="14700" a="1"/>
  <c r="N97" i="14700" s="1"/>
  <c r="C40" i="14700"/>
  <c r="M40" i="14668"/>
  <c r="I40" i="14668"/>
  <c r="D67" i="14643"/>
  <c r="H41" i="14639"/>
  <c r="H42" i="14639" s="1"/>
  <c r="N93" i="14700" a="1"/>
  <c r="N93" i="14700" s="1"/>
  <c r="S201" i="14704"/>
  <c r="J119" i="14704"/>
  <c r="V94" i="14700" a="1"/>
  <c r="V94" i="14700" s="1"/>
  <c r="N116" i="14704"/>
  <c r="N135" i="14704"/>
  <c r="T91" i="14700" a="1"/>
  <c r="T91" i="14700" s="1"/>
  <c r="K95" i="14700" a="1"/>
  <c r="K95" i="14700" s="1"/>
  <c r="M93" i="14700" a="1"/>
  <c r="M93" i="14700" s="1"/>
  <c r="G40" i="14700"/>
  <c r="M225" i="14704"/>
  <c r="L120" i="14704"/>
  <c r="Q186" i="14704"/>
  <c r="S154" i="14698" a="1"/>
  <c r="S154" i="14698" s="1"/>
  <c r="J232" i="14700"/>
  <c r="W240" i="14698" a="1"/>
  <c r="W243" i="14698" s="1"/>
  <c r="F160" i="14700"/>
  <c r="K124" i="14700"/>
  <c r="L214" i="14700"/>
  <c r="I40" i="14700"/>
  <c r="J160" i="14700"/>
  <c r="N39" i="14700"/>
  <c r="L102" i="14700" a="1"/>
  <c r="L102" i="14700" s="1"/>
  <c r="Q228" i="14698" a="1"/>
  <c r="Q230" i="14698" s="1"/>
  <c r="V241" i="14698" a="1"/>
  <c r="V246" i="14698" s="1"/>
  <c r="S244" i="14698" a="1"/>
  <c r="S244" i="14698" s="1"/>
  <c r="N41" i="14639"/>
  <c r="N42" i="14639" s="1"/>
  <c r="C41" i="14639"/>
  <c r="E102" i="14700" a="1"/>
  <c r="E102" i="14700" s="1"/>
  <c r="N201" i="14704"/>
  <c r="S190" i="14698" a="1"/>
  <c r="S191" i="14698" s="1"/>
  <c r="E158" i="14704"/>
  <c r="Y91" i="14700" a="1"/>
  <c r="Y91" i="14700" s="1"/>
  <c r="R183" i="14704"/>
  <c r="M135" i="14704"/>
  <c r="I102" i="14700" a="1"/>
  <c r="I102" i="14700" s="1"/>
  <c r="O91" i="14700" a="1"/>
  <c r="O91" i="14700" s="1"/>
  <c r="J96" i="14700" a="1"/>
  <c r="J96" i="14700" s="1"/>
  <c r="M151" i="14704"/>
  <c r="Q156" i="14698" a="1"/>
  <c r="Q159" i="14698" s="1"/>
  <c r="J100" i="14700" a="1"/>
  <c r="J100" i="14700" s="1"/>
  <c r="J225" i="14704"/>
  <c r="H120" i="14704"/>
  <c r="P83" i="14698"/>
  <c r="K207" i="14704"/>
  <c r="R209" i="14698" a="1"/>
  <c r="R209" i="14698" s="1"/>
  <c r="G232" i="14700"/>
  <c r="I178" i="14700"/>
  <c r="D178" i="14700"/>
  <c r="N36" i="14700"/>
  <c r="U92" i="14700" a="1"/>
  <c r="U92" i="14700" s="1"/>
  <c r="N37" i="14700"/>
  <c r="R91" i="14700" a="1"/>
  <c r="R91" i="14700" s="1"/>
  <c r="D232" i="14700"/>
  <c r="P99" i="14700" a="1"/>
  <c r="P99" i="14700" s="1"/>
  <c r="H178" i="14700"/>
  <c r="V201" i="14704"/>
  <c r="F14" i="14643"/>
  <c r="G100" i="14700" a="1"/>
  <c r="G100" i="14700" s="1"/>
  <c r="D103" i="14700" a="1"/>
  <c r="D103" i="14700" s="1"/>
  <c r="N169" i="14704"/>
  <c r="C158" i="14704"/>
  <c r="O158" i="14702" s="1"/>
  <c r="U183" i="14704"/>
  <c r="J153" i="14704"/>
  <c r="Q135" i="14704"/>
  <c r="U151" i="14704"/>
  <c r="O207" i="14704"/>
  <c r="U79" i="14698"/>
  <c r="Q187" i="14704"/>
  <c r="M231" i="14704"/>
  <c r="J208" i="14704"/>
  <c r="P111" i="14704"/>
  <c r="D141" i="14704"/>
  <c r="H191" i="14704"/>
  <c r="T94" i="14700" a="1"/>
  <c r="T94" i="14700" s="1"/>
  <c r="P174" i="14704"/>
  <c r="X165" i="14704"/>
  <c r="J134" i="14704"/>
  <c r="U80" i="14698"/>
  <c r="F247" i="14704"/>
  <c r="U94" i="14700" a="1"/>
  <c r="U94" i="14700" s="1"/>
  <c r="M187" i="14704"/>
  <c r="O142" i="14698"/>
  <c r="P210" i="14704"/>
  <c r="D231" i="14704"/>
  <c r="H208" i="14704"/>
  <c r="M114" i="14704"/>
  <c r="N111" i="14704"/>
  <c r="Q222" i="14704"/>
  <c r="F141" i="14704"/>
  <c r="F248" i="14704"/>
  <c r="L191" i="14704"/>
  <c r="W129" i="14704"/>
  <c r="K97" i="14700" a="1"/>
  <c r="K97" i="14700" s="1"/>
  <c r="O99" i="14700" a="1"/>
  <c r="O99" i="14700" s="1"/>
  <c r="K40" i="14700"/>
  <c r="I174" i="14704"/>
  <c r="R80" i="14698"/>
  <c r="R165" i="14704"/>
  <c r="G246" i="14704"/>
  <c r="Q134" i="14704"/>
  <c r="F232" i="14700"/>
  <c r="G247" i="14704"/>
  <c r="G250" i="14700"/>
  <c r="E40" i="14700"/>
  <c r="R84" i="14698"/>
  <c r="N165" i="14704"/>
  <c r="U84" i="14698"/>
  <c r="D247" i="14704"/>
  <c r="W92" i="14700" a="1"/>
  <c r="W92" i="14700" s="1"/>
  <c r="P187" i="14704"/>
  <c r="W84" i="14698"/>
  <c r="F210" i="14704"/>
  <c r="F231" i="14704"/>
  <c r="Q208" i="14704"/>
  <c r="O114" i="14704"/>
  <c r="O111" i="14704"/>
  <c r="U222" i="14704"/>
  <c r="I141" i="14704"/>
  <c r="C248" i="14704"/>
  <c r="O248" i="14702" s="1"/>
  <c r="F191" i="14704"/>
  <c r="O129" i="14704"/>
  <c r="N94" i="14700" a="1"/>
  <c r="N94" i="14700" s="1"/>
  <c r="K103" i="14700" a="1"/>
  <c r="K103" i="14700" s="1"/>
  <c r="J174" i="14704"/>
  <c r="R82" i="14698"/>
  <c r="Q165" i="14704"/>
  <c r="I246" i="14704"/>
  <c r="P175" i="14698" a="1"/>
  <c r="P176" i="14698" s="1"/>
  <c r="T134" i="14704"/>
  <c r="O187" i="14704"/>
  <c r="B231" i="14704"/>
  <c r="B232" i="14704" s="1"/>
  <c r="P191" i="14704"/>
  <c r="U129" i="14704"/>
  <c r="U78" i="14698"/>
  <c r="K247" i="14704"/>
  <c r="L103" i="14700" a="1"/>
  <c r="L103" i="14700" s="1"/>
  <c r="R187" i="14704"/>
  <c r="G160" i="14700"/>
  <c r="W79" i="14698"/>
  <c r="G210" i="14704"/>
  <c r="G231" i="14704"/>
  <c r="R208" i="14704"/>
  <c r="U114" i="14704"/>
  <c r="S111" i="14704"/>
  <c r="F214" i="14700"/>
  <c r="O222" i="14704"/>
  <c r="G141" i="14704"/>
  <c r="M248" i="14704"/>
  <c r="O191" i="14704"/>
  <c r="S129" i="14704"/>
  <c r="Q91" i="14700" a="1"/>
  <c r="Q91" i="14700" s="1"/>
  <c r="M101" i="14700" a="1"/>
  <c r="M101" i="14700" s="1"/>
  <c r="G174" i="14704"/>
  <c r="O165" i="14704"/>
  <c r="K246" i="14704"/>
  <c r="N134" i="14704"/>
  <c r="L247" i="14704"/>
  <c r="L40" i="14700"/>
  <c r="T187" i="14704"/>
  <c r="W82" i="14698"/>
  <c r="N210" i="14704"/>
  <c r="H231" i="14704"/>
  <c r="P208" i="14704"/>
  <c r="S114" i="14704"/>
  <c r="R111" i="14704"/>
  <c r="V222" i="14704"/>
  <c r="C141" i="14704"/>
  <c r="O141" i="14702" s="1"/>
  <c r="G248" i="14704"/>
  <c r="G191" i="14704"/>
  <c r="P129" i="14704"/>
  <c r="F102" i="14700" a="1"/>
  <c r="F102" i="14700" s="1"/>
  <c r="P98" i="14700" a="1"/>
  <c r="P98" i="14700" s="1"/>
  <c r="N174" i="14704"/>
  <c r="W165" i="14704"/>
  <c r="E246" i="14704"/>
  <c r="P134" i="14704"/>
  <c r="O208" i="14704"/>
  <c r="P114" i="14704"/>
  <c r="S222" i="14704"/>
  <c r="V92" i="14700" a="1"/>
  <c r="V92" i="14700" s="1"/>
  <c r="J246" i="14704"/>
  <c r="H247" i="14704"/>
  <c r="O100" i="14700" a="1"/>
  <c r="O100" i="14700" s="1"/>
  <c r="K187" i="14704"/>
  <c r="V151" i="14698" a="1"/>
  <c r="V152" i="14698" s="1"/>
  <c r="W80" i="14698"/>
  <c r="J210" i="14704"/>
  <c r="L231" i="14704"/>
  <c r="L208" i="14704"/>
  <c r="Q114" i="14704"/>
  <c r="V111" i="14704"/>
  <c r="R222" i="14704"/>
  <c r="H141" i="14704"/>
  <c r="N248" i="14704"/>
  <c r="M191" i="14704"/>
  <c r="Y129" i="14704"/>
  <c r="Y142" i="14704" s="1"/>
  <c r="O93" i="14700" a="1"/>
  <c r="O93" i="14700" s="1"/>
  <c r="W91" i="14700" a="1"/>
  <c r="W91" i="14700" s="1"/>
  <c r="K174" i="14704"/>
  <c r="C232" i="14700"/>
  <c r="S226" i="14698" a="1"/>
  <c r="S231" i="14698" s="1"/>
  <c r="Y165" i="14704"/>
  <c r="Y178" i="14704" s="1"/>
  <c r="N246" i="14704"/>
  <c r="S134" i="14704"/>
  <c r="C231" i="14704"/>
  <c r="O231" i="14702" s="1"/>
  <c r="M208" i="14704"/>
  <c r="L114" i="14704"/>
  <c r="Q111" i="14704"/>
  <c r="K222" i="14704"/>
  <c r="L141" i="14704"/>
  <c r="L248" i="14704"/>
  <c r="J191" i="14704"/>
  <c r="N129" i="14704"/>
  <c r="M95" i="14700" a="1"/>
  <c r="M95" i="14700" s="1"/>
  <c r="P92" i="14700" a="1"/>
  <c r="P92" i="14700" s="1"/>
  <c r="Q97" i="14700" a="1"/>
  <c r="Q97" i="14700" s="1"/>
  <c r="O174" i="14704"/>
  <c r="O232" i="14698"/>
  <c r="P165" i="14704"/>
  <c r="P246" i="14704"/>
  <c r="O134" i="14704"/>
  <c r="G142" i="14700"/>
  <c r="N35" i="14700"/>
  <c r="W81" i="14698"/>
  <c r="H210" i="14704"/>
  <c r="G101" i="14700" a="1"/>
  <c r="G101" i="14700" s="1"/>
  <c r="U83" i="14698"/>
  <c r="M247" i="14704"/>
  <c r="Q98" i="14700" a="1"/>
  <c r="Q98" i="14700" s="1"/>
  <c r="V93" i="14700" a="1"/>
  <c r="V93" i="14700" s="1"/>
  <c r="S187" i="14704"/>
  <c r="W77" i="14698"/>
  <c r="O210" i="14704"/>
  <c r="E231" i="14704"/>
  <c r="G208" i="14704"/>
  <c r="V114" i="14704"/>
  <c r="X111" i="14704"/>
  <c r="T222" i="14704"/>
  <c r="M141" i="14704"/>
  <c r="I248" i="14704"/>
  <c r="Q191" i="14704"/>
  <c r="Q129" i="14704"/>
  <c r="L96" i="14700" a="1"/>
  <c r="L96" i="14700" s="1"/>
  <c r="S95" i="14700" a="1"/>
  <c r="S95" i="14700" s="1"/>
  <c r="F174" i="14704"/>
  <c r="T165" i="14704"/>
  <c r="F246" i="14704"/>
  <c r="M134" i="14704"/>
  <c r="X131" i="14698" a="1"/>
  <c r="X131" i="14698" s="1"/>
  <c r="W85" i="14704"/>
  <c r="H15" i="14667"/>
  <c r="D39" i="14622" s="1"/>
  <c r="M214" i="14700"/>
  <c r="P82" i="14702" a="1"/>
  <c r="P83" i="14702" s="1"/>
  <c r="C85" i="14704"/>
  <c r="U242" i="14698" a="1"/>
  <c r="U248" i="14698" s="1"/>
  <c r="T153" i="14698" a="1"/>
  <c r="T157" i="14698" s="1"/>
  <c r="K142" i="14700"/>
  <c r="K102" i="14700" a="1"/>
  <c r="K102" i="14700" s="1"/>
  <c r="K94" i="14700" a="1"/>
  <c r="K94" i="14700" s="1"/>
  <c r="N34" i="14700"/>
  <c r="L100" i="14700" a="1"/>
  <c r="L100" i="14700" s="1"/>
  <c r="K214" i="14700"/>
  <c r="K98" i="14700" a="1"/>
  <c r="K98" i="14700" s="1"/>
  <c r="U85" i="14704"/>
  <c r="U187" i="14704"/>
  <c r="I247" i="14704"/>
  <c r="K114" i="14704"/>
  <c r="M222" i="14704"/>
  <c r="J248" i="14704"/>
  <c r="T129" i="14704"/>
  <c r="M246" i="14704"/>
  <c r="U82" i="14698"/>
  <c r="J247" i="14704"/>
  <c r="X91" i="14700" a="1"/>
  <c r="X91" i="14700" s="1"/>
  <c r="L187" i="14704"/>
  <c r="W78" i="14698"/>
  <c r="E210" i="14704"/>
  <c r="J231" i="14704"/>
  <c r="K208" i="14704"/>
  <c r="R114" i="14704"/>
  <c r="T111" i="14704"/>
  <c r="N222" i="14704"/>
  <c r="B141" i="14704"/>
  <c r="B142" i="14704" s="1"/>
  <c r="E248" i="14704"/>
  <c r="N191" i="14704"/>
  <c r="V129" i="14704"/>
  <c r="E103" i="14700" a="1"/>
  <c r="E103" i="14700" s="1"/>
  <c r="N100" i="14700" a="1"/>
  <c r="N100" i="14700" s="1"/>
  <c r="E174" i="14704"/>
  <c r="U165" i="14704"/>
  <c r="O246" i="14704"/>
  <c r="R134" i="14704"/>
  <c r="Q174" i="14698" a="1"/>
  <c r="Q177" i="14698" s="1"/>
  <c r="O247" i="14704"/>
  <c r="I99" i="14700" a="1"/>
  <c r="I99" i="14700" s="1"/>
  <c r="J98" i="14700" a="1"/>
  <c r="J98" i="14700" s="1"/>
  <c r="R96" i="14700" a="1"/>
  <c r="R96" i="14700" s="1"/>
  <c r="T78" i="14702" a="1"/>
  <c r="T82" i="14702" s="1"/>
  <c r="F196" i="14700"/>
  <c r="Q96" i="14700" a="1"/>
  <c r="Q96" i="14700" s="1"/>
  <c r="S80" i="14698"/>
  <c r="R94" i="14700" a="1"/>
  <c r="R94" i="14700" s="1"/>
  <c r="I119" i="14704"/>
  <c r="P227" i="14704"/>
  <c r="J118" i="14704"/>
  <c r="P228" i="14704"/>
  <c r="B103" i="14700" a="1"/>
  <c r="B103" i="14700" s="1"/>
  <c r="B104" i="14700" s="1"/>
  <c r="R188" i="14704"/>
  <c r="W202" i="14704"/>
  <c r="P93" i="14700" a="1"/>
  <c r="P93" i="14700" s="1"/>
  <c r="U134" i="14698" a="1"/>
  <c r="U139" i="14698" s="1"/>
  <c r="W114" i="14698" a="1"/>
  <c r="W115" i="14698" s="1"/>
  <c r="L142" i="14700"/>
  <c r="L101" i="14700" a="1"/>
  <c r="L101" i="14700" s="1"/>
  <c r="O147" i="14704"/>
  <c r="S81" i="14698"/>
  <c r="O97" i="14700" a="1"/>
  <c r="O97" i="14700" s="1"/>
  <c r="H119" i="14704"/>
  <c r="M227" i="14704"/>
  <c r="G118" i="14704"/>
  <c r="F228" i="14704"/>
  <c r="H97" i="14700" a="1"/>
  <c r="H97" i="14700" s="1"/>
  <c r="M188" i="14704"/>
  <c r="U202" i="14704"/>
  <c r="F103" i="14700" a="1"/>
  <c r="F103" i="14700" s="1"/>
  <c r="H196" i="14700"/>
  <c r="I250" i="14700"/>
  <c r="I196" i="14700"/>
  <c r="R118" i="14704"/>
  <c r="L228" i="14704"/>
  <c r="J95" i="14700" a="1"/>
  <c r="J95" i="14700" s="1"/>
  <c r="Q202" i="14704"/>
  <c r="O83" i="14702" a="1"/>
  <c r="O83" i="14702" s="1"/>
  <c r="I100" i="14700" a="1"/>
  <c r="I100" i="14700" s="1"/>
  <c r="L97" i="14700" a="1"/>
  <c r="L97" i="14700" s="1"/>
  <c r="N228" i="14704"/>
  <c r="I96" i="14700" a="1"/>
  <c r="I96" i="14700" s="1"/>
  <c r="O244" i="14704"/>
  <c r="N202" i="14704"/>
  <c r="P97" i="14700" a="1"/>
  <c r="P97" i="14700" s="1"/>
  <c r="J103" i="14700" a="1"/>
  <c r="J103" i="14700" s="1"/>
  <c r="S147" i="14704"/>
  <c r="I103" i="14700" a="1"/>
  <c r="I103" i="14700" s="1"/>
  <c r="F119" i="14704"/>
  <c r="E67" i="14643"/>
  <c r="J227" i="14704"/>
  <c r="O118" i="14704"/>
  <c r="I228" i="14704"/>
  <c r="D101" i="14700" a="1"/>
  <c r="D101" i="14700" s="1"/>
  <c r="E193" i="14704"/>
  <c r="K244" i="14704"/>
  <c r="P202" i="14704"/>
  <c r="I190" i="14704"/>
  <c r="H101" i="14700" a="1"/>
  <c r="H101" i="14700" s="1"/>
  <c r="E69" i="14643"/>
  <c r="V91" i="14700" a="1"/>
  <c r="V91" i="14700" s="1"/>
  <c r="R95" i="14700" a="1"/>
  <c r="R95" i="14700" s="1"/>
  <c r="T92" i="14700" a="1"/>
  <c r="T92" i="14700" s="1"/>
  <c r="E71" i="14643"/>
  <c r="K227" i="14704"/>
  <c r="H160" i="14700"/>
  <c r="H118" i="14704"/>
  <c r="J228" i="14704"/>
  <c r="F99" i="14700" a="1"/>
  <c r="F99" i="14700" s="1"/>
  <c r="E100" i="14700" a="1"/>
  <c r="E100" i="14700" s="1"/>
  <c r="K193" i="14704"/>
  <c r="I244" i="14704"/>
  <c r="O202" i="14704"/>
  <c r="P190" i="14704"/>
  <c r="M242" i="14704"/>
  <c r="F40" i="14700"/>
  <c r="O168" i="14704"/>
  <c r="J40" i="14700"/>
  <c r="I227" i="14704"/>
  <c r="S94" i="14700" a="1"/>
  <c r="S94" i="14700" s="1"/>
  <c r="M100" i="14700" a="1"/>
  <c r="M100" i="14700" s="1"/>
  <c r="P96" i="14700" a="1"/>
  <c r="P96" i="14700" s="1"/>
  <c r="K101" i="14700" a="1"/>
  <c r="K101" i="14700" s="1"/>
  <c r="G119" i="14704"/>
  <c r="E70" i="14643"/>
  <c r="F227" i="14704"/>
  <c r="W204" i="14698" a="1"/>
  <c r="W208" i="14698" s="1"/>
  <c r="H85" i="14704"/>
  <c r="N118" i="14704"/>
  <c r="M228" i="14704"/>
  <c r="N91" i="14700" a="1"/>
  <c r="N91" i="14700" s="1"/>
  <c r="G98" i="14700" a="1"/>
  <c r="G98" i="14700" s="1"/>
  <c r="O193" i="14704"/>
  <c r="H232" i="14700"/>
  <c r="S202" i="14704"/>
  <c r="J190" i="14704"/>
  <c r="R242" i="14704"/>
  <c r="J99" i="14700" a="1"/>
  <c r="J99" i="14700" s="1"/>
  <c r="Q168" i="14704"/>
  <c r="I118" i="14704"/>
  <c r="K228" i="14704"/>
  <c r="L93" i="14700" a="1"/>
  <c r="L93" i="14700" s="1"/>
  <c r="M92" i="14700" a="1"/>
  <c r="M92" i="14700" s="1"/>
  <c r="M202" i="14704"/>
  <c r="S242" i="14704"/>
  <c r="N95" i="14700" a="1"/>
  <c r="N95" i="14700" s="1"/>
  <c r="V168" i="14704"/>
  <c r="U91" i="14700" a="1"/>
  <c r="U91" i="14700" s="1"/>
  <c r="J102" i="14700" a="1"/>
  <c r="J102" i="14700" s="1"/>
  <c r="M99" i="14700" a="1"/>
  <c r="M99" i="14700" s="1"/>
  <c r="E66" i="14643"/>
  <c r="N227" i="14704"/>
  <c r="O98" i="14700" a="1"/>
  <c r="O98" i="14700" s="1"/>
  <c r="S82" i="14698"/>
  <c r="N98" i="14700" a="1"/>
  <c r="N98" i="14700" s="1"/>
  <c r="E68" i="14643"/>
  <c r="Q227" i="14704"/>
  <c r="K118" i="14704"/>
  <c r="O228" i="14704"/>
  <c r="N32" i="14700"/>
  <c r="N33" i="14700"/>
  <c r="P157" i="14698" a="1"/>
  <c r="P157" i="14698" s="1"/>
  <c r="T202" i="14704"/>
  <c r="Q92" i="14700" a="1"/>
  <c r="Q92" i="14700" s="1"/>
  <c r="I232" i="14700"/>
  <c r="T85" i="14704"/>
  <c r="S93" i="14700" a="1"/>
  <c r="S93" i="14700" s="1"/>
  <c r="E72" i="14643"/>
  <c r="T93" i="14700" a="1"/>
  <c r="T93" i="14700" s="1"/>
  <c r="N99" i="14700" a="1"/>
  <c r="N99" i="14700" s="1"/>
  <c r="Q95" i="14700" a="1"/>
  <c r="Q95" i="14700" s="1"/>
  <c r="G227" i="14704"/>
  <c r="G228" i="14704"/>
  <c r="C102" i="14700" a="1"/>
  <c r="C102" i="14700" s="1"/>
  <c r="O102" i="14698" s="1"/>
  <c r="D85" i="14704"/>
  <c r="R202" i="14704"/>
  <c r="O94" i="14700" a="1"/>
  <c r="O94" i="14700" s="1"/>
  <c r="M96" i="14700" a="1"/>
  <c r="M96" i="14700" s="1"/>
  <c r="L227" i="14704"/>
  <c r="S83" i="14698"/>
  <c r="G102" i="14700" a="1"/>
  <c r="G102" i="14700" s="1"/>
  <c r="Y184" i="14698" a="1"/>
  <c r="Y184" i="14698" s="1"/>
  <c r="M124" i="14700"/>
  <c r="K40" i="14668"/>
  <c r="P167" i="14704"/>
  <c r="R135" i="14704"/>
  <c r="O172" i="14704"/>
  <c r="N195" i="14698"/>
  <c r="N196" i="14698" s="1"/>
  <c r="O171" i="14704"/>
  <c r="O225" i="14704"/>
  <c r="S186" i="14704"/>
  <c r="H155" i="14704"/>
  <c r="L124" i="14700"/>
  <c r="L160" i="14700"/>
  <c r="M171" i="14704"/>
  <c r="S225" i="14704"/>
  <c r="V186" i="14704"/>
  <c r="O239" i="14704"/>
  <c r="T186" i="14704"/>
  <c r="Q239" i="14704"/>
  <c r="G123" i="14704"/>
  <c r="U188" i="14698" a="1"/>
  <c r="U189" i="14698" s="1"/>
  <c r="R225" i="14704"/>
  <c r="N186" i="14704"/>
  <c r="O115" i="14704"/>
  <c r="L225" i="14704"/>
  <c r="P186" i="14704"/>
  <c r="M116" i="14704"/>
  <c r="L167" i="14704"/>
  <c r="M172" i="14704"/>
  <c r="M123" i="14704"/>
  <c r="L115" i="14704"/>
  <c r="Q225" i="14704"/>
  <c r="M186" i="14704"/>
  <c r="R186" i="14704"/>
  <c r="P116" i="14704"/>
  <c r="N172" i="14704"/>
  <c r="K225" i="14704"/>
  <c r="K186" i="14704"/>
  <c r="Y73" i="14702" a="1"/>
  <c r="Y78" i="14702" s="1"/>
  <c r="L232" i="14700"/>
  <c r="S118" i="14698" a="1"/>
  <c r="S118" i="14698" s="1"/>
  <c r="J124" i="14700"/>
  <c r="B124" i="14700"/>
  <c r="P225" i="14704"/>
  <c r="L186" i="14704"/>
  <c r="G178" i="14700"/>
  <c r="H124" i="14700"/>
  <c r="W75" i="14702" a="1"/>
  <c r="W76" i="14702" s="1"/>
  <c r="M250" i="14700"/>
  <c r="W132" i="14698" a="1"/>
  <c r="W140" i="14698" s="1"/>
  <c r="S85" i="14704"/>
  <c r="W222" i="14698" a="1"/>
  <c r="W229" i="14698" s="1"/>
  <c r="X239" i="14698" a="1"/>
  <c r="X244" i="14698" s="1"/>
  <c r="M178" i="14700"/>
  <c r="J250" i="14700"/>
  <c r="Q171" i="14704"/>
  <c r="M155" i="14704"/>
  <c r="Q152" i="14704"/>
  <c r="E176" i="14704"/>
  <c r="J158" i="14704"/>
  <c r="T183" i="14704"/>
  <c r="M241" i="14704"/>
  <c r="H177" i="14704"/>
  <c r="K152" i="14704"/>
  <c r="Q207" i="14704"/>
  <c r="K176" i="14704"/>
  <c r="D158" i="14704"/>
  <c r="Q183" i="14704"/>
  <c r="L241" i="14704"/>
  <c r="D157" i="14704"/>
  <c r="K177" i="14704"/>
  <c r="Q84" i="14698"/>
  <c r="O152" i="14704"/>
  <c r="L207" i="14704"/>
  <c r="T189" i="14698" a="1"/>
  <c r="T191" i="14698" s="1"/>
  <c r="X113" i="14698" a="1"/>
  <c r="X122" i="14698" s="1"/>
  <c r="L176" i="14704"/>
  <c r="L158" i="14704"/>
  <c r="N84" i="14702"/>
  <c r="O183" i="14704"/>
  <c r="O241" i="14704"/>
  <c r="F157" i="14704"/>
  <c r="Q81" i="14698"/>
  <c r="R207" i="14704"/>
  <c r="N40" i="14637"/>
  <c r="K85" i="14704"/>
  <c r="I176" i="14704"/>
  <c r="O124" i="14698"/>
  <c r="N158" i="14704"/>
  <c r="W183" i="14704"/>
  <c r="N241" i="14704"/>
  <c r="M137" i="14704"/>
  <c r="F177" i="14704"/>
  <c r="Q83" i="14698"/>
  <c r="N207" i="14704"/>
  <c r="T243" i="14698" a="1"/>
  <c r="T247" i="14698" s="1"/>
  <c r="M142" i="14700"/>
  <c r="U152" i="14698" a="1"/>
  <c r="U157" i="14698" s="1"/>
  <c r="T171" i="14698" a="1"/>
  <c r="T171" i="14698" s="1"/>
  <c r="S172" i="14698" a="1"/>
  <c r="S176" i="14698" s="1"/>
  <c r="G158" i="14704"/>
  <c r="V183" i="14704"/>
  <c r="S241" i="14704"/>
  <c r="I177" i="14704"/>
  <c r="P184" i="14704"/>
  <c r="J207" i="14704"/>
  <c r="J176" i="14704"/>
  <c r="M176" i="14704"/>
  <c r="Q210" i="14698" a="1"/>
  <c r="Q212" i="14698" s="1"/>
  <c r="F158" i="14704"/>
  <c r="X183" i="14704"/>
  <c r="U241" i="14704"/>
  <c r="T117" i="14698" a="1"/>
  <c r="T122" i="14698" s="1"/>
  <c r="P185" i="14704"/>
  <c r="L177" i="14704"/>
  <c r="X184" i="14704"/>
  <c r="S207" i="14704"/>
  <c r="D176" i="14704"/>
  <c r="M158" i="14704"/>
  <c r="S183" i="14704"/>
  <c r="R241" i="14704"/>
  <c r="U185" i="14704"/>
  <c r="D177" i="14704"/>
  <c r="I214" i="14700"/>
  <c r="H207" i="14704"/>
  <c r="S136" i="14698" a="1"/>
  <c r="S140" i="14698" s="1"/>
  <c r="Y238" i="14698" a="1"/>
  <c r="Y238" i="14698" s="1"/>
  <c r="N183" i="14704"/>
  <c r="Q241" i="14704"/>
  <c r="G124" i="14700"/>
  <c r="L250" i="14700"/>
  <c r="I207" i="14704"/>
  <c r="I158" i="14704"/>
  <c r="Q169" i="14704"/>
  <c r="G245" i="14704"/>
  <c r="V133" i="14698" a="1"/>
  <c r="V135" i="14698" s="1"/>
  <c r="I124" i="14700"/>
  <c r="I121" i="14704"/>
  <c r="D121" i="14704"/>
  <c r="N115" i="14704"/>
  <c r="E178" i="14700"/>
  <c r="I155" i="14704"/>
  <c r="W239" i="14704"/>
  <c r="V184" i="14704"/>
  <c r="H13" i="14706"/>
  <c r="G121" i="14704"/>
  <c r="E123" i="14704"/>
  <c r="M115" i="14704"/>
  <c r="P193" i="14698" a="1"/>
  <c r="P194" i="14698" s="1"/>
  <c r="F155" i="14704"/>
  <c r="L239" i="14704"/>
  <c r="S184" i="14704"/>
  <c r="F123" i="14704"/>
  <c r="P115" i="14704"/>
  <c r="O155" i="14704"/>
  <c r="U239" i="14704"/>
  <c r="N184" i="14704"/>
  <c r="J123" i="14704"/>
  <c r="I192" i="14704"/>
  <c r="J115" i="14704"/>
  <c r="L155" i="14704"/>
  <c r="S239" i="14704"/>
  <c r="U184" i="14704"/>
  <c r="K192" i="14704"/>
  <c r="T115" i="14704"/>
  <c r="N155" i="14704"/>
  <c r="P239" i="14704"/>
  <c r="W184" i="14704"/>
  <c r="G156" i="14704"/>
  <c r="I123" i="14704"/>
  <c r="M192" i="14704"/>
  <c r="B250" i="14700"/>
  <c r="Q115" i="14704"/>
  <c r="N239" i="14704"/>
  <c r="O184" i="14704"/>
  <c r="L123" i="14704"/>
  <c r="K115" i="14704"/>
  <c r="B159" i="14704"/>
  <c r="B160" i="14704" s="1"/>
  <c r="T239" i="14704"/>
  <c r="M184" i="14704"/>
  <c r="Y148" i="14698" a="1"/>
  <c r="Y149" i="14698" s="1"/>
  <c r="G85" i="14704"/>
  <c r="Q85" i="14704"/>
  <c r="R85" i="14704"/>
  <c r="P85" i="14704"/>
  <c r="V187" i="14698" a="1"/>
  <c r="V188" i="14698" s="1"/>
  <c r="Q81" i="14702" a="1"/>
  <c r="Q81" i="14702" s="1"/>
  <c r="F85" i="14704"/>
  <c r="V76" i="14702" a="1"/>
  <c r="V78" i="14702" s="1"/>
  <c r="M156" i="14704"/>
  <c r="C123" i="14704"/>
  <c r="O123" i="14702" s="1"/>
  <c r="R115" i="14704"/>
  <c r="F159" i="14704"/>
  <c r="Q155" i="14704"/>
  <c r="R239" i="14704"/>
  <c r="Q184" i="14704"/>
  <c r="V169" i="14698" a="1"/>
  <c r="V173" i="14698" s="1"/>
  <c r="F178" i="14700"/>
  <c r="X185" i="14698" a="1"/>
  <c r="X188" i="14698" s="1"/>
  <c r="W186" i="14698" a="1"/>
  <c r="W186" i="14698" s="1"/>
  <c r="Y112" i="14698" a="1"/>
  <c r="Y114" i="14698" s="1"/>
  <c r="U77" i="14702" a="1"/>
  <c r="U77" i="14702" s="1"/>
  <c r="K178" i="14700"/>
  <c r="M85" i="14704"/>
  <c r="I156" i="14704"/>
  <c r="D123" i="14704"/>
  <c r="S115" i="14704"/>
  <c r="J159" i="14704"/>
  <c r="P155" i="14704"/>
  <c r="V239" i="14704"/>
  <c r="R184" i="14704"/>
  <c r="M232" i="14700"/>
  <c r="G155" i="14704"/>
  <c r="N229" i="14704"/>
  <c r="H40" i="14668"/>
  <c r="P226" i="14704"/>
  <c r="N132" i="14704"/>
  <c r="S169" i="14704"/>
  <c r="M221" i="14704"/>
  <c r="O237" i="14704"/>
  <c r="K170" i="14704"/>
  <c r="O116" i="14704"/>
  <c r="L153" i="14704"/>
  <c r="J37" i="14704"/>
  <c r="L32" i="14704"/>
  <c r="H37" i="14704"/>
  <c r="G38" i="14704"/>
  <c r="H32" i="14704"/>
  <c r="H35" i="14704"/>
  <c r="B36" i="14704"/>
  <c r="G37" i="14704"/>
  <c r="M185" i="14704"/>
  <c r="U224" i="14698" a="1"/>
  <c r="U230" i="14698" s="1"/>
  <c r="G157" i="14704"/>
  <c r="L137" i="14704"/>
  <c r="H249" i="14704"/>
  <c r="O151" i="14704"/>
  <c r="S79" i="14702" a="1"/>
  <c r="S82" i="14702" s="1"/>
  <c r="D250" i="14700"/>
  <c r="M154" i="14704"/>
  <c r="J171" i="14704"/>
  <c r="T220" i="14704"/>
  <c r="O229" i="14704"/>
  <c r="H245" i="14704"/>
  <c r="S219" i="14704"/>
  <c r="G230" i="14704"/>
  <c r="N226" i="14704"/>
  <c r="F32" i="14704"/>
  <c r="N154" i="14704"/>
  <c r="S237" i="14704"/>
  <c r="L33" i="14704"/>
  <c r="R220" i="14704"/>
  <c r="O219" i="14704"/>
  <c r="L38" i="14704"/>
  <c r="I154" i="14704"/>
  <c r="B40" i="14668"/>
  <c r="H226" i="14704"/>
  <c r="V132" i="14704"/>
  <c r="K169" i="14704"/>
  <c r="S221" i="14704"/>
  <c r="X237" i="14704"/>
  <c r="J85" i="14704"/>
  <c r="Q170" i="14704"/>
  <c r="J196" i="14700"/>
  <c r="K116" i="14704"/>
  <c r="N153" i="14704"/>
  <c r="B33" i="14704"/>
  <c r="L35" i="14704"/>
  <c r="F37" i="14704"/>
  <c r="G36" i="14704"/>
  <c r="F33" i="14704"/>
  <c r="G39" i="14704"/>
  <c r="M39" i="14704"/>
  <c r="M34" i="14704"/>
  <c r="L185" i="14704"/>
  <c r="I157" i="14704"/>
  <c r="N137" i="14704"/>
  <c r="J249" i="14704"/>
  <c r="J151" i="14704"/>
  <c r="J154" i="14704"/>
  <c r="X221" i="14698" a="1"/>
  <c r="X229" i="14698" s="1"/>
  <c r="N171" i="14704"/>
  <c r="N220" i="14704"/>
  <c r="G229" i="14704"/>
  <c r="W168" i="14698" a="1"/>
  <c r="W172" i="14698" s="1"/>
  <c r="Q245" i="14704"/>
  <c r="Y219" i="14704"/>
  <c r="Y232" i="14704" s="1"/>
  <c r="K230" i="14704"/>
  <c r="Y166" i="14698" a="1"/>
  <c r="Y166" i="14698" s="1"/>
  <c r="P221" i="14704"/>
  <c r="D38" i="14704"/>
  <c r="K38" i="14704"/>
  <c r="B38" i="14704"/>
  <c r="G34" i="14704"/>
  <c r="F38" i="14704"/>
  <c r="Q185" i="14704"/>
  <c r="N157" i="14704"/>
  <c r="X219" i="14704"/>
  <c r="M230" i="14704"/>
  <c r="C40" i="14668"/>
  <c r="I226" i="14704"/>
  <c r="O132" i="14704"/>
  <c r="T169" i="14704"/>
  <c r="L221" i="14704"/>
  <c r="W237" i="14704"/>
  <c r="L170" i="14704"/>
  <c r="R116" i="14704"/>
  <c r="M153" i="14704"/>
  <c r="J34" i="14704"/>
  <c r="B37" i="14704"/>
  <c r="K37" i="14704"/>
  <c r="G32" i="14704"/>
  <c r="E38" i="14704"/>
  <c r="K32" i="14704"/>
  <c r="M37" i="14704"/>
  <c r="L36" i="14704"/>
  <c r="V185" i="14704"/>
  <c r="M157" i="14704"/>
  <c r="F137" i="14704"/>
  <c r="E249" i="14704"/>
  <c r="R151" i="14704"/>
  <c r="K154" i="14704"/>
  <c r="S171" i="14704"/>
  <c r="U220" i="14704"/>
  <c r="L229" i="14704"/>
  <c r="N245" i="14704"/>
  <c r="U219" i="14704"/>
  <c r="E230" i="14704"/>
  <c r="M169" i="14704"/>
  <c r="C124" i="14700"/>
  <c r="J169" i="14704"/>
  <c r="W221" i="14704"/>
  <c r="N237" i="14704"/>
  <c r="J170" i="14704"/>
  <c r="S116" i="14704"/>
  <c r="Q153" i="14704"/>
  <c r="J38" i="14704"/>
  <c r="F35" i="14704"/>
  <c r="J35" i="14704"/>
  <c r="C38" i="14704"/>
  <c r="M36" i="14704"/>
  <c r="B35" i="14704"/>
  <c r="K36" i="14704"/>
  <c r="I37" i="14704"/>
  <c r="R185" i="14704"/>
  <c r="E157" i="14704"/>
  <c r="I137" i="14704"/>
  <c r="D249" i="14704"/>
  <c r="T151" i="14704"/>
  <c r="R154" i="14704"/>
  <c r="I171" i="14704"/>
  <c r="M220" i="14704"/>
  <c r="M229" i="14704"/>
  <c r="O245" i="14704"/>
  <c r="P219" i="14704"/>
  <c r="C230" i="14704"/>
  <c r="O230" i="14702" s="1"/>
  <c r="L196" i="14700"/>
  <c r="N85" i="14704"/>
  <c r="M196" i="14700"/>
  <c r="W150" i="14698" a="1"/>
  <c r="W158" i="14698" s="1"/>
  <c r="K226" i="14704"/>
  <c r="K132" i="14704"/>
  <c r="U116" i="14698" a="1"/>
  <c r="U117" i="14698" s="1"/>
  <c r="R169" i="14704"/>
  <c r="Q221" i="14704"/>
  <c r="U237" i="14704"/>
  <c r="I170" i="14704"/>
  <c r="Q116" i="14704"/>
  <c r="S153" i="14704"/>
  <c r="E85" i="14704"/>
  <c r="D33" i="14704"/>
  <c r="D37" i="14704"/>
  <c r="G35" i="14704"/>
  <c r="L37" i="14704"/>
  <c r="K35" i="14704"/>
  <c r="E34" i="14704"/>
  <c r="H33" i="14704"/>
  <c r="D34" i="14704"/>
  <c r="O185" i="14704"/>
  <c r="L157" i="14704"/>
  <c r="P137" i="14704"/>
  <c r="L249" i="14704"/>
  <c r="Q151" i="14704"/>
  <c r="Q154" i="14704"/>
  <c r="H171" i="14704"/>
  <c r="W220" i="14704"/>
  <c r="E229" i="14704"/>
  <c r="J245" i="14704"/>
  <c r="W219" i="14704"/>
  <c r="N230" i="14704"/>
  <c r="J178" i="14700"/>
  <c r="O85" i="14704"/>
  <c r="R173" i="14698" a="1"/>
  <c r="R174" i="14698" s="1"/>
  <c r="X167" i="14698" a="1"/>
  <c r="X170" i="14698" s="1"/>
  <c r="X74" i="14702" a="1"/>
  <c r="X83" i="14702" s="1"/>
  <c r="J226" i="14704"/>
  <c r="S132" i="14704"/>
  <c r="I36" i="14704"/>
  <c r="E40" i="14668"/>
  <c r="R226" i="14704"/>
  <c r="P132" i="14704"/>
  <c r="U169" i="14704"/>
  <c r="V221" i="14704"/>
  <c r="R237" i="14704"/>
  <c r="P170" i="14704"/>
  <c r="L116" i="14704"/>
  <c r="R80" i="14702" a="1"/>
  <c r="R84" i="14702" s="1"/>
  <c r="M160" i="14700"/>
  <c r="R153" i="14704"/>
  <c r="B32" i="14704"/>
  <c r="I34" i="14704"/>
  <c r="C36" i="14704"/>
  <c r="L39" i="14704"/>
  <c r="D32" i="14704"/>
  <c r="L34" i="14704"/>
  <c r="B34" i="14704"/>
  <c r="E33" i="14704"/>
  <c r="S185" i="14704"/>
  <c r="O157" i="14704"/>
  <c r="H137" i="14704"/>
  <c r="C249" i="14704"/>
  <c r="O249" i="14702" s="1"/>
  <c r="S151" i="14704"/>
  <c r="G154" i="14704"/>
  <c r="P171" i="14704"/>
  <c r="S220" i="14704"/>
  <c r="H229" i="14704"/>
  <c r="L245" i="14704"/>
  <c r="R219" i="14704"/>
  <c r="J230" i="14704"/>
  <c r="I85" i="14704"/>
  <c r="B39" i="14704"/>
  <c r="O137" i="14704"/>
  <c r="O226" i="14704"/>
  <c r="J40" i="14668"/>
  <c r="Q226" i="14704"/>
  <c r="R132" i="14704"/>
  <c r="P169" i="14704"/>
  <c r="T221" i="14704"/>
  <c r="V237" i="14704"/>
  <c r="T170" i="14704"/>
  <c r="J116" i="14704"/>
  <c r="O153" i="14704"/>
  <c r="C37" i="14704"/>
  <c r="C39" i="14704"/>
  <c r="H34" i="14704"/>
  <c r="F36" i="14704"/>
  <c r="C34" i="14704"/>
  <c r="E36" i="14704"/>
  <c r="K39" i="14704"/>
  <c r="C33" i="14704"/>
  <c r="N185" i="14704"/>
  <c r="P121" i="14698" a="1"/>
  <c r="P123" i="14698" s="1"/>
  <c r="J157" i="14704"/>
  <c r="J137" i="14704"/>
  <c r="B249" i="14704"/>
  <c r="N249" i="14702" s="1"/>
  <c r="K151" i="14704"/>
  <c r="K196" i="14700"/>
  <c r="O154" i="14704"/>
  <c r="L171" i="14704"/>
  <c r="V220" i="14704"/>
  <c r="D229" i="14704"/>
  <c r="I245" i="14704"/>
  <c r="Q219" i="14704"/>
  <c r="F230" i="14704"/>
  <c r="J155" i="14704"/>
  <c r="Y220" i="14698" a="1"/>
  <c r="Y224" i="14698" s="1"/>
  <c r="N28" i="14704"/>
  <c r="V115" i="14698" a="1"/>
  <c r="V122" i="14698" s="1"/>
  <c r="U170" i="14698" a="1"/>
  <c r="U174" i="14698" s="1"/>
  <c r="H142" i="14700"/>
  <c r="N221" i="14704"/>
  <c r="I35" i="14704"/>
  <c r="J32" i="14704"/>
  <c r="K249" i="14704"/>
  <c r="M170" i="14704"/>
  <c r="F249" i="14704"/>
  <c r="L40" i="14668"/>
  <c r="F40" i="14668"/>
  <c r="G40" i="14668"/>
  <c r="L226" i="14704"/>
  <c r="L132" i="14704"/>
  <c r="O169" i="14704"/>
  <c r="U221" i="14704"/>
  <c r="P237" i="14704"/>
  <c r="R170" i="14704"/>
  <c r="I116" i="14704"/>
  <c r="J142" i="14700"/>
  <c r="P153" i="14704"/>
  <c r="M32" i="14704"/>
  <c r="J36" i="14704"/>
  <c r="D39" i="14704"/>
  <c r="E35" i="14704"/>
  <c r="E39" i="14704"/>
  <c r="J33" i="14704"/>
  <c r="J39" i="14704"/>
  <c r="C32" i="14704"/>
  <c r="T185" i="14704"/>
  <c r="K157" i="14704"/>
  <c r="Q137" i="14704"/>
  <c r="M249" i="14704"/>
  <c r="L151" i="14704"/>
  <c r="H154" i="14704"/>
  <c r="R171" i="14704"/>
  <c r="Q220" i="14704"/>
  <c r="J229" i="14704"/>
  <c r="K245" i="14704"/>
  <c r="N219" i="14704"/>
  <c r="I230" i="14704"/>
  <c r="E37" i="14704"/>
  <c r="F34" i="14704"/>
  <c r="F39" i="14704"/>
  <c r="M38" i="14704"/>
  <c r="P220" i="14704"/>
  <c r="P245" i="14704"/>
  <c r="U132" i="14704"/>
  <c r="C35" i="14704"/>
  <c r="I32" i="14704"/>
  <c r="K34" i="14704"/>
  <c r="M33" i="14704"/>
  <c r="G33" i="14704"/>
  <c r="H38" i="14704"/>
  <c r="M35" i="14704"/>
  <c r="O117" i="14704"/>
  <c r="V79" i="14698"/>
  <c r="J156" i="14704"/>
  <c r="N121" i="14704"/>
  <c r="H194" i="14704"/>
  <c r="P243" i="14704"/>
  <c r="Q189" i="14704"/>
  <c r="O240" i="14704"/>
  <c r="J193" i="14704"/>
  <c r="E192" i="14704"/>
  <c r="S188" i="14704"/>
  <c r="J244" i="14704"/>
  <c r="O190" i="14704"/>
  <c r="M166" i="14704"/>
  <c r="I159" i="14704"/>
  <c r="J152" i="14704"/>
  <c r="T242" i="14704"/>
  <c r="U168" i="14704"/>
  <c r="Q117" i="14704"/>
  <c r="V78" i="14698"/>
  <c r="P156" i="14704"/>
  <c r="J121" i="14704"/>
  <c r="I194" i="14704"/>
  <c r="X149" i="14698" a="1"/>
  <c r="X154" i="14698" s="1"/>
  <c r="H243" i="14704"/>
  <c r="T207" i="14698" a="1"/>
  <c r="T213" i="14698" s="1"/>
  <c r="J189" i="14704"/>
  <c r="R240" i="14704"/>
  <c r="F193" i="14704"/>
  <c r="N192" i="14704"/>
  <c r="T188" i="14704"/>
  <c r="R244" i="14704"/>
  <c r="M190" i="14704"/>
  <c r="X166" i="14704"/>
  <c r="K159" i="14704"/>
  <c r="R227" i="14698" a="1"/>
  <c r="R230" i="14698" s="1"/>
  <c r="R152" i="14704"/>
  <c r="I242" i="14704"/>
  <c r="L168" i="14704"/>
  <c r="H117" i="14704"/>
  <c r="V84" i="14698"/>
  <c r="F156" i="14704"/>
  <c r="O121" i="14704"/>
  <c r="M194" i="14704"/>
  <c r="I243" i="14704"/>
  <c r="S189" i="14704"/>
  <c r="M240" i="14704"/>
  <c r="M193" i="14704"/>
  <c r="L192" i="14704"/>
  <c r="I188" i="14704"/>
  <c r="Q244" i="14704"/>
  <c r="R190" i="14704"/>
  <c r="P166" i="14704"/>
  <c r="M159" i="14704"/>
  <c r="I152" i="14704"/>
  <c r="N242" i="14704"/>
  <c r="P168" i="14704"/>
  <c r="M117" i="14704"/>
  <c r="K156" i="14704"/>
  <c r="H121" i="14704"/>
  <c r="J194" i="14704"/>
  <c r="L178" i="14700"/>
  <c r="J243" i="14704"/>
  <c r="O189" i="14704"/>
  <c r="S240" i="14704"/>
  <c r="H193" i="14704"/>
  <c r="O192" i="14704"/>
  <c r="K188" i="14704"/>
  <c r="G244" i="14704"/>
  <c r="L190" i="14704"/>
  <c r="U166" i="14704"/>
  <c r="C159" i="14704"/>
  <c r="O159" i="14702" s="1"/>
  <c r="N152" i="14704"/>
  <c r="P242" i="14704"/>
  <c r="N168" i="14704"/>
  <c r="K117" i="14704"/>
  <c r="L156" i="14704"/>
  <c r="M121" i="14704"/>
  <c r="C194" i="14704"/>
  <c r="O243" i="14704"/>
  <c r="T135" i="14698" a="1"/>
  <c r="T139" i="14698" s="1"/>
  <c r="K189" i="14704"/>
  <c r="V240" i="14704"/>
  <c r="D193" i="14704"/>
  <c r="J192" i="14704"/>
  <c r="P188" i="14704"/>
  <c r="H250" i="14700"/>
  <c r="M244" i="14704"/>
  <c r="K190" i="14704"/>
  <c r="R166" i="14704"/>
  <c r="E159" i="14704"/>
  <c r="I160" i="14700"/>
  <c r="L152" i="14704"/>
  <c r="J242" i="14704"/>
  <c r="S168" i="14704"/>
  <c r="I117" i="14704"/>
  <c r="H156" i="14704"/>
  <c r="K121" i="14704"/>
  <c r="E194" i="14704"/>
  <c r="Q243" i="14704"/>
  <c r="D42" i="14622"/>
  <c r="H189" i="14704"/>
  <c r="T240" i="14704"/>
  <c r="I193" i="14704"/>
  <c r="G192" i="14704"/>
  <c r="Y130" i="14698" a="1"/>
  <c r="Y141" i="14698" s="1"/>
  <c r="O188" i="14704"/>
  <c r="P244" i="14704"/>
  <c r="H190" i="14704"/>
  <c r="Q166" i="14704"/>
  <c r="Y202" i="14698" a="1"/>
  <c r="Y207" i="14698" s="1"/>
  <c r="D159" i="14704"/>
  <c r="M152" i="14704"/>
  <c r="L242" i="14704"/>
  <c r="K168" i="14704"/>
  <c r="B87" i="14700"/>
  <c r="P189" i="14704"/>
  <c r="Q240" i="14704"/>
  <c r="L85" i="14704"/>
  <c r="G193" i="14704"/>
  <c r="H192" i="14704"/>
  <c r="Q188" i="14704"/>
  <c r="N244" i="14704"/>
  <c r="N190" i="14704"/>
  <c r="N166" i="14704"/>
  <c r="G159" i="14704"/>
  <c r="S152" i="14704"/>
  <c r="Q242" i="14704"/>
  <c r="T168" i="14704"/>
  <c r="S117" i="14704"/>
  <c r="V80" i="14698"/>
  <c r="E156" i="14704"/>
  <c r="L121" i="14704"/>
  <c r="N194" i="14704"/>
  <c r="K243" i="14704"/>
  <c r="L189" i="14704"/>
  <c r="K240" i="14704"/>
  <c r="N193" i="14704"/>
  <c r="P192" i="14704"/>
  <c r="N188" i="14704"/>
  <c r="L244" i="14704"/>
  <c r="G190" i="14704"/>
  <c r="W166" i="14704"/>
  <c r="K160" i="14700"/>
  <c r="L159" i="14704"/>
  <c r="O242" i="14704"/>
  <c r="M168" i="14704"/>
  <c r="P201" i="14701"/>
  <c r="X201" i="14701"/>
  <c r="N201" i="14701"/>
  <c r="Q201" i="14701"/>
  <c r="T201" i="14701"/>
  <c r="O201" i="14701"/>
  <c r="S201" i="14701"/>
  <c r="R201" i="14701"/>
  <c r="V201" i="14701"/>
  <c r="U201" i="14701"/>
  <c r="Y201" i="14701"/>
  <c r="W201" i="14701"/>
  <c r="O154" i="14701"/>
  <c r="H154" i="14701"/>
  <c r="I154" i="14701"/>
  <c r="L154" i="14701"/>
  <c r="R154" i="14701"/>
  <c r="K154" i="14701"/>
  <c r="J154" i="14701"/>
  <c r="P154" i="14701"/>
  <c r="N154" i="14701"/>
  <c r="Q154" i="14701"/>
  <c r="G154" i="14701"/>
  <c r="M154" i="14701"/>
  <c r="Q187" i="14701"/>
  <c r="J187" i="14701"/>
  <c r="S187" i="14701"/>
  <c r="K187" i="14701"/>
  <c r="P187" i="14701"/>
  <c r="N187" i="14701"/>
  <c r="T187" i="14701"/>
  <c r="R187" i="14701"/>
  <c r="O187" i="14701"/>
  <c r="M187" i="14701"/>
  <c r="U187" i="14701"/>
  <c r="L187" i="14701"/>
  <c r="K141" i="14701"/>
  <c r="M141" i="14701"/>
  <c r="L141" i="14701"/>
  <c r="E141" i="14701"/>
  <c r="H141" i="14701"/>
  <c r="F141" i="14701"/>
  <c r="J141" i="14701"/>
  <c r="D141" i="14701"/>
  <c r="C141" i="14701"/>
  <c r="O141" i="14700" s="1"/>
  <c r="G141" i="14701"/>
  <c r="I141" i="14701"/>
  <c r="B141" i="14701"/>
  <c r="P226" i="14701"/>
  <c r="Q226" i="14701"/>
  <c r="M226" i="14701"/>
  <c r="J226" i="14701"/>
  <c r="N226" i="14701"/>
  <c r="R226" i="14701"/>
  <c r="L226" i="14701"/>
  <c r="H226" i="14701"/>
  <c r="I226" i="14701"/>
  <c r="O226" i="14701"/>
  <c r="G226" i="14701"/>
  <c r="K226" i="14701"/>
  <c r="K85" i="14701"/>
  <c r="W75" i="14700" a="1"/>
  <c r="I85" i="14701"/>
  <c r="U77" i="14700" a="1"/>
  <c r="G118" i="14701"/>
  <c r="R118" i="14701"/>
  <c r="M118" i="14701"/>
  <c r="K118" i="14701"/>
  <c r="J118" i="14701"/>
  <c r="I118" i="14701"/>
  <c r="P118" i="14701"/>
  <c r="H118" i="14701"/>
  <c r="N118" i="14701"/>
  <c r="Q118" i="14701"/>
  <c r="L118" i="14701"/>
  <c r="O118" i="14701"/>
  <c r="I176" i="14701"/>
  <c r="L176" i="14701"/>
  <c r="J176" i="14701"/>
  <c r="C176" i="14701"/>
  <c r="N176" i="14701"/>
  <c r="D176" i="14701"/>
  <c r="E176" i="14701"/>
  <c r="H176" i="14701"/>
  <c r="K176" i="14701"/>
  <c r="M176" i="14701"/>
  <c r="G176" i="14701"/>
  <c r="F176" i="14701"/>
  <c r="L211" i="14701"/>
  <c r="I211" i="14701"/>
  <c r="K211" i="14701"/>
  <c r="G211" i="14701"/>
  <c r="N211" i="14701"/>
  <c r="O211" i="14701"/>
  <c r="F211" i="14701"/>
  <c r="M211" i="14701"/>
  <c r="H211" i="14701"/>
  <c r="J211" i="14701"/>
  <c r="E211" i="14701"/>
  <c r="D211" i="14701"/>
  <c r="I158" i="14701"/>
  <c r="F158" i="14701"/>
  <c r="C158" i="14701"/>
  <c r="N158" i="14701"/>
  <c r="J158" i="14701"/>
  <c r="D158" i="14701"/>
  <c r="L158" i="14701"/>
  <c r="M158" i="14701"/>
  <c r="K158" i="14701"/>
  <c r="G158" i="14701"/>
  <c r="H158" i="14701"/>
  <c r="E158" i="14701"/>
  <c r="B249" i="14702" a="1"/>
  <c r="D247" i="14702" a="1"/>
  <c r="C248" i="14702" a="1"/>
  <c r="H243" i="14702" a="1"/>
  <c r="G244" i="14702" a="1"/>
  <c r="M238" i="14702" a="1"/>
  <c r="I242" i="14702" a="1"/>
  <c r="E246" i="14702" a="1"/>
  <c r="J241" i="14702" a="1"/>
  <c r="F245" i="14702" a="1"/>
  <c r="K240" i="14702" a="1"/>
  <c r="N237" i="14702" a="1"/>
  <c r="N27" i="14702"/>
  <c r="L239" i="14702" a="1"/>
  <c r="P184" i="14701"/>
  <c r="O184" i="14701"/>
  <c r="V184" i="14701"/>
  <c r="R184" i="14701"/>
  <c r="N184" i="14701"/>
  <c r="X184" i="14701"/>
  <c r="T184" i="14701"/>
  <c r="U184" i="14701"/>
  <c r="W184" i="14701"/>
  <c r="S184" i="14701"/>
  <c r="M184" i="14701"/>
  <c r="Q184" i="14701"/>
  <c r="P138" i="14701"/>
  <c r="I138" i="14701"/>
  <c r="G138" i="14701"/>
  <c r="L138" i="14701"/>
  <c r="H138" i="14701"/>
  <c r="E138" i="14701"/>
  <c r="O138" i="14701"/>
  <c r="N138" i="14701"/>
  <c r="K138" i="14701"/>
  <c r="J138" i="14701"/>
  <c r="F138" i="14701"/>
  <c r="M138" i="14701"/>
  <c r="I228" i="14701"/>
  <c r="L228" i="14701"/>
  <c r="K228" i="14701"/>
  <c r="E228" i="14701"/>
  <c r="H228" i="14701"/>
  <c r="M228" i="14701"/>
  <c r="N228" i="14701"/>
  <c r="P228" i="14701"/>
  <c r="G228" i="14701"/>
  <c r="O228" i="14701"/>
  <c r="F228" i="14701"/>
  <c r="J228" i="14701"/>
  <c r="I245" i="14701"/>
  <c r="M245" i="14701"/>
  <c r="O245" i="14701"/>
  <c r="J245" i="14701"/>
  <c r="G245" i="14701"/>
  <c r="N245" i="14701"/>
  <c r="Q245" i="14701"/>
  <c r="L245" i="14701"/>
  <c r="K245" i="14701"/>
  <c r="F245" i="14701"/>
  <c r="H245" i="14701"/>
  <c r="P245" i="14701"/>
  <c r="I243" i="14701"/>
  <c r="P243" i="14701"/>
  <c r="H243" i="14701"/>
  <c r="N243" i="14701"/>
  <c r="J243" i="14701"/>
  <c r="O243" i="14701"/>
  <c r="M243" i="14701"/>
  <c r="Q243" i="14701"/>
  <c r="K243" i="14701"/>
  <c r="R243" i="14701"/>
  <c r="L243" i="14701"/>
  <c r="S243" i="14701"/>
  <c r="G122" i="14701"/>
  <c r="J122" i="14701"/>
  <c r="I122" i="14701"/>
  <c r="C122" i="14701"/>
  <c r="L122" i="14701"/>
  <c r="M122" i="14701"/>
  <c r="E122" i="14701"/>
  <c r="N122" i="14701"/>
  <c r="F122" i="14701"/>
  <c r="H122" i="14701"/>
  <c r="D122" i="14701"/>
  <c r="K122" i="14701"/>
  <c r="E79" i="14643" a="1"/>
  <c r="G34" i="14683" a="1"/>
  <c r="T165" i="14701"/>
  <c r="N165" i="14701"/>
  <c r="U165" i="14701"/>
  <c r="S165" i="14701"/>
  <c r="X165" i="14701"/>
  <c r="P165" i="14701"/>
  <c r="R165" i="14701"/>
  <c r="V165" i="14701"/>
  <c r="W165" i="14701"/>
  <c r="Q165" i="14701"/>
  <c r="O165" i="14701"/>
  <c r="Y165" i="14701"/>
  <c r="K208" i="14701"/>
  <c r="Q208" i="14701"/>
  <c r="O208" i="14701"/>
  <c r="G208" i="14701"/>
  <c r="L208" i="14701"/>
  <c r="H208" i="14701"/>
  <c r="J208" i="14701"/>
  <c r="P208" i="14701"/>
  <c r="I208" i="14701"/>
  <c r="R208" i="14701"/>
  <c r="N208" i="14701"/>
  <c r="M208" i="14701"/>
  <c r="V150" i="14701"/>
  <c r="U150" i="14701"/>
  <c r="M150" i="14701"/>
  <c r="Q150" i="14701"/>
  <c r="O150" i="14701"/>
  <c r="T150" i="14701"/>
  <c r="L150" i="14701"/>
  <c r="N150" i="14701"/>
  <c r="K150" i="14701"/>
  <c r="S150" i="14701"/>
  <c r="P150" i="14701"/>
  <c r="R150" i="14701"/>
  <c r="U148" i="14701"/>
  <c r="S148" i="14701"/>
  <c r="V148" i="14701"/>
  <c r="P148" i="14701"/>
  <c r="N148" i="14701"/>
  <c r="X148" i="14701"/>
  <c r="Q148" i="14701"/>
  <c r="M148" i="14701"/>
  <c r="T148" i="14701"/>
  <c r="R148" i="14701"/>
  <c r="O148" i="14701"/>
  <c r="W148" i="14701"/>
  <c r="L221" i="14702" a="1"/>
  <c r="C230" i="14702" a="1"/>
  <c r="F227" i="14702" a="1"/>
  <c r="H225" i="14702" a="1"/>
  <c r="D229" i="14702" a="1"/>
  <c r="G226" i="14702" a="1"/>
  <c r="N219" i="14702" a="1"/>
  <c r="J223" i="14702" a="1"/>
  <c r="I224" i="14702" a="1"/>
  <c r="B231" i="14702" a="1"/>
  <c r="E228" i="14702" a="1"/>
  <c r="N26" i="14702"/>
  <c r="M220" i="14702" a="1"/>
  <c r="K222" i="14702" a="1"/>
  <c r="K79" i="14702" a="1"/>
  <c r="K79" i="14702" s="1"/>
  <c r="J80" i="14702" a="1"/>
  <c r="J80" i="14702" s="1"/>
  <c r="F28" i="14702"/>
  <c r="L78" i="14702" a="1"/>
  <c r="L78" i="14702" s="1"/>
  <c r="M77" i="14702" a="1"/>
  <c r="M77" i="14702" s="1"/>
  <c r="Q73" i="14702" a="1"/>
  <c r="Q73" i="14702" s="1"/>
  <c r="R72" i="14702" a="1"/>
  <c r="R72" i="14702" s="1"/>
  <c r="G83" i="14702" a="1"/>
  <c r="G83" i="14702" s="1"/>
  <c r="N76" i="14702" a="1"/>
  <c r="N76" i="14702" s="1"/>
  <c r="F84" i="14702" a="1"/>
  <c r="F84" i="14702" s="1"/>
  <c r="H82" i="14702" a="1"/>
  <c r="H82" i="14702" s="1"/>
  <c r="O75" i="14702" a="1"/>
  <c r="O75" i="14702" s="1"/>
  <c r="I81" i="14702" a="1"/>
  <c r="I81" i="14702" s="1"/>
  <c r="P74" i="14702" a="1"/>
  <c r="P74" i="14702" s="1"/>
  <c r="L189" i="14701"/>
  <c r="P189" i="14701"/>
  <c r="R189" i="14701"/>
  <c r="J189" i="14701"/>
  <c r="S189" i="14701"/>
  <c r="N189" i="14701"/>
  <c r="O189" i="14701"/>
  <c r="Q189" i="14701"/>
  <c r="I189" i="14701"/>
  <c r="M189" i="14701"/>
  <c r="K189" i="14701"/>
  <c r="H189" i="14701"/>
  <c r="P134" i="14701"/>
  <c r="T134" i="14701"/>
  <c r="M134" i="14701"/>
  <c r="R134" i="14701"/>
  <c r="O134" i="14701"/>
  <c r="J134" i="14701"/>
  <c r="K134" i="14701"/>
  <c r="I134" i="14701"/>
  <c r="Q134" i="14701"/>
  <c r="L134" i="14701"/>
  <c r="S134" i="14701"/>
  <c r="N134" i="14701"/>
  <c r="W220" i="14701"/>
  <c r="U220" i="14701"/>
  <c r="M220" i="14701"/>
  <c r="X220" i="14701"/>
  <c r="O220" i="14701"/>
  <c r="R220" i="14701"/>
  <c r="T220" i="14701"/>
  <c r="N220" i="14701"/>
  <c r="V220" i="14701"/>
  <c r="S220" i="14701"/>
  <c r="P220" i="14701"/>
  <c r="Q220" i="14701"/>
  <c r="L249" i="14701"/>
  <c r="F249" i="14701"/>
  <c r="J249" i="14701"/>
  <c r="B249" i="14701"/>
  <c r="I249" i="14701"/>
  <c r="M249" i="14701"/>
  <c r="H249" i="14701"/>
  <c r="C249" i="14701"/>
  <c r="O249" i="14700" s="1"/>
  <c r="E249" i="14701"/>
  <c r="K249" i="14701"/>
  <c r="G249" i="14701"/>
  <c r="D249" i="14701"/>
  <c r="I119" i="14701"/>
  <c r="G119" i="14701"/>
  <c r="H119" i="14701"/>
  <c r="F119" i="14701"/>
  <c r="O119" i="14701"/>
  <c r="N119" i="14701"/>
  <c r="J119" i="14701"/>
  <c r="P119" i="14701"/>
  <c r="K119" i="14701"/>
  <c r="Q119" i="14701"/>
  <c r="L119" i="14701"/>
  <c r="M119" i="14701"/>
  <c r="N28" i="14701"/>
  <c r="F13" i="14657" s="1"/>
  <c r="B9" i="14670" a="1"/>
  <c r="X111" i="14701"/>
  <c r="N111" i="14701"/>
  <c r="P111" i="14701"/>
  <c r="V111" i="14701"/>
  <c r="R111" i="14701"/>
  <c r="U111" i="14701"/>
  <c r="Q111" i="14701"/>
  <c r="W111" i="14701"/>
  <c r="T111" i="14701"/>
  <c r="O111" i="14701"/>
  <c r="Y111" i="14701"/>
  <c r="S111" i="14701"/>
  <c r="P169" i="14701"/>
  <c r="T169" i="14701"/>
  <c r="R169" i="14701"/>
  <c r="S169" i="14701"/>
  <c r="K169" i="14701"/>
  <c r="N169" i="14701"/>
  <c r="J169" i="14701"/>
  <c r="U169" i="14701"/>
  <c r="L169" i="14701"/>
  <c r="Q169" i="14701"/>
  <c r="O169" i="14701"/>
  <c r="M169" i="14701"/>
  <c r="K213" i="14701"/>
  <c r="G213" i="14701"/>
  <c r="L213" i="14701"/>
  <c r="E213" i="14701"/>
  <c r="H213" i="14701"/>
  <c r="J213" i="14701"/>
  <c r="C213" i="14701"/>
  <c r="O213" i="14700" s="1"/>
  <c r="D213" i="14701"/>
  <c r="B213" i="14701"/>
  <c r="I213" i="14701"/>
  <c r="M213" i="14701"/>
  <c r="F213" i="14701"/>
  <c r="R147" i="14701"/>
  <c r="S147" i="14701"/>
  <c r="Y147" i="14701"/>
  <c r="V147" i="14701"/>
  <c r="P147" i="14701"/>
  <c r="W147" i="14701"/>
  <c r="T147" i="14701"/>
  <c r="X147" i="14701"/>
  <c r="Q147" i="14701"/>
  <c r="U147" i="14701"/>
  <c r="O147" i="14701"/>
  <c r="N147" i="14701"/>
  <c r="E156" i="14701"/>
  <c r="L156" i="14701"/>
  <c r="G156" i="14701"/>
  <c r="M156" i="14701"/>
  <c r="H156" i="14701"/>
  <c r="P156" i="14701"/>
  <c r="I156" i="14701"/>
  <c r="K156" i="14701"/>
  <c r="F156" i="14701"/>
  <c r="J156" i="14701"/>
  <c r="N156" i="14701"/>
  <c r="O156" i="14701"/>
  <c r="M112" i="14702" a="1"/>
  <c r="E120" i="14702" a="1"/>
  <c r="I77" i="14702" a="1"/>
  <c r="I77" i="14702" s="1"/>
  <c r="B84" i="14702" a="1"/>
  <c r="B84" i="14702" s="1"/>
  <c r="J76" i="14702" a="1"/>
  <c r="J76" i="14702" s="1"/>
  <c r="H117" i="14702" a="1"/>
  <c r="K114" i="14702" a="1"/>
  <c r="C83" i="14702" a="1"/>
  <c r="C83" i="14702" s="1"/>
  <c r="L113" i="14702" a="1"/>
  <c r="F80" i="14702" a="1"/>
  <c r="F80" i="14702" s="1"/>
  <c r="D121" i="14702" a="1"/>
  <c r="E81" i="14702" a="1"/>
  <c r="E81" i="14702" s="1"/>
  <c r="C122" i="14702" a="1"/>
  <c r="M73" i="14702" a="1"/>
  <c r="M73" i="14702" s="1"/>
  <c r="G79" i="14702" a="1"/>
  <c r="G79" i="14702" s="1"/>
  <c r="N72" i="14702" a="1"/>
  <c r="N72" i="14702" s="1"/>
  <c r="B123" i="14702" a="1"/>
  <c r="F119" i="14702" a="1"/>
  <c r="J115" i="14702" a="1"/>
  <c r="G118" i="14702" a="1"/>
  <c r="H78" i="14702" a="1"/>
  <c r="H78" i="14702" s="1"/>
  <c r="N20" i="14702"/>
  <c r="L74" i="14702" a="1"/>
  <c r="L74" i="14702" s="1"/>
  <c r="B28" i="14702"/>
  <c r="K75" i="14702" a="1"/>
  <c r="K75" i="14702" s="1"/>
  <c r="B32" i="14702" a="1"/>
  <c r="I116" i="14702" a="1"/>
  <c r="N111" i="14702" a="1"/>
  <c r="D82" i="14702" a="1"/>
  <c r="D82" i="14702" s="1"/>
  <c r="K80" i="14702" a="1"/>
  <c r="K80" i="14702" s="1"/>
  <c r="L79" i="14702" a="1"/>
  <c r="L79" i="14702" s="1"/>
  <c r="S72" i="14702" a="1"/>
  <c r="S72" i="14702" s="1"/>
  <c r="R73" i="14702" a="1"/>
  <c r="R73" i="14702" s="1"/>
  <c r="H83" i="14702" a="1"/>
  <c r="H83" i="14702" s="1"/>
  <c r="I82" i="14702" a="1"/>
  <c r="I82" i="14702" s="1"/>
  <c r="G84" i="14702" a="1"/>
  <c r="G84" i="14702" s="1"/>
  <c r="G28" i="14702"/>
  <c r="J81" i="14702" a="1"/>
  <c r="J81" i="14702" s="1"/>
  <c r="N77" i="14702" a="1"/>
  <c r="N77" i="14702" s="1"/>
  <c r="O76" i="14702" a="1"/>
  <c r="O76" i="14702" s="1"/>
  <c r="P75" i="14702" a="1"/>
  <c r="P75" i="14702" s="1"/>
  <c r="Q74" i="14702" a="1"/>
  <c r="Q74" i="14702" s="1"/>
  <c r="M78" i="14702" a="1"/>
  <c r="M78" i="14702" s="1"/>
  <c r="G194" i="14701"/>
  <c r="C194" i="14701"/>
  <c r="J194" i="14701"/>
  <c r="L194" i="14701"/>
  <c r="N194" i="14701"/>
  <c r="H194" i="14701"/>
  <c r="E194" i="14701"/>
  <c r="F194" i="14701"/>
  <c r="I194" i="14701"/>
  <c r="M194" i="14701"/>
  <c r="D194" i="14701"/>
  <c r="K194" i="14701"/>
  <c r="K133" i="14701"/>
  <c r="Q133" i="14701"/>
  <c r="O133" i="14701"/>
  <c r="L133" i="14701"/>
  <c r="J133" i="14701"/>
  <c r="R133" i="14701"/>
  <c r="M133" i="14701"/>
  <c r="U133" i="14701"/>
  <c r="N133" i="14701"/>
  <c r="T133" i="14701"/>
  <c r="S133" i="14701"/>
  <c r="P133" i="14701"/>
  <c r="R225" i="14701"/>
  <c r="J225" i="14701"/>
  <c r="I225" i="14701"/>
  <c r="N225" i="14701"/>
  <c r="M225" i="14701"/>
  <c r="Q225" i="14701"/>
  <c r="H225" i="14701"/>
  <c r="K225" i="14701"/>
  <c r="S225" i="14701"/>
  <c r="P225" i="14701"/>
  <c r="L225" i="14701"/>
  <c r="O225" i="14701"/>
  <c r="X238" i="14701"/>
  <c r="P238" i="14701"/>
  <c r="W238" i="14701"/>
  <c r="Q238" i="14701"/>
  <c r="T238" i="14701"/>
  <c r="M238" i="14701"/>
  <c r="S238" i="14701"/>
  <c r="V238" i="14701"/>
  <c r="R238" i="14701"/>
  <c r="U238" i="14701"/>
  <c r="N238" i="14701"/>
  <c r="O238" i="14701"/>
  <c r="I121" i="14701"/>
  <c r="M121" i="14701"/>
  <c r="J121" i="14701"/>
  <c r="H121" i="14701"/>
  <c r="K121" i="14701"/>
  <c r="G121" i="14701"/>
  <c r="N121" i="14701"/>
  <c r="F121" i="14701"/>
  <c r="O121" i="14701"/>
  <c r="L121" i="14701"/>
  <c r="E121" i="14701"/>
  <c r="D121" i="14701"/>
  <c r="J116" i="14701"/>
  <c r="R116" i="14701"/>
  <c r="I116" i="14701"/>
  <c r="S116" i="14701"/>
  <c r="O116" i="14701"/>
  <c r="N116" i="14701"/>
  <c r="M116" i="14701"/>
  <c r="P116" i="14701"/>
  <c r="K116" i="14701"/>
  <c r="L116" i="14701"/>
  <c r="T116" i="14701"/>
  <c r="Q116" i="14701"/>
  <c r="N114" i="14701"/>
  <c r="M114" i="14701"/>
  <c r="L114" i="14701"/>
  <c r="U114" i="14701"/>
  <c r="K114" i="14701"/>
  <c r="V114" i="14701"/>
  <c r="P114" i="14701"/>
  <c r="S114" i="14701"/>
  <c r="T114" i="14701"/>
  <c r="Q114" i="14701"/>
  <c r="O114" i="14701"/>
  <c r="R114" i="14701"/>
  <c r="Q172" i="14701"/>
  <c r="M172" i="14701"/>
  <c r="L172" i="14701"/>
  <c r="K172" i="14701"/>
  <c r="G172" i="14701"/>
  <c r="I172" i="14701"/>
  <c r="H172" i="14701"/>
  <c r="P172" i="14701"/>
  <c r="J172" i="14701"/>
  <c r="O172" i="14701"/>
  <c r="R172" i="14701"/>
  <c r="N172" i="14701"/>
  <c r="P207" i="14701"/>
  <c r="Q207" i="14701"/>
  <c r="M207" i="14701"/>
  <c r="S207" i="14701"/>
  <c r="H207" i="14701"/>
  <c r="L207" i="14701"/>
  <c r="N207" i="14701"/>
  <c r="O207" i="14701"/>
  <c r="R207" i="14701"/>
  <c r="I207" i="14701"/>
  <c r="J207" i="14701"/>
  <c r="K207" i="14701"/>
  <c r="J159" i="14701"/>
  <c r="F159" i="14701"/>
  <c r="H159" i="14701"/>
  <c r="M159" i="14701"/>
  <c r="K159" i="14701"/>
  <c r="G159" i="14701"/>
  <c r="D159" i="14701"/>
  <c r="E159" i="14701"/>
  <c r="I159" i="14701"/>
  <c r="C159" i="14701"/>
  <c r="O159" i="14700" s="1"/>
  <c r="B159" i="14701"/>
  <c r="L159" i="14701"/>
  <c r="N147" i="14702" a="1"/>
  <c r="M148" i="14702" a="1"/>
  <c r="D157" i="14702" a="1"/>
  <c r="F155" i="14702" a="1"/>
  <c r="N22" i="14702"/>
  <c r="L149" i="14702" a="1"/>
  <c r="H153" i="14702" a="1"/>
  <c r="E156" i="14702" a="1"/>
  <c r="I152" i="14702" a="1"/>
  <c r="J151" i="14702" a="1"/>
  <c r="B159" i="14702" a="1"/>
  <c r="C158" i="14702" a="1"/>
  <c r="G154" i="14702" a="1"/>
  <c r="K150" i="14702" a="1"/>
  <c r="P77" i="14702" a="1"/>
  <c r="P77" i="14702" s="1"/>
  <c r="M80" i="14702" a="1"/>
  <c r="M80" i="14702" s="1"/>
  <c r="K82" i="14702" a="1"/>
  <c r="K82" i="14702" s="1"/>
  <c r="T73" i="14702" a="1"/>
  <c r="T73" i="14702" s="1"/>
  <c r="R75" i="14702" a="1"/>
  <c r="R75" i="14702" s="1"/>
  <c r="Q76" i="14702" a="1"/>
  <c r="Q76" i="14702" s="1"/>
  <c r="J83" i="14702" a="1"/>
  <c r="J83" i="14702" s="1"/>
  <c r="U72" i="14702" a="1"/>
  <c r="U72" i="14702" s="1"/>
  <c r="I84" i="14702" a="1"/>
  <c r="I84" i="14702" s="1"/>
  <c r="L81" i="14702" a="1"/>
  <c r="L81" i="14702" s="1"/>
  <c r="O78" i="14702" a="1"/>
  <c r="O78" i="14702" s="1"/>
  <c r="S74" i="14702" a="1"/>
  <c r="S74" i="14702" s="1"/>
  <c r="N79" i="14702" a="1"/>
  <c r="N79" i="14702" s="1"/>
  <c r="I28" i="14702"/>
  <c r="K188" i="14701"/>
  <c r="J188" i="14701"/>
  <c r="I188" i="14701"/>
  <c r="O188" i="14701"/>
  <c r="S188" i="14701"/>
  <c r="P188" i="14701"/>
  <c r="L188" i="14701"/>
  <c r="T188" i="14701"/>
  <c r="R188" i="14701"/>
  <c r="M188" i="14701"/>
  <c r="Q188" i="14701"/>
  <c r="N188" i="14701"/>
  <c r="M130" i="14701"/>
  <c r="V130" i="14701"/>
  <c r="U130" i="14701"/>
  <c r="X130" i="14701"/>
  <c r="W130" i="14701"/>
  <c r="T130" i="14701"/>
  <c r="Q130" i="14701"/>
  <c r="R130" i="14701"/>
  <c r="S130" i="14701"/>
  <c r="O130" i="14701"/>
  <c r="N130" i="14701"/>
  <c r="P130" i="14701"/>
  <c r="G229" i="14701"/>
  <c r="L229" i="14701"/>
  <c r="O229" i="14701"/>
  <c r="F229" i="14701"/>
  <c r="N229" i="14701"/>
  <c r="H229" i="14701"/>
  <c r="J229" i="14701"/>
  <c r="E229" i="14701"/>
  <c r="M229" i="14701"/>
  <c r="K229" i="14701"/>
  <c r="I229" i="14701"/>
  <c r="D229" i="14701"/>
  <c r="Q241" i="14701"/>
  <c r="S241" i="14701"/>
  <c r="J241" i="14701"/>
  <c r="K241" i="14701"/>
  <c r="O241" i="14701"/>
  <c r="L241" i="14701"/>
  <c r="U241" i="14701"/>
  <c r="P241" i="14701"/>
  <c r="T241" i="14701"/>
  <c r="R241" i="14701"/>
  <c r="N241" i="14701"/>
  <c r="M241" i="14701"/>
  <c r="Y73" i="14700" a="1"/>
  <c r="M85" i="14701"/>
  <c r="H85" i="14701"/>
  <c r="T78" i="14700" a="1"/>
  <c r="S167" i="14701"/>
  <c r="O167" i="14701"/>
  <c r="N167" i="14701"/>
  <c r="Q167" i="14701"/>
  <c r="W167" i="14701"/>
  <c r="T167" i="14701"/>
  <c r="M167" i="14701"/>
  <c r="R167" i="14701"/>
  <c r="P167" i="14701"/>
  <c r="V167" i="14701"/>
  <c r="U167" i="14701"/>
  <c r="L167" i="14701"/>
  <c r="N210" i="14701"/>
  <c r="G210" i="14701"/>
  <c r="O210" i="14701"/>
  <c r="I210" i="14701"/>
  <c r="H210" i="14701"/>
  <c r="K210" i="14701"/>
  <c r="F210" i="14701"/>
  <c r="E210" i="14701"/>
  <c r="M210" i="14701"/>
  <c r="L210" i="14701"/>
  <c r="J210" i="14701"/>
  <c r="P210" i="14701"/>
  <c r="M202" i="14702" a="1"/>
  <c r="C212" i="14702" a="1"/>
  <c r="I206" i="14702" a="1"/>
  <c r="H207" i="14702" a="1"/>
  <c r="N25" i="14702"/>
  <c r="D211" i="14702" a="1"/>
  <c r="B213" i="14702" a="1"/>
  <c r="N201" i="14702" a="1"/>
  <c r="K204" i="14702" a="1"/>
  <c r="E210" i="14702" a="1"/>
  <c r="L203" i="14702" a="1"/>
  <c r="F209" i="14702" a="1"/>
  <c r="G208" i="14702" a="1"/>
  <c r="J205" i="14702" a="1"/>
  <c r="F137" i="14702" a="1"/>
  <c r="G136" i="14702" a="1"/>
  <c r="N129" i="14702" a="1"/>
  <c r="C140" i="14702" a="1"/>
  <c r="H135" i="14702" a="1"/>
  <c r="B141" i="14702" a="1"/>
  <c r="E138" i="14702" a="1"/>
  <c r="I134" i="14702" a="1"/>
  <c r="J133" i="14702" a="1"/>
  <c r="M130" i="14702" a="1"/>
  <c r="N21" i="14702"/>
  <c r="L131" i="14702" a="1"/>
  <c r="D139" i="14702" a="1"/>
  <c r="K132" i="14702" a="1"/>
  <c r="P192" i="14701"/>
  <c r="G192" i="14701"/>
  <c r="O192" i="14701"/>
  <c r="M192" i="14701"/>
  <c r="J192" i="14701"/>
  <c r="I192" i="14701"/>
  <c r="H192" i="14701"/>
  <c r="N192" i="14701"/>
  <c r="F192" i="14701"/>
  <c r="E192" i="14701"/>
  <c r="L192" i="14701"/>
  <c r="K192" i="14701"/>
  <c r="I231" i="14701"/>
  <c r="B231" i="14701"/>
  <c r="F231" i="14701"/>
  <c r="M231" i="14701"/>
  <c r="J231" i="14701"/>
  <c r="E231" i="14701"/>
  <c r="D231" i="14701"/>
  <c r="C231" i="14701"/>
  <c r="O231" i="14700" s="1"/>
  <c r="G231" i="14701"/>
  <c r="L231" i="14701"/>
  <c r="K231" i="14701"/>
  <c r="H231" i="14701"/>
  <c r="M246" i="14701"/>
  <c r="L246" i="14701"/>
  <c r="K246" i="14701"/>
  <c r="O246" i="14701"/>
  <c r="N246" i="14701"/>
  <c r="G246" i="14701"/>
  <c r="E246" i="14701"/>
  <c r="F246" i="14701"/>
  <c r="J246" i="14701"/>
  <c r="P246" i="14701"/>
  <c r="I246" i="14701"/>
  <c r="H246" i="14701"/>
  <c r="X74" i="14700" a="1"/>
  <c r="L85" i="14701"/>
  <c r="Q81" i="14700" a="1"/>
  <c r="E85" i="14701"/>
  <c r="P112" i="14701"/>
  <c r="R112" i="14701"/>
  <c r="X112" i="14701"/>
  <c r="N112" i="14701"/>
  <c r="W112" i="14701"/>
  <c r="S112" i="14701"/>
  <c r="O112" i="14701"/>
  <c r="Q112" i="14701"/>
  <c r="M112" i="14701"/>
  <c r="U112" i="14701"/>
  <c r="T112" i="14701"/>
  <c r="V112" i="14701"/>
  <c r="T166" i="14701"/>
  <c r="X166" i="14701"/>
  <c r="P166" i="14701"/>
  <c r="S166" i="14701"/>
  <c r="M166" i="14701"/>
  <c r="O166" i="14701"/>
  <c r="V166" i="14701"/>
  <c r="Q166" i="14701"/>
  <c r="R166" i="14701"/>
  <c r="U166" i="14701"/>
  <c r="W166" i="14701"/>
  <c r="N166" i="14701"/>
  <c r="Q206" i="14701"/>
  <c r="M206" i="14701"/>
  <c r="T206" i="14701"/>
  <c r="O206" i="14701"/>
  <c r="J206" i="14701"/>
  <c r="S206" i="14701"/>
  <c r="K206" i="14701"/>
  <c r="P206" i="14701"/>
  <c r="N206" i="14701"/>
  <c r="L206" i="14701"/>
  <c r="R206" i="14701"/>
  <c r="I206" i="14701"/>
  <c r="M151" i="14701"/>
  <c r="P151" i="14701"/>
  <c r="Q151" i="14701"/>
  <c r="R151" i="14701"/>
  <c r="N151" i="14701"/>
  <c r="O151" i="14701"/>
  <c r="L151" i="14701"/>
  <c r="S151" i="14701"/>
  <c r="J151" i="14701"/>
  <c r="T151" i="14701"/>
  <c r="K151" i="14701"/>
  <c r="U151" i="14701"/>
  <c r="O79" i="14702" a="1"/>
  <c r="O79" i="14702" s="1"/>
  <c r="S75" i="14702" a="1"/>
  <c r="S75" i="14702" s="1"/>
  <c r="Q77" i="14702" a="1"/>
  <c r="Q77" i="14702" s="1"/>
  <c r="T74" i="14702" a="1"/>
  <c r="T74" i="14702" s="1"/>
  <c r="K83" i="14702" a="1"/>
  <c r="K83" i="14702" s="1"/>
  <c r="J28" i="14702"/>
  <c r="L82" i="14702" a="1"/>
  <c r="L82" i="14702" s="1"/>
  <c r="N80" i="14702" a="1"/>
  <c r="N80" i="14702" s="1"/>
  <c r="R76" i="14702" a="1"/>
  <c r="R76" i="14702" s="1"/>
  <c r="M81" i="14702" a="1"/>
  <c r="M81" i="14702" s="1"/>
  <c r="U73" i="14702" a="1"/>
  <c r="U73" i="14702" s="1"/>
  <c r="P78" i="14702" a="1"/>
  <c r="P78" i="14702" s="1"/>
  <c r="J84" i="14702" a="1"/>
  <c r="J84" i="14702" s="1"/>
  <c r="V72" i="14702" a="1"/>
  <c r="V72" i="14702" s="1"/>
  <c r="P191" i="14701"/>
  <c r="I191" i="14701"/>
  <c r="M191" i="14701"/>
  <c r="Q191" i="14701"/>
  <c r="H191" i="14701"/>
  <c r="K191" i="14701"/>
  <c r="G191" i="14701"/>
  <c r="J191" i="14701"/>
  <c r="O191" i="14701"/>
  <c r="L191" i="14701"/>
  <c r="F191" i="14701"/>
  <c r="N191" i="14701"/>
  <c r="C140" i="14701"/>
  <c r="H140" i="14701"/>
  <c r="G140" i="14701"/>
  <c r="K140" i="14701"/>
  <c r="N140" i="14701"/>
  <c r="D140" i="14701"/>
  <c r="F140" i="14701"/>
  <c r="E140" i="14701"/>
  <c r="M140" i="14701"/>
  <c r="L140" i="14701"/>
  <c r="I140" i="14701"/>
  <c r="J140" i="14701"/>
  <c r="M135" i="14701"/>
  <c r="O135" i="14701"/>
  <c r="N135" i="14701"/>
  <c r="J135" i="14701"/>
  <c r="H135" i="14701"/>
  <c r="P135" i="14701"/>
  <c r="R135" i="14701"/>
  <c r="I135" i="14701"/>
  <c r="Q135" i="14701"/>
  <c r="L135" i="14701"/>
  <c r="K135" i="14701"/>
  <c r="S135" i="14701"/>
  <c r="C230" i="14701"/>
  <c r="J230" i="14701"/>
  <c r="G230" i="14701"/>
  <c r="H230" i="14701"/>
  <c r="F230" i="14701"/>
  <c r="D230" i="14701"/>
  <c r="K230" i="14701"/>
  <c r="M230" i="14701"/>
  <c r="E230" i="14701"/>
  <c r="N230" i="14701"/>
  <c r="I230" i="14701"/>
  <c r="L230" i="14701"/>
  <c r="J242" i="14701"/>
  <c r="S242" i="14701"/>
  <c r="I242" i="14701"/>
  <c r="N242" i="14701"/>
  <c r="M242" i="14701"/>
  <c r="R242" i="14701"/>
  <c r="Q242" i="14701"/>
  <c r="O242" i="14701"/>
  <c r="L242" i="14701"/>
  <c r="P242" i="14701"/>
  <c r="T242" i="14701"/>
  <c r="K242" i="14701"/>
  <c r="N84" i="14700"/>
  <c r="N85" i="14700" s="1"/>
  <c r="B85" i="14701"/>
  <c r="V76" i="14700" a="1"/>
  <c r="J85" i="14701"/>
  <c r="M174" i="14701"/>
  <c r="H174" i="14701"/>
  <c r="G174" i="14701"/>
  <c r="E174" i="14701"/>
  <c r="N174" i="14701"/>
  <c r="O174" i="14701"/>
  <c r="J174" i="14701"/>
  <c r="I174" i="14701"/>
  <c r="P174" i="14701"/>
  <c r="K174" i="14701"/>
  <c r="L174" i="14701"/>
  <c r="F174" i="14701"/>
  <c r="V168" i="14701"/>
  <c r="R168" i="14701"/>
  <c r="Q168" i="14701"/>
  <c r="K168" i="14701"/>
  <c r="M168" i="14701"/>
  <c r="U168" i="14701"/>
  <c r="L168" i="14701"/>
  <c r="O168" i="14701"/>
  <c r="N168" i="14701"/>
  <c r="S168" i="14701"/>
  <c r="T168" i="14701"/>
  <c r="P168" i="14701"/>
  <c r="T204" i="14701"/>
  <c r="K204" i="14701"/>
  <c r="S204" i="14701"/>
  <c r="Q204" i="14701"/>
  <c r="M204" i="14701"/>
  <c r="U204" i="14701"/>
  <c r="N204" i="14701"/>
  <c r="O204" i="14701"/>
  <c r="P204" i="14701"/>
  <c r="V204" i="14701"/>
  <c r="R204" i="14701"/>
  <c r="L204" i="14701"/>
  <c r="J153" i="14701"/>
  <c r="I153" i="14701"/>
  <c r="N153" i="14701"/>
  <c r="P153" i="14701"/>
  <c r="O153" i="14701"/>
  <c r="K153" i="14701"/>
  <c r="R153" i="14701"/>
  <c r="Q153" i="14701"/>
  <c r="L153" i="14701"/>
  <c r="M153" i="14701"/>
  <c r="S153" i="14701"/>
  <c r="H153" i="14701"/>
  <c r="Q183" i="14701"/>
  <c r="V183" i="14701"/>
  <c r="O183" i="14701"/>
  <c r="R183" i="14701"/>
  <c r="Y183" i="14701"/>
  <c r="P183" i="14701"/>
  <c r="X183" i="14701"/>
  <c r="N183" i="14701"/>
  <c r="S183" i="14701"/>
  <c r="U183" i="14701"/>
  <c r="W183" i="14701"/>
  <c r="T183" i="14701"/>
  <c r="L136" i="14701"/>
  <c r="G136" i="14701"/>
  <c r="H136" i="14701"/>
  <c r="M136" i="14701"/>
  <c r="R136" i="14701"/>
  <c r="N136" i="14701"/>
  <c r="J136" i="14701"/>
  <c r="O136" i="14701"/>
  <c r="I136" i="14701"/>
  <c r="P136" i="14701"/>
  <c r="K136" i="14701"/>
  <c r="Q136" i="14701"/>
  <c r="V129" i="14701"/>
  <c r="W129" i="14701"/>
  <c r="X129" i="14701"/>
  <c r="Q129" i="14701"/>
  <c r="R129" i="14701"/>
  <c r="S129" i="14701"/>
  <c r="O129" i="14701"/>
  <c r="P129" i="14701"/>
  <c r="U129" i="14701"/>
  <c r="N129" i="14701"/>
  <c r="Y129" i="14701"/>
  <c r="T129" i="14701"/>
  <c r="H244" i="14701"/>
  <c r="R244" i="14701"/>
  <c r="L244" i="14701"/>
  <c r="O244" i="14701"/>
  <c r="P244" i="14701"/>
  <c r="N244" i="14701"/>
  <c r="K244" i="14701"/>
  <c r="J244" i="14701"/>
  <c r="Q244" i="14701"/>
  <c r="G244" i="14701"/>
  <c r="I244" i="14701"/>
  <c r="M244" i="14701"/>
  <c r="K120" i="14701"/>
  <c r="J120" i="14701"/>
  <c r="N120" i="14701"/>
  <c r="F120" i="14701"/>
  <c r="H120" i="14701"/>
  <c r="O120" i="14701"/>
  <c r="P120" i="14701"/>
  <c r="M120" i="14701"/>
  <c r="I120" i="14701"/>
  <c r="G120" i="14701"/>
  <c r="E120" i="14701"/>
  <c r="L120" i="14701"/>
  <c r="O83" i="14700" a="1"/>
  <c r="C85" i="14701"/>
  <c r="M177" i="14701"/>
  <c r="K177" i="14701"/>
  <c r="D177" i="14701"/>
  <c r="E177" i="14701"/>
  <c r="G177" i="14701"/>
  <c r="C177" i="14701"/>
  <c r="O177" i="14700" s="1"/>
  <c r="H177" i="14701"/>
  <c r="B177" i="14701"/>
  <c r="L177" i="14701"/>
  <c r="F177" i="14701"/>
  <c r="I177" i="14701"/>
  <c r="J177" i="14701"/>
  <c r="O175" i="14701"/>
  <c r="H175" i="14701"/>
  <c r="K175" i="14701"/>
  <c r="F175" i="14701"/>
  <c r="L175" i="14701"/>
  <c r="J175" i="14701"/>
  <c r="E175" i="14701"/>
  <c r="D175" i="14701"/>
  <c r="I175" i="14701"/>
  <c r="N175" i="14701"/>
  <c r="G175" i="14701"/>
  <c r="M175" i="14701"/>
  <c r="N205" i="14701"/>
  <c r="U205" i="14701"/>
  <c r="S205" i="14701"/>
  <c r="R205" i="14701"/>
  <c r="T205" i="14701"/>
  <c r="O205" i="14701"/>
  <c r="K205" i="14701"/>
  <c r="P205" i="14701"/>
  <c r="L205" i="14701"/>
  <c r="Q205" i="14701"/>
  <c r="M205" i="14701"/>
  <c r="J205" i="14701"/>
  <c r="P149" i="14701"/>
  <c r="L149" i="14701"/>
  <c r="S149" i="14701"/>
  <c r="U149" i="14701"/>
  <c r="R149" i="14701"/>
  <c r="N149" i="14701"/>
  <c r="O149" i="14701"/>
  <c r="T149" i="14701"/>
  <c r="M149" i="14701"/>
  <c r="V149" i="14701"/>
  <c r="Q149" i="14701"/>
  <c r="W149" i="14701"/>
  <c r="W72" i="14702" a="1"/>
  <c r="W72" i="14702" s="1"/>
  <c r="T75" i="14702" a="1"/>
  <c r="T75" i="14702" s="1"/>
  <c r="P79" i="14702" a="1"/>
  <c r="P79" i="14702" s="1"/>
  <c r="R77" i="14702" a="1"/>
  <c r="R77" i="14702" s="1"/>
  <c r="N81" i="14702" a="1"/>
  <c r="N81" i="14702" s="1"/>
  <c r="M82" i="14702" a="1"/>
  <c r="M82" i="14702" s="1"/>
  <c r="O80" i="14702" a="1"/>
  <c r="O80" i="14702" s="1"/>
  <c r="U74" i="14702" a="1"/>
  <c r="U74" i="14702" s="1"/>
  <c r="V73" i="14702" a="1"/>
  <c r="V73" i="14702" s="1"/>
  <c r="L83" i="14702" a="1"/>
  <c r="L83" i="14702" s="1"/>
  <c r="Q78" i="14702" a="1"/>
  <c r="Q78" i="14702" s="1"/>
  <c r="K28" i="14702"/>
  <c r="K84" i="14702" a="1"/>
  <c r="K84" i="14702" s="1"/>
  <c r="S76" i="14702" a="1"/>
  <c r="S76" i="14702" s="1"/>
  <c r="D84" i="14702" a="1"/>
  <c r="D84" i="14702" s="1"/>
  <c r="K77" i="14702" a="1"/>
  <c r="K77" i="14702" s="1"/>
  <c r="E83" i="14702" a="1"/>
  <c r="E83" i="14702" s="1"/>
  <c r="N74" i="14702" a="1"/>
  <c r="N74" i="14702" s="1"/>
  <c r="P72" i="14702" a="1"/>
  <c r="P72" i="14702" s="1"/>
  <c r="F82" i="14702" a="1"/>
  <c r="F82" i="14702" s="1"/>
  <c r="J78" i="14702" a="1"/>
  <c r="J78" i="14702" s="1"/>
  <c r="H80" i="14702" a="1"/>
  <c r="H80" i="14702" s="1"/>
  <c r="D28" i="14702"/>
  <c r="L76" i="14702" a="1"/>
  <c r="L76" i="14702" s="1"/>
  <c r="O73" i="14702" a="1"/>
  <c r="O73" i="14702" s="1"/>
  <c r="I79" i="14702" a="1"/>
  <c r="I79" i="14702" s="1"/>
  <c r="G81" i="14702" a="1"/>
  <c r="G81" i="14702" s="1"/>
  <c r="M75" i="14702" a="1"/>
  <c r="M75" i="14702" s="1"/>
  <c r="K139" i="14701"/>
  <c r="E139" i="14701"/>
  <c r="M139" i="14701"/>
  <c r="O139" i="14701"/>
  <c r="J139" i="14701"/>
  <c r="D139" i="14701"/>
  <c r="L139" i="14701"/>
  <c r="G139" i="14701"/>
  <c r="N139" i="14701"/>
  <c r="I139" i="14701"/>
  <c r="F139" i="14701"/>
  <c r="H139" i="14701"/>
  <c r="J9" i="14683"/>
  <c r="J6" i="14683"/>
  <c r="J11" i="14683"/>
  <c r="J12" i="14683"/>
  <c r="J10" i="14683"/>
  <c r="J13" i="14683"/>
  <c r="J7" i="14683"/>
  <c r="J8" i="14683"/>
  <c r="P222" i="14701"/>
  <c r="R222" i="14701"/>
  <c r="O222" i="14701"/>
  <c r="L222" i="14701"/>
  <c r="K222" i="14701"/>
  <c r="Q222" i="14701"/>
  <c r="T222" i="14701"/>
  <c r="U222" i="14701"/>
  <c r="V222" i="14701"/>
  <c r="M222" i="14701"/>
  <c r="N222" i="14701"/>
  <c r="S222" i="14701"/>
  <c r="X237" i="14701"/>
  <c r="V237" i="14701"/>
  <c r="R237" i="14701"/>
  <c r="W237" i="14701"/>
  <c r="S237" i="14701"/>
  <c r="T237" i="14701"/>
  <c r="O237" i="14701"/>
  <c r="Y237" i="14701"/>
  <c r="U237" i="14701"/>
  <c r="P237" i="14701"/>
  <c r="N237" i="14701"/>
  <c r="Q237" i="14701"/>
  <c r="R115" i="14701"/>
  <c r="T115" i="14701"/>
  <c r="N115" i="14701"/>
  <c r="L115" i="14701"/>
  <c r="M115" i="14701"/>
  <c r="S115" i="14701"/>
  <c r="U115" i="14701"/>
  <c r="K115" i="14701"/>
  <c r="Q115" i="14701"/>
  <c r="O115" i="14701"/>
  <c r="J115" i="14701"/>
  <c r="P115" i="14701"/>
  <c r="R113" i="14701"/>
  <c r="S113" i="14701"/>
  <c r="L113" i="14701"/>
  <c r="T113" i="14701"/>
  <c r="V113" i="14701"/>
  <c r="O113" i="14701"/>
  <c r="W113" i="14701"/>
  <c r="N113" i="14701"/>
  <c r="M113" i="14701"/>
  <c r="Q113" i="14701"/>
  <c r="P113" i="14701"/>
  <c r="U113" i="14701"/>
  <c r="S170" i="14701"/>
  <c r="R170" i="14701"/>
  <c r="J170" i="14701"/>
  <c r="L170" i="14701"/>
  <c r="K170" i="14701"/>
  <c r="N170" i="14701"/>
  <c r="T170" i="14701"/>
  <c r="Q170" i="14701"/>
  <c r="P170" i="14701"/>
  <c r="I170" i="14701"/>
  <c r="M170" i="14701"/>
  <c r="O170" i="14701"/>
  <c r="L209" i="14701"/>
  <c r="M209" i="14701"/>
  <c r="Q209" i="14701"/>
  <c r="G209" i="14701"/>
  <c r="J209" i="14701"/>
  <c r="H209" i="14701"/>
  <c r="O209" i="14701"/>
  <c r="K209" i="14701"/>
  <c r="N209" i="14701"/>
  <c r="P209" i="14701"/>
  <c r="F209" i="14701"/>
  <c r="I209" i="14701"/>
  <c r="S152" i="14701"/>
  <c r="N152" i="14701"/>
  <c r="K152" i="14701"/>
  <c r="M152" i="14701"/>
  <c r="L152" i="14701"/>
  <c r="P152" i="14701"/>
  <c r="R152" i="14701"/>
  <c r="Q152" i="14701"/>
  <c r="T152" i="14701"/>
  <c r="I152" i="14701"/>
  <c r="J152" i="14701"/>
  <c r="O152" i="14701"/>
  <c r="C28" i="14702"/>
  <c r="F81" i="14702" a="1"/>
  <c r="F81" i="14702" s="1"/>
  <c r="C84" i="14702" a="1"/>
  <c r="C84" i="14702" s="1"/>
  <c r="I78" i="14702" a="1"/>
  <c r="I78" i="14702" s="1"/>
  <c r="H79" i="14702" a="1"/>
  <c r="H79" i="14702" s="1"/>
  <c r="G80" i="14702" a="1"/>
  <c r="G80" i="14702" s="1"/>
  <c r="E82" i="14702" a="1"/>
  <c r="E82" i="14702" s="1"/>
  <c r="M74" i="14702" a="1"/>
  <c r="M74" i="14702" s="1"/>
  <c r="D83" i="14702" a="1"/>
  <c r="D83" i="14702" s="1"/>
  <c r="N73" i="14702" a="1"/>
  <c r="N73" i="14702" s="1"/>
  <c r="O72" i="14702" a="1"/>
  <c r="O72" i="14702" s="1"/>
  <c r="K76" i="14702" a="1"/>
  <c r="K76" i="14702" s="1"/>
  <c r="J77" i="14702" a="1"/>
  <c r="J77" i="14702" s="1"/>
  <c r="L75" i="14702" a="1"/>
  <c r="L75" i="14702" s="1"/>
  <c r="E28" i="14702"/>
  <c r="Q72" i="14702" a="1"/>
  <c r="Q72" i="14702" s="1"/>
  <c r="J79" i="14702" a="1"/>
  <c r="J79" i="14702" s="1"/>
  <c r="M76" i="14702" a="1"/>
  <c r="M76" i="14702" s="1"/>
  <c r="F83" i="14702" a="1"/>
  <c r="F83" i="14702" s="1"/>
  <c r="P73" i="14702" a="1"/>
  <c r="P73" i="14702" s="1"/>
  <c r="E84" i="14702" a="1"/>
  <c r="E84" i="14702" s="1"/>
  <c r="H81" i="14702" a="1"/>
  <c r="H81" i="14702" s="1"/>
  <c r="L77" i="14702" a="1"/>
  <c r="L77" i="14702" s="1"/>
  <c r="N75" i="14702" a="1"/>
  <c r="N75" i="14702" s="1"/>
  <c r="I80" i="14702" a="1"/>
  <c r="I80" i="14702" s="1"/>
  <c r="O74" i="14702" a="1"/>
  <c r="O74" i="14702" s="1"/>
  <c r="K78" i="14702" a="1"/>
  <c r="K78" i="14702" s="1"/>
  <c r="G82" i="14702" a="1"/>
  <c r="G82" i="14702" s="1"/>
  <c r="N83" i="14702" a="1"/>
  <c r="N83" i="14702" s="1"/>
  <c r="Y72" i="14702" a="1"/>
  <c r="Y72" i="14702" s="1"/>
  <c r="P81" i="14702" a="1"/>
  <c r="P81" i="14702" s="1"/>
  <c r="X73" i="14702" a="1"/>
  <c r="X73" i="14702" s="1"/>
  <c r="O82" i="14702" a="1"/>
  <c r="O82" i="14702" s="1"/>
  <c r="S78" i="14702" a="1"/>
  <c r="S78" i="14702" s="1"/>
  <c r="V75" i="14702" a="1"/>
  <c r="V75" i="14702" s="1"/>
  <c r="M84" i="14702" a="1"/>
  <c r="M84" i="14702" s="1"/>
  <c r="W74" i="14702" a="1"/>
  <c r="W74" i="14702" s="1"/>
  <c r="M28" i="14702"/>
  <c r="R79" i="14702" a="1"/>
  <c r="R79" i="14702" s="1"/>
  <c r="U76" i="14702" a="1"/>
  <c r="U76" i="14702" s="1"/>
  <c r="T77" i="14702" a="1"/>
  <c r="T77" i="14702" s="1"/>
  <c r="Q80" i="14702" a="1"/>
  <c r="Q80" i="14702" s="1"/>
  <c r="J187" i="14702" a="1"/>
  <c r="H189" i="14702" a="1"/>
  <c r="N183" i="14702" a="1"/>
  <c r="G190" i="14702" a="1"/>
  <c r="D193" i="14702" a="1"/>
  <c r="C194" i="14702" a="1"/>
  <c r="K186" i="14702" a="1"/>
  <c r="B195" i="14702" a="1"/>
  <c r="M184" i="14702" a="1"/>
  <c r="E192" i="14702" a="1"/>
  <c r="I188" i="14702" a="1"/>
  <c r="N24" i="14702"/>
  <c r="L185" i="14702" a="1"/>
  <c r="F191" i="14702" a="1"/>
  <c r="P186" i="14701"/>
  <c r="L186" i="14701"/>
  <c r="O186" i="14701"/>
  <c r="R186" i="14701"/>
  <c r="S186" i="14701"/>
  <c r="T186" i="14701"/>
  <c r="N186" i="14701"/>
  <c r="V186" i="14701"/>
  <c r="U186" i="14701"/>
  <c r="Q186" i="14701"/>
  <c r="M186" i="14701"/>
  <c r="K186" i="14701"/>
  <c r="H137" i="14701"/>
  <c r="F137" i="14701"/>
  <c r="G137" i="14701"/>
  <c r="M137" i="14701"/>
  <c r="O137" i="14701"/>
  <c r="N137" i="14701"/>
  <c r="K137" i="14701"/>
  <c r="L137" i="14701"/>
  <c r="I137" i="14701"/>
  <c r="J137" i="14701"/>
  <c r="Q137" i="14701"/>
  <c r="P137" i="14701"/>
  <c r="O224" i="14701"/>
  <c r="K224" i="14701"/>
  <c r="T224" i="14701"/>
  <c r="L224" i="14701"/>
  <c r="R224" i="14701"/>
  <c r="M224" i="14701"/>
  <c r="I224" i="14701"/>
  <c r="N224" i="14701"/>
  <c r="P224" i="14701"/>
  <c r="S224" i="14701"/>
  <c r="Q224" i="14701"/>
  <c r="J224" i="14701"/>
  <c r="W219" i="14701"/>
  <c r="N219" i="14701"/>
  <c r="R219" i="14701"/>
  <c r="X219" i="14701"/>
  <c r="V219" i="14701"/>
  <c r="P219" i="14701"/>
  <c r="Y219" i="14701"/>
  <c r="U219" i="14701"/>
  <c r="S219" i="14701"/>
  <c r="Q219" i="14701"/>
  <c r="O219" i="14701"/>
  <c r="T219" i="14701"/>
  <c r="D248" i="14701"/>
  <c r="J248" i="14701"/>
  <c r="I248" i="14701"/>
  <c r="F248" i="14701"/>
  <c r="N248" i="14701"/>
  <c r="G248" i="14701"/>
  <c r="E248" i="14701"/>
  <c r="H248" i="14701"/>
  <c r="L248" i="14701"/>
  <c r="C248" i="14701"/>
  <c r="M248" i="14701"/>
  <c r="K248" i="14701"/>
  <c r="K117" i="14701"/>
  <c r="Q117" i="14701"/>
  <c r="S117" i="14701"/>
  <c r="M117" i="14701"/>
  <c r="L117" i="14701"/>
  <c r="H117" i="14701"/>
  <c r="N117" i="14701"/>
  <c r="O117" i="14701"/>
  <c r="P117" i="14701"/>
  <c r="J117" i="14701"/>
  <c r="R117" i="14701"/>
  <c r="I117" i="14701"/>
  <c r="S79" i="14700" a="1"/>
  <c r="G85" i="14701"/>
  <c r="N202" i="14701"/>
  <c r="V202" i="14701"/>
  <c r="X202" i="14701"/>
  <c r="M202" i="14701"/>
  <c r="S202" i="14701"/>
  <c r="T202" i="14701"/>
  <c r="U202" i="14701"/>
  <c r="Q202" i="14701"/>
  <c r="P202" i="14701"/>
  <c r="R202" i="14701"/>
  <c r="W202" i="14701"/>
  <c r="O202" i="14701"/>
  <c r="L155" i="14701"/>
  <c r="G155" i="14701"/>
  <c r="P155" i="14701"/>
  <c r="F155" i="14701"/>
  <c r="O155" i="14701"/>
  <c r="Q155" i="14701"/>
  <c r="K155" i="14701"/>
  <c r="N155" i="14701"/>
  <c r="H155" i="14701"/>
  <c r="J155" i="14701"/>
  <c r="M155" i="14701"/>
  <c r="I155" i="14701"/>
  <c r="L80" i="14702" a="1"/>
  <c r="L80" i="14702" s="1"/>
  <c r="S73" i="14702" a="1"/>
  <c r="S73" i="14702" s="1"/>
  <c r="M79" i="14702" a="1"/>
  <c r="M79" i="14702" s="1"/>
  <c r="O77" i="14702" a="1"/>
  <c r="O77" i="14702" s="1"/>
  <c r="T72" i="14702" a="1"/>
  <c r="T72" i="14702" s="1"/>
  <c r="Q75" i="14702" a="1"/>
  <c r="Q75" i="14702" s="1"/>
  <c r="I83" i="14702" a="1"/>
  <c r="I83" i="14702" s="1"/>
  <c r="J82" i="14702" a="1"/>
  <c r="J82" i="14702" s="1"/>
  <c r="N78" i="14702" a="1"/>
  <c r="N78" i="14702" s="1"/>
  <c r="H84" i="14702" a="1"/>
  <c r="H84" i="14702" s="1"/>
  <c r="K81" i="14702" a="1"/>
  <c r="K81" i="14702" s="1"/>
  <c r="R74" i="14702" a="1"/>
  <c r="R74" i="14702" s="1"/>
  <c r="H28" i="14702"/>
  <c r="P76" i="14702" a="1"/>
  <c r="P76" i="14702" s="1"/>
  <c r="D175" i="14702" a="1"/>
  <c r="N23" i="14702"/>
  <c r="M166" i="14702" a="1"/>
  <c r="E174" i="14702" a="1"/>
  <c r="L167" i="14702" a="1"/>
  <c r="N165" i="14702" a="1"/>
  <c r="H171" i="14702" a="1"/>
  <c r="B177" i="14702" a="1"/>
  <c r="J169" i="14702" a="1"/>
  <c r="I170" i="14702" a="1"/>
  <c r="G172" i="14702" a="1"/>
  <c r="F173" i="14702" a="1"/>
  <c r="K168" i="14702" a="1"/>
  <c r="C176" i="14702" a="1"/>
  <c r="M193" i="14701"/>
  <c r="F193" i="14701"/>
  <c r="J193" i="14701"/>
  <c r="O193" i="14701"/>
  <c r="N193" i="14701"/>
  <c r="G193" i="14701"/>
  <c r="L193" i="14701"/>
  <c r="K193" i="14701"/>
  <c r="I193" i="14701"/>
  <c r="D193" i="14701"/>
  <c r="H193" i="14701"/>
  <c r="E193" i="14701"/>
  <c r="O185" i="14701"/>
  <c r="Q185" i="14701"/>
  <c r="L185" i="14701"/>
  <c r="N185" i="14701"/>
  <c r="T185" i="14701"/>
  <c r="S185" i="14701"/>
  <c r="P185" i="14701"/>
  <c r="W185" i="14701"/>
  <c r="V185" i="14701"/>
  <c r="R185" i="14701"/>
  <c r="U185" i="14701"/>
  <c r="M185" i="14701"/>
  <c r="Q131" i="14701"/>
  <c r="O131" i="14701"/>
  <c r="R131" i="14701"/>
  <c r="V131" i="14701"/>
  <c r="T131" i="14701"/>
  <c r="P131" i="14701"/>
  <c r="N131" i="14701"/>
  <c r="U131" i="14701"/>
  <c r="L131" i="14701"/>
  <c r="S131" i="14701"/>
  <c r="W131" i="14701"/>
  <c r="M131" i="14701"/>
  <c r="W221" i="14701"/>
  <c r="S221" i="14701"/>
  <c r="M221" i="14701"/>
  <c r="L221" i="14701"/>
  <c r="O221" i="14701"/>
  <c r="Q221" i="14701"/>
  <c r="P221" i="14701"/>
  <c r="N221" i="14701"/>
  <c r="R221" i="14701"/>
  <c r="T221" i="14701"/>
  <c r="V221" i="14701"/>
  <c r="U221" i="14701"/>
  <c r="S223" i="14701"/>
  <c r="N223" i="14701"/>
  <c r="O223" i="14701"/>
  <c r="J223" i="14701"/>
  <c r="U223" i="14701"/>
  <c r="M223" i="14701"/>
  <c r="K223" i="14701"/>
  <c r="L223" i="14701"/>
  <c r="Q223" i="14701"/>
  <c r="P223" i="14701"/>
  <c r="R223" i="14701"/>
  <c r="T223" i="14701"/>
  <c r="O247" i="14701"/>
  <c r="L247" i="14701"/>
  <c r="G247" i="14701"/>
  <c r="F247" i="14701"/>
  <c r="N247" i="14701"/>
  <c r="D247" i="14701"/>
  <c r="K247" i="14701"/>
  <c r="J247" i="14701"/>
  <c r="H247" i="14701"/>
  <c r="M247" i="14701"/>
  <c r="E247" i="14701"/>
  <c r="I247" i="14701"/>
  <c r="P82" i="14700" a="1"/>
  <c r="D85" i="14701"/>
  <c r="E36" i="14701"/>
  <c r="I38" i="14701"/>
  <c r="L37" i="14701"/>
  <c r="F38" i="14701"/>
  <c r="B34" i="14701"/>
  <c r="H34" i="14701"/>
  <c r="H36" i="14701"/>
  <c r="C38" i="14701"/>
  <c r="G32" i="14701"/>
  <c r="E35" i="14701"/>
  <c r="K36" i="14701"/>
  <c r="F36" i="14701"/>
  <c r="K39" i="14701"/>
  <c r="B38" i="14701"/>
  <c r="M36" i="14701"/>
  <c r="L33" i="14701"/>
  <c r="E33" i="14701"/>
  <c r="H32" i="14701"/>
  <c r="E34" i="14701"/>
  <c r="J36" i="14701"/>
  <c r="F33" i="14701"/>
  <c r="M32" i="14701"/>
  <c r="M34" i="14701"/>
  <c r="H38" i="14701"/>
  <c r="M39" i="14701"/>
  <c r="K34" i="14701"/>
  <c r="H35" i="14701"/>
  <c r="C33" i="14701"/>
  <c r="K38" i="14701"/>
  <c r="B32" i="14701"/>
  <c r="G37" i="14701"/>
  <c r="C36" i="14701"/>
  <c r="D37" i="14701"/>
  <c r="M38" i="14701"/>
  <c r="F32" i="14701"/>
  <c r="C37" i="14701"/>
  <c r="H37" i="14701"/>
  <c r="D33" i="14701"/>
  <c r="I37" i="14701"/>
  <c r="F35" i="14701"/>
  <c r="J37" i="14701"/>
  <c r="B33" i="14701"/>
  <c r="D32" i="14701"/>
  <c r="C39" i="14701"/>
  <c r="F34" i="14701"/>
  <c r="C34" i="14701"/>
  <c r="C32" i="14701"/>
  <c r="L36" i="14701"/>
  <c r="D36" i="14701"/>
  <c r="F37" i="14701"/>
  <c r="E37" i="14701"/>
  <c r="I33" i="14701"/>
  <c r="C35" i="14701"/>
  <c r="D39" i="14701"/>
  <c r="K32" i="14701"/>
  <c r="H33" i="14701"/>
  <c r="L39" i="14701"/>
  <c r="B36" i="14701"/>
  <c r="I39" i="14701"/>
  <c r="K35" i="14701"/>
  <c r="B35" i="14701"/>
  <c r="M33" i="14701"/>
  <c r="G33" i="14701"/>
  <c r="L32" i="14701"/>
  <c r="K37" i="14701"/>
  <c r="G36" i="14701"/>
  <c r="E39" i="14701"/>
  <c r="D35" i="14701"/>
  <c r="I34" i="14701"/>
  <c r="I32" i="14701"/>
  <c r="M35" i="14701"/>
  <c r="J39" i="14701"/>
  <c r="K33" i="14701"/>
  <c r="J35" i="14701"/>
  <c r="M37" i="14701"/>
  <c r="H39" i="14701"/>
  <c r="L35" i="14701"/>
  <c r="D34" i="14701"/>
  <c r="G38" i="14701"/>
  <c r="G39" i="14701"/>
  <c r="D38" i="14701"/>
  <c r="J32" i="14701"/>
  <c r="I36" i="14701"/>
  <c r="L34" i="14701"/>
  <c r="B39" i="14701"/>
  <c r="J34" i="14701"/>
  <c r="F39" i="14701"/>
  <c r="J33" i="14701"/>
  <c r="J38" i="14701"/>
  <c r="L38" i="14701"/>
  <c r="G34" i="14701"/>
  <c r="I35" i="14701"/>
  <c r="E38" i="14701"/>
  <c r="G35" i="14701"/>
  <c r="B37" i="14701"/>
  <c r="E32" i="14701"/>
  <c r="J171" i="14701"/>
  <c r="R171" i="14701"/>
  <c r="M171" i="14701"/>
  <c r="I171" i="14701"/>
  <c r="S171" i="14701"/>
  <c r="Q171" i="14701"/>
  <c r="N171" i="14701"/>
  <c r="O171" i="14701"/>
  <c r="K171" i="14701"/>
  <c r="P171" i="14701"/>
  <c r="H171" i="14701"/>
  <c r="L171" i="14701"/>
  <c r="C212" i="14701"/>
  <c r="L212" i="14701"/>
  <c r="G212" i="14701"/>
  <c r="M212" i="14701"/>
  <c r="F212" i="14701"/>
  <c r="E212" i="14701"/>
  <c r="I212" i="14701"/>
  <c r="K212" i="14701"/>
  <c r="N212" i="14701"/>
  <c r="D212" i="14701"/>
  <c r="H212" i="14701"/>
  <c r="J212" i="14701"/>
  <c r="S203" i="14701"/>
  <c r="M203" i="14701"/>
  <c r="P203" i="14701"/>
  <c r="R203" i="14701"/>
  <c r="L203" i="14701"/>
  <c r="O203" i="14701"/>
  <c r="U203" i="14701"/>
  <c r="T203" i="14701"/>
  <c r="V203" i="14701"/>
  <c r="W203" i="14701"/>
  <c r="N203" i="14701"/>
  <c r="Q203" i="14701"/>
  <c r="O157" i="14701"/>
  <c r="L157" i="14701"/>
  <c r="H157" i="14701"/>
  <c r="G157" i="14701"/>
  <c r="F157" i="14701"/>
  <c r="J157" i="14701"/>
  <c r="E157" i="14701"/>
  <c r="N157" i="14701"/>
  <c r="K157" i="14701"/>
  <c r="M157" i="14701"/>
  <c r="I157" i="14701"/>
  <c r="D157" i="14701"/>
  <c r="V74" i="14702" a="1"/>
  <c r="V74" i="14702" s="1"/>
  <c r="S77" i="14702" a="1"/>
  <c r="S77" i="14702" s="1"/>
  <c r="P80" i="14702" a="1"/>
  <c r="P80" i="14702" s="1"/>
  <c r="L28" i="14702"/>
  <c r="L84" i="14702" a="1"/>
  <c r="L84" i="14702" s="1"/>
  <c r="X72" i="14702" a="1"/>
  <c r="X72" i="14702" s="1"/>
  <c r="T76" i="14702" a="1"/>
  <c r="T76" i="14702" s="1"/>
  <c r="R78" i="14702" a="1"/>
  <c r="R78" i="14702" s="1"/>
  <c r="O81" i="14702" a="1"/>
  <c r="O81" i="14702" s="1"/>
  <c r="N82" i="14702" a="1"/>
  <c r="N82" i="14702" s="1"/>
  <c r="Q79" i="14702" a="1"/>
  <c r="Q79" i="14702" s="1"/>
  <c r="M83" i="14702" a="1"/>
  <c r="M83" i="14702" s="1"/>
  <c r="W73" i="14702" a="1"/>
  <c r="W73" i="14702" s="1"/>
  <c r="U75" i="14702" a="1"/>
  <c r="U75" i="14702" s="1"/>
  <c r="P190" i="14701"/>
  <c r="G190" i="14701"/>
  <c r="R190" i="14701"/>
  <c r="I190" i="14701"/>
  <c r="M190" i="14701"/>
  <c r="Q190" i="14701"/>
  <c r="J190" i="14701"/>
  <c r="H190" i="14701"/>
  <c r="N190" i="14701"/>
  <c r="K190" i="14701"/>
  <c r="L190" i="14701"/>
  <c r="O190" i="14701"/>
  <c r="B195" i="14701"/>
  <c r="C195" i="14701"/>
  <c r="O195" i="14700" s="1"/>
  <c r="K195" i="14701"/>
  <c r="F195" i="14701"/>
  <c r="I195" i="14701"/>
  <c r="M195" i="14701"/>
  <c r="G195" i="14701"/>
  <c r="H195" i="14701"/>
  <c r="E195" i="14701"/>
  <c r="J195" i="14701"/>
  <c r="D195" i="14701"/>
  <c r="L195" i="14701"/>
  <c r="V132" i="14701"/>
  <c r="T132" i="14701"/>
  <c r="U132" i="14701"/>
  <c r="S132" i="14701"/>
  <c r="Q132" i="14701"/>
  <c r="L132" i="14701"/>
  <c r="M132" i="14701"/>
  <c r="N132" i="14701"/>
  <c r="K132" i="14701"/>
  <c r="P132" i="14701"/>
  <c r="R132" i="14701"/>
  <c r="O132" i="14701"/>
  <c r="K227" i="14701"/>
  <c r="N227" i="14701"/>
  <c r="M227" i="14701"/>
  <c r="G227" i="14701"/>
  <c r="O227" i="14701"/>
  <c r="I227" i="14701"/>
  <c r="J227" i="14701"/>
  <c r="Q227" i="14701"/>
  <c r="F227" i="14701"/>
  <c r="P227" i="14701"/>
  <c r="H227" i="14701"/>
  <c r="L227" i="14701"/>
  <c r="O240" i="14701"/>
  <c r="L240" i="14701"/>
  <c r="P240" i="14701"/>
  <c r="R240" i="14701"/>
  <c r="S240" i="14701"/>
  <c r="N240" i="14701"/>
  <c r="V240" i="14701"/>
  <c r="T240" i="14701"/>
  <c r="M240" i="14701"/>
  <c r="K240" i="14701"/>
  <c r="U240" i="14701"/>
  <c r="Q240" i="14701"/>
  <c r="U239" i="14701"/>
  <c r="P239" i="14701"/>
  <c r="W239" i="14701"/>
  <c r="Q239" i="14701"/>
  <c r="M239" i="14701"/>
  <c r="N239" i="14701"/>
  <c r="S239" i="14701"/>
  <c r="R239" i="14701"/>
  <c r="V239" i="14701"/>
  <c r="O239" i="14701"/>
  <c r="L239" i="14701"/>
  <c r="T239" i="14701"/>
  <c r="F85" i="14701"/>
  <c r="R80" i="14700" a="1"/>
  <c r="B123" i="14701"/>
  <c r="D123" i="14701"/>
  <c r="G123" i="14701"/>
  <c r="H123" i="14701"/>
  <c r="M123" i="14701"/>
  <c r="L123" i="14701"/>
  <c r="I123" i="14701"/>
  <c r="F123" i="14701"/>
  <c r="K123" i="14701"/>
  <c r="E123" i="14701"/>
  <c r="J123" i="14701"/>
  <c r="C123" i="14701"/>
  <c r="O123" i="14700" s="1"/>
  <c r="N173" i="14701"/>
  <c r="Q173" i="14701"/>
  <c r="P173" i="14701"/>
  <c r="H173" i="14701"/>
  <c r="F173" i="14701"/>
  <c r="G173" i="14701"/>
  <c r="K173" i="14701"/>
  <c r="J173" i="14701"/>
  <c r="O173" i="14701"/>
  <c r="L173" i="14701"/>
  <c r="I173" i="14701"/>
  <c r="M173" i="14701"/>
  <c r="O140" i="14702"/>
  <c r="Q138" i="14698"/>
  <c r="Q141" i="14698"/>
  <c r="B178" i="14704"/>
  <c r="N177" i="14702"/>
  <c r="N55" i="14624"/>
  <c r="C15" i="14657" s="1"/>
  <c r="B29" i="14682" a="1"/>
  <c r="C6" i="14628" a="1"/>
  <c r="H6" i="14628" s="1"/>
  <c r="B58" i="14624" a="1"/>
  <c r="E58" i="14624" s="1"/>
  <c r="F14" i="14625" s="1"/>
  <c r="E24" i="14679" a="1"/>
  <c r="Q28" i="14678"/>
  <c r="O28" i="14678"/>
  <c r="C22" i="14679" a="1"/>
  <c r="N28" i="14678"/>
  <c r="B21" i="14679" a="1"/>
  <c r="J27" i="14678"/>
  <c r="J10" i="14671" s="1"/>
  <c r="N15" i="14678"/>
  <c r="H27" i="14678"/>
  <c r="H10" i="14671" s="1"/>
  <c r="K34" i="14652"/>
  <c r="K33" i="14652"/>
  <c r="K36" i="14652"/>
  <c r="K40" i="14652"/>
  <c r="K38" i="14652"/>
  <c r="K35" i="14652"/>
  <c r="K37" i="14652"/>
  <c r="K39" i="14652"/>
  <c r="N39" i="14668"/>
  <c r="N37" i="14668"/>
  <c r="N34" i="14668"/>
  <c r="N38" i="14668"/>
  <c r="I27" i="14678"/>
  <c r="I10" i="14671" s="1"/>
  <c r="C41" i="14674" a="1"/>
  <c r="O39" i="14674"/>
  <c r="K11" i="14679"/>
  <c r="L9" i="14679"/>
  <c r="M7" i="14679"/>
  <c r="I12" i="14679"/>
  <c r="M13" i="14679"/>
  <c r="K7" i="14679"/>
  <c r="G14" i="14679"/>
  <c r="F13" i="14679"/>
  <c r="K8" i="14679"/>
  <c r="H12" i="14679"/>
  <c r="G13" i="14679"/>
  <c r="H7" i="14679"/>
  <c r="I11" i="14679"/>
  <c r="C14" i="14679"/>
  <c r="G8" i="14679"/>
  <c r="C8" i="14679"/>
  <c r="I14" i="14679"/>
  <c r="J12" i="14679"/>
  <c r="F12" i="14679"/>
  <c r="B8" i="14679"/>
  <c r="B11" i="14679"/>
  <c r="D11" i="14679"/>
  <c r="I7" i="14679"/>
  <c r="H13" i="14679"/>
  <c r="E7" i="14679"/>
  <c r="L11" i="14679"/>
  <c r="J9" i="14679"/>
  <c r="J13" i="14679"/>
  <c r="K12" i="14679"/>
  <c r="K14" i="14679"/>
  <c r="H8" i="14679"/>
  <c r="F7" i="14679"/>
  <c r="F14" i="14679"/>
  <c r="K9" i="14679"/>
  <c r="I13" i="14679"/>
  <c r="C11" i="14679"/>
  <c r="K13" i="14679"/>
  <c r="I10" i="14679"/>
  <c r="J10" i="14679"/>
  <c r="M10" i="14679"/>
  <c r="F9" i="14679"/>
  <c r="B7" i="14679"/>
  <c r="D13" i="14679"/>
  <c r="E14" i="14679"/>
  <c r="I8" i="14679"/>
  <c r="G7" i="14679"/>
  <c r="H14" i="14679"/>
  <c r="F11" i="14679"/>
  <c r="L7" i="14679"/>
  <c r="C13" i="14679"/>
  <c r="C12" i="14679"/>
  <c r="B9" i="14679"/>
  <c r="J11" i="14679"/>
  <c r="B13" i="14679"/>
  <c r="M12" i="14679"/>
  <c r="H9" i="14679"/>
  <c r="G11" i="14679"/>
  <c r="E8" i="14679"/>
  <c r="B12" i="14679"/>
  <c r="L8" i="14679"/>
  <c r="G12" i="14679"/>
  <c r="L14" i="14679"/>
  <c r="J7" i="14679"/>
  <c r="C10" i="14679"/>
  <c r="D8" i="14679"/>
  <c r="L13" i="14679"/>
  <c r="E11" i="14679"/>
  <c r="I9" i="14679"/>
  <c r="D14" i="14679"/>
  <c r="L12" i="14679"/>
  <c r="B10" i="14679"/>
  <c r="G9" i="14679"/>
  <c r="D7" i="14679"/>
  <c r="E12" i="14679"/>
  <c r="M14" i="14679"/>
  <c r="J14" i="14679"/>
  <c r="E10" i="14679"/>
  <c r="M11" i="14679"/>
  <c r="M8" i="14679"/>
  <c r="J8" i="14679"/>
  <c r="H11" i="14679"/>
  <c r="D9" i="14679"/>
  <c r="K10" i="14679"/>
  <c r="D12" i="14679"/>
  <c r="L10" i="14679"/>
  <c r="E9" i="14679"/>
  <c r="E13" i="14679"/>
  <c r="F10" i="14679"/>
  <c r="C9" i="14679"/>
  <c r="M9" i="14679"/>
  <c r="B14" i="14679"/>
  <c r="H10" i="14679"/>
  <c r="C7" i="14679"/>
  <c r="G10" i="14679"/>
  <c r="F8" i="14679"/>
  <c r="D10" i="14679"/>
  <c r="D38" i="14675"/>
  <c r="C38" i="14675"/>
  <c r="D35" i="14675"/>
  <c r="D37" i="14675"/>
  <c r="N37" i="14675"/>
  <c r="F36" i="14675"/>
  <c r="M32" i="14675"/>
  <c r="E38" i="14675"/>
  <c r="C31" i="14675"/>
  <c r="N38" i="14675"/>
  <c r="L31" i="14675"/>
  <c r="F38" i="14675"/>
  <c r="G35" i="14675"/>
  <c r="N36" i="14675"/>
  <c r="I31" i="14675"/>
  <c r="M36" i="14675"/>
  <c r="I38" i="14675"/>
  <c r="G34" i="14675"/>
  <c r="K34" i="14675"/>
  <c r="L33" i="14675"/>
  <c r="L36" i="14675"/>
  <c r="L32" i="14675"/>
  <c r="L34" i="14675"/>
  <c r="C36" i="14675"/>
  <c r="M35" i="14675"/>
  <c r="G37" i="14675"/>
  <c r="H37" i="14675"/>
  <c r="N32" i="14675"/>
  <c r="I37" i="14675"/>
  <c r="E31" i="14675"/>
  <c r="H35" i="14675"/>
  <c r="F32" i="14675"/>
  <c r="J35" i="14675"/>
  <c r="H36" i="14675"/>
  <c r="G36" i="14675"/>
  <c r="K33" i="14675"/>
  <c r="M34" i="14675"/>
  <c r="D32" i="14675"/>
  <c r="F31" i="14675"/>
  <c r="G33" i="14675"/>
  <c r="M33" i="14675"/>
  <c r="L38" i="14675"/>
  <c r="F37" i="14675"/>
  <c r="I36" i="14675"/>
  <c r="E33" i="14675"/>
  <c r="J32" i="14675"/>
  <c r="E34" i="14675"/>
  <c r="N35" i="14675"/>
  <c r="M37" i="14675"/>
  <c r="H34" i="14675"/>
  <c r="J31" i="14675"/>
  <c r="G38" i="14675"/>
  <c r="D34" i="14675"/>
  <c r="J36" i="14675"/>
  <c r="G32" i="14675"/>
  <c r="D36" i="14675"/>
  <c r="J33" i="14675"/>
  <c r="J38" i="14675"/>
  <c r="K37" i="14675"/>
  <c r="E32" i="14675"/>
  <c r="E36" i="14675"/>
  <c r="H38" i="14675"/>
  <c r="I33" i="14675"/>
  <c r="D33" i="14675"/>
  <c r="H33" i="14675"/>
  <c r="L37" i="14675"/>
  <c r="E37" i="14675"/>
  <c r="H32" i="14675"/>
  <c r="K32" i="14675"/>
  <c r="I32" i="14675"/>
  <c r="N33" i="14675"/>
  <c r="K31" i="14675"/>
  <c r="J37" i="14675"/>
  <c r="C32" i="14675"/>
  <c r="K35" i="14675"/>
  <c r="I34" i="14675"/>
  <c r="M38" i="14675"/>
  <c r="M31" i="14675"/>
  <c r="L35" i="14675"/>
  <c r="I35" i="14675"/>
  <c r="F34" i="14675"/>
  <c r="E35" i="14675"/>
  <c r="C35" i="14675"/>
  <c r="N31" i="14675"/>
  <c r="C37" i="14675"/>
  <c r="F35" i="14675"/>
  <c r="J34" i="14675"/>
  <c r="D31" i="14675"/>
  <c r="N34" i="14675"/>
  <c r="C34" i="14675"/>
  <c r="H31" i="14675"/>
  <c r="C33" i="14675"/>
  <c r="K38" i="14675"/>
  <c r="K36" i="14675"/>
  <c r="F33" i="14675"/>
  <c r="G31" i="14675"/>
  <c r="F25" i="14679" a="1"/>
  <c r="R28" i="14678"/>
  <c r="G26" i="14679"/>
  <c r="S28" i="14678"/>
  <c r="P28" i="14678"/>
  <c r="D23" i="14679" a="1"/>
  <c r="M27" i="14678"/>
  <c r="G27" i="14678"/>
  <c r="G10" i="14671" s="1"/>
  <c r="K27" i="14678"/>
  <c r="K10" i="14671" s="1"/>
  <c r="F21" i="14683"/>
  <c r="F26" i="14683"/>
  <c r="F22" i="14683"/>
  <c r="F19" i="14683"/>
  <c r="F27" i="14683"/>
  <c r="F20" i="14683"/>
  <c r="F23" i="14683"/>
  <c r="F24" i="14683"/>
  <c r="F25" i="14683"/>
  <c r="N36" i="14668"/>
  <c r="N33" i="14668"/>
  <c r="N35" i="14668"/>
  <c r="N32" i="14668"/>
  <c r="L27" i="14678"/>
  <c r="L10" i="14671" s="1"/>
  <c r="N5" i="14670"/>
  <c r="J5" i="14617" s="1" a="1"/>
  <c r="B7" i="14670" a="1"/>
  <c r="O19" i="14674"/>
  <c r="C87" i="14643"/>
  <c r="G27" i="14683"/>
  <c r="I19" i="14683" a="1"/>
  <c r="B32" i="14669" a="1"/>
  <c r="C92" i="14643" a="1"/>
  <c r="N25" i="14669"/>
  <c r="B5" i="14671" a="1"/>
  <c r="B45" i="14681"/>
  <c r="N45" i="14681" s="1"/>
  <c r="G23" i="14657" s="1"/>
  <c r="R28" i="14655"/>
  <c r="N60" i="14624"/>
  <c r="N64" i="14703"/>
  <c r="G67" i="14703"/>
  <c r="N65" i="14703"/>
  <c r="I67" i="14703"/>
  <c r="N66" i="14703"/>
  <c r="J67" i="14703"/>
  <c r="N63" i="14703"/>
  <c r="D67" i="14703"/>
  <c r="K67" i="14703"/>
  <c r="L67" i="14703"/>
  <c r="H67" i="14703"/>
  <c r="N62" i="14703"/>
  <c r="F67" i="14703"/>
  <c r="N61" i="14703"/>
  <c r="E67" i="14703"/>
  <c r="M67" i="14703"/>
  <c r="B67" i="14703"/>
  <c r="N59" i="14703"/>
  <c r="N60" i="14703"/>
  <c r="C67" i="14703"/>
  <c r="B35" i="14623" a="1"/>
  <c r="K36" i="14623" s="1"/>
  <c r="N37" i="14706"/>
  <c r="N34" i="14706" s="1"/>
  <c r="L34" i="14706"/>
  <c r="N57" i="14653"/>
  <c r="B48" i="14645" s="1" a="1"/>
  <c r="M6" i="14659"/>
  <c r="M30" i="14659" s="1"/>
  <c r="F19" i="4129"/>
  <c r="Q18" i="14678"/>
  <c r="A36" i="14647"/>
  <c r="N33" i="14667"/>
  <c r="N32" i="14667" s="1"/>
  <c r="L32" i="14667"/>
  <c r="U71" i="14701"/>
  <c r="R71" i="14701"/>
  <c r="W71" i="14701"/>
  <c r="N71" i="14701"/>
  <c r="V71" i="14701"/>
  <c r="Q71" i="14701"/>
  <c r="P71" i="14701"/>
  <c r="Y71" i="14701"/>
  <c r="S71" i="14701"/>
  <c r="T71" i="14701"/>
  <c r="X71" i="14701"/>
  <c r="O71" i="14701"/>
  <c r="I19" i="14678"/>
  <c r="D19" i="14678"/>
  <c r="F19" i="14678"/>
  <c r="K19" i="14678"/>
  <c r="L19" i="14678"/>
  <c r="E19" i="14678"/>
  <c r="H19" i="14678"/>
  <c r="C19" i="14678"/>
  <c r="M19" i="14678"/>
  <c r="G19" i="14678"/>
  <c r="B19" i="14678"/>
  <c r="J19" i="14678"/>
  <c r="R19" i="14679"/>
  <c r="S19" i="14679"/>
  <c r="Q19" i="14679"/>
  <c r="O19" i="14679"/>
  <c r="P19" i="14679"/>
  <c r="N19" i="14679"/>
  <c r="A85" i="14647"/>
  <c r="G17" i="14645"/>
  <c r="G71" i="14645" s="1"/>
  <c r="E17" i="14645"/>
  <c r="E71" i="14645" s="1"/>
  <c r="N17" i="14645"/>
  <c r="N71" i="14645" s="1"/>
  <c r="I17" i="14645"/>
  <c r="I71" i="14645" s="1"/>
  <c r="J17" i="14645"/>
  <c r="J71" i="14645" s="1"/>
  <c r="K17" i="14645"/>
  <c r="K71" i="14645" s="1"/>
  <c r="H17" i="14645"/>
  <c r="H71" i="14645" s="1"/>
  <c r="C17" i="14645"/>
  <c r="C71" i="14645" s="1"/>
  <c r="F17" i="14645"/>
  <c r="F71" i="14645" s="1"/>
  <c r="B17" i="14645"/>
  <c r="B71" i="14645" s="1"/>
  <c r="M17" i="14645"/>
  <c r="M71" i="14645" s="1"/>
  <c r="D17" i="14645"/>
  <c r="D71" i="14645" s="1"/>
  <c r="L17" i="14645"/>
  <c r="L71" i="14645" s="1"/>
  <c r="X71" i="14702"/>
  <c r="Y71" i="14702"/>
  <c r="R71" i="14702"/>
  <c r="Q71" i="14702"/>
  <c r="N71" i="14702"/>
  <c r="O71" i="14702"/>
  <c r="S71" i="14702"/>
  <c r="V71" i="14702"/>
  <c r="T71" i="14702"/>
  <c r="U71" i="14702"/>
  <c r="W71" i="14702"/>
  <c r="P71" i="14702"/>
  <c r="K19" i="14638"/>
  <c r="J19" i="14638"/>
  <c r="E19" i="14638"/>
  <c r="F19" i="14638"/>
  <c r="G19" i="14638"/>
  <c r="D19" i="14638"/>
  <c r="I19" i="14638"/>
  <c r="H19" i="14638"/>
  <c r="M19" i="14638"/>
  <c r="C19" i="14638"/>
  <c r="L19" i="14638"/>
  <c r="B19" i="14638"/>
  <c r="U71" i="14700"/>
  <c r="V71" i="14700"/>
  <c r="O71" i="14700"/>
  <c r="N71" i="14700"/>
  <c r="T71" i="14700"/>
  <c r="W71" i="14700"/>
  <c r="X71" i="14700"/>
  <c r="S71" i="14700"/>
  <c r="P71" i="14700"/>
  <c r="Y71" i="14700"/>
  <c r="Q71" i="14700"/>
  <c r="R71" i="14700"/>
  <c r="C77" i="14665" a="1"/>
  <c r="C7" i="14645"/>
  <c r="C61" i="14645" s="1"/>
  <c r="G7" i="14645"/>
  <c r="G61" i="14645" s="1"/>
  <c r="M7" i="14645"/>
  <c r="M61" i="14645" s="1"/>
  <c r="K7" i="14645"/>
  <c r="K61" i="14645" s="1"/>
  <c r="D7" i="14645"/>
  <c r="D61" i="14645" s="1"/>
  <c r="J7" i="14645"/>
  <c r="J61" i="14645" s="1"/>
  <c r="H7" i="14645"/>
  <c r="H61" i="14645" s="1"/>
  <c r="N7" i="14645"/>
  <c r="N61" i="14645" s="1"/>
  <c r="B7" i="14645"/>
  <c r="B61" i="14645" s="1"/>
  <c r="L7" i="14645"/>
  <c r="L61" i="14645" s="1"/>
  <c r="F7" i="14645"/>
  <c r="F61" i="14645" s="1"/>
  <c r="E7" i="14645"/>
  <c r="E61" i="14645" s="1"/>
  <c r="I7" i="14645"/>
  <c r="I61" i="14645" s="1"/>
  <c r="N70" i="14653"/>
  <c r="Q18" i="14679"/>
  <c r="G77" i="14665"/>
  <c r="L37" i="14645"/>
  <c r="C37" i="14645"/>
  <c r="M37" i="14645"/>
  <c r="H37" i="14645"/>
  <c r="D37" i="14645"/>
  <c r="I37" i="14645"/>
  <c r="B37" i="14645"/>
  <c r="J37" i="14645"/>
  <c r="N37" i="14645"/>
  <c r="G37" i="14645"/>
  <c r="K37" i="14645"/>
  <c r="E37" i="14645"/>
  <c r="F37" i="14645"/>
  <c r="O71" i="14704"/>
  <c r="S71" i="14704"/>
  <c r="U71" i="14704"/>
  <c r="Y71" i="14704"/>
  <c r="W71" i="14704"/>
  <c r="X71" i="14704"/>
  <c r="R71" i="14704"/>
  <c r="N71" i="14704"/>
  <c r="Q71" i="14704"/>
  <c r="T71" i="14704"/>
  <c r="V71" i="14704"/>
  <c r="P71" i="14704"/>
  <c r="D5" i="14661" a="1"/>
  <c r="W71" i="14698"/>
  <c r="Y71" i="14698"/>
  <c r="T71" i="14698"/>
  <c r="O71" i="14698"/>
  <c r="Q71" i="14698"/>
  <c r="U71" i="14698"/>
  <c r="R71" i="14698"/>
  <c r="N71" i="14698"/>
  <c r="P71" i="14698"/>
  <c r="V71" i="14698"/>
  <c r="S71" i="14698"/>
  <c r="X71" i="14698"/>
  <c r="K19" i="14632"/>
  <c r="C19" i="14632"/>
  <c r="G19" i="14632"/>
  <c r="E19" i="14632"/>
  <c r="I19" i="14632"/>
  <c r="H19" i="14632"/>
  <c r="J19" i="14632"/>
  <c r="D19" i="14632"/>
  <c r="B19" i="14632"/>
  <c r="F19" i="14632"/>
  <c r="L19" i="14632"/>
  <c r="M19" i="14632"/>
  <c r="L19" i="14679"/>
  <c r="G19" i="14679"/>
  <c r="M19" i="14679"/>
  <c r="I19" i="14679"/>
  <c r="D19" i="14679"/>
  <c r="J19" i="14679"/>
  <c r="H19" i="14679"/>
  <c r="K19" i="14679"/>
  <c r="B19" i="14679"/>
  <c r="C19" i="14679"/>
  <c r="F19" i="14679"/>
  <c r="E19" i="14679"/>
  <c r="I27" i="14645"/>
  <c r="I81" i="14645" s="1"/>
  <c r="F27" i="14645"/>
  <c r="F81" i="14645" s="1"/>
  <c r="K27" i="14645"/>
  <c r="K81" i="14645" s="1"/>
  <c r="J27" i="14645"/>
  <c r="J81" i="14645" s="1"/>
  <c r="E27" i="14645"/>
  <c r="E81" i="14645" s="1"/>
  <c r="G27" i="14645"/>
  <c r="G81" i="14645" s="1"/>
  <c r="H27" i="14645"/>
  <c r="H81" i="14645" s="1"/>
  <c r="C27" i="14645"/>
  <c r="C81" i="14645" s="1"/>
  <c r="B27" i="14645"/>
  <c r="B81" i="14645" s="1"/>
  <c r="N27" i="14645"/>
  <c r="N81" i="14645" s="1"/>
  <c r="L27" i="14645"/>
  <c r="L81" i="14645" s="1"/>
  <c r="M27" i="14645"/>
  <c r="M81" i="14645" s="1"/>
  <c r="D27" i="14645"/>
  <c r="D81" i="14645" s="1"/>
  <c r="Q46" i="14638"/>
  <c r="R57" i="14638" s="1"/>
  <c r="R30" i="14638"/>
  <c r="S71" i="14703"/>
  <c r="W71" i="14703"/>
  <c r="Y71" i="14703"/>
  <c r="U71" i="14703"/>
  <c r="O71" i="14703"/>
  <c r="P71" i="14703"/>
  <c r="V71" i="14703"/>
  <c r="T71" i="14703"/>
  <c r="Q71" i="14703"/>
  <c r="N71" i="14703"/>
  <c r="X71" i="14703"/>
  <c r="R71" i="14703"/>
  <c r="E19" i="14623"/>
  <c r="M19" i="14623"/>
  <c r="G19" i="14623"/>
  <c r="K19" i="14623"/>
  <c r="C19" i="14623"/>
  <c r="I19" i="14623"/>
  <c r="F19" i="14623"/>
  <c r="D19" i="14623"/>
  <c r="B19" i="14623"/>
  <c r="H19" i="14623"/>
  <c r="L19" i="14623"/>
  <c r="J19" i="14623"/>
  <c r="C24" i="14706"/>
  <c r="D41" i="14622"/>
  <c r="W27" i="14655"/>
  <c r="D40" i="14622"/>
  <c r="N213" i="14702" l="1"/>
  <c r="Q158" i="14698"/>
  <c r="C196" i="14704"/>
  <c r="S192" i="14698"/>
  <c r="S190" i="14698"/>
  <c r="C42" i="14645"/>
  <c r="C43" i="14645" s="1"/>
  <c r="W240" i="14698"/>
  <c r="V211" i="14698"/>
  <c r="V212" i="14698"/>
  <c r="W242" i="14698"/>
  <c r="V226" i="14698"/>
  <c r="V208" i="14698"/>
  <c r="U249" i="14698"/>
  <c r="R141" i="14698"/>
  <c r="S193" i="14698"/>
  <c r="B196" i="14704"/>
  <c r="U155" i="14698"/>
  <c r="R157" i="14698"/>
  <c r="W160" i="14704"/>
  <c r="R121" i="14698"/>
  <c r="R119" i="14698"/>
  <c r="R120" i="14698"/>
  <c r="R123" i="14698"/>
  <c r="Q246" i="14698"/>
  <c r="L42" i="14645"/>
  <c r="L43" i="14645" s="1"/>
  <c r="B124" i="14704"/>
  <c r="G42" i="14645"/>
  <c r="G43" i="14645" s="1"/>
  <c r="E42" i="14645"/>
  <c r="E43" i="14645" s="1"/>
  <c r="D27" i="14678"/>
  <c r="D10" i="14671" s="1"/>
  <c r="H42" i="14645"/>
  <c r="H43" i="14645" s="1"/>
  <c r="J11" i="14706"/>
  <c r="Q247" i="14698"/>
  <c r="P193" i="14702" a="1"/>
  <c r="P194" i="14702" s="1"/>
  <c r="Q248" i="14698"/>
  <c r="J12" i="14706"/>
  <c r="C7" i="14676" a="1"/>
  <c r="E7" i="14676" s="1"/>
  <c r="R140" i="14698"/>
  <c r="J17" i="14667"/>
  <c r="R139" i="14698"/>
  <c r="R137" i="14698"/>
  <c r="M42" i="14645"/>
  <c r="F42" i="14645"/>
  <c r="F43" i="14645" s="1"/>
  <c r="I42" i="14645"/>
  <c r="I43" i="14645" s="1"/>
  <c r="D42" i="14645"/>
  <c r="D43" i="14645" s="1"/>
  <c r="B42" i="14645"/>
  <c r="B43" i="14645" s="1"/>
  <c r="K42" i="14645"/>
  <c r="K43" i="14645" s="1"/>
  <c r="W248" i="14698"/>
  <c r="W245" i="14698"/>
  <c r="Q156" i="14698"/>
  <c r="U244" i="14698"/>
  <c r="U243" i="14698"/>
  <c r="V213" i="14698"/>
  <c r="W244" i="14698"/>
  <c r="U246" i="14698"/>
  <c r="W132" i="14698"/>
  <c r="W139" i="14698"/>
  <c r="W241" i="14698"/>
  <c r="U245" i="14698"/>
  <c r="V210" i="14698"/>
  <c r="U247" i="14698"/>
  <c r="V205" i="14698"/>
  <c r="D142" i="14704"/>
  <c r="V206" i="14698"/>
  <c r="W246" i="14698"/>
  <c r="W249" i="14698"/>
  <c r="Q157" i="14698"/>
  <c r="S195" i="14698"/>
  <c r="U158" i="14698"/>
  <c r="V207" i="14698"/>
  <c r="W247" i="14698"/>
  <c r="D214" i="14704"/>
  <c r="P158" i="14698"/>
  <c r="E42" i="14683"/>
  <c r="F34" i="14683" s="1" a="1"/>
  <c r="F40" i="14683" s="1"/>
  <c r="C27" i="14678"/>
  <c r="C10" i="14671" s="1"/>
  <c r="C214" i="14704"/>
  <c r="R249" i="14698"/>
  <c r="X133" i="14698"/>
  <c r="R246" i="14698"/>
  <c r="X160" i="14704"/>
  <c r="O212" i="14702"/>
  <c r="G7" i="14617"/>
  <c r="H5" i="14617" s="1" a="1"/>
  <c r="H6" i="14617" s="1"/>
  <c r="B27" i="14678"/>
  <c r="B28" i="14678" s="1"/>
  <c r="N9" i="14640"/>
  <c r="E35" i="4128"/>
  <c r="I5" i="14617"/>
  <c r="R159" i="14698"/>
  <c r="R158" i="14698"/>
  <c r="P141" i="14698"/>
  <c r="R155" i="14698"/>
  <c r="P140" i="14698"/>
  <c r="P211" i="14702" a="1"/>
  <c r="E27" i="14678"/>
  <c r="E10" i="14671" s="1"/>
  <c r="Q140" i="14698"/>
  <c r="X142" i="14704"/>
  <c r="C178" i="14704"/>
  <c r="J14" i="14707"/>
  <c r="J20" i="14707" s="1"/>
  <c r="S136" i="14702" a="1"/>
  <c r="S138" i="14702" s="1"/>
  <c r="E49" i="14683" a="1"/>
  <c r="E55" i="14683" s="1"/>
  <c r="W83" i="14702"/>
  <c r="S210" i="14698"/>
  <c r="W80" i="14702"/>
  <c r="W142" i="14704"/>
  <c r="P193" i="14698"/>
  <c r="Q210" i="14702" a="1"/>
  <c r="Q213" i="14702" s="1"/>
  <c r="V178" i="14704"/>
  <c r="S194" i="14698"/>
  <c r="U154" i="14698"/>
  <c r="Y231" i="14698"/>
  <c r="W178" i="14704"/>
  <c r="T80" i="14702"/>
  <c r="O104" i="14698"/>
  <c r="Y185" i="14698"/>
  <c r="U213" i="14698"/>
  <c r="X124" i="14704"/>
  <c r="U242" i="14698"/>
  <c r="X250" i="14704"/>
  <c r="Q194" i="14698"/>
  <c r="Q192" i="14698"/>
  <c r="Q193" i="14698"/>
  <c r="X168" i="14698"/>
  <c r="V160" i="14704"/>
  <c r="V247" i="14698"/>
  <c r="T153" i="14698"/>
  <c r="E178" i="14704"/>
  <c r="Q210" i="14698"/>
  <c r="S211" i="14698"/>
  <c r="U159" i="14698"/>
  <c r="S209" i="14698"/>
  <c r="V151" i="14698"/>
  <c r="S212" i="14698"/>
  <c r="U124" i="14704"/>
  <c r="S213" i="14698"/>
  <c r="W214" i="14704"/>
  <c r="K142" i="14704"/>
  <c r="P101" i="14698" a="1"/>
  <c r="P103" i="14698" s="1"/>
  <c r="W133" i="14698"/>
  <c r="X196" i="14704"/>
  <c r="W124" i="14704"/>
  <c r="C48" i="14648" a="1"/>
  <c r="J48" i="14648" s="1"/>
  <c r="W138" i="14698"/>
  <c r="E124" i="14704"/>
  <c r="S248" i="14698"/>
  <c r="R247" i="14698"/>
  <c r="R245" i="14698"/>
  <c r="Q228" i="14698"/>
  <c r="T85" i="14698"/>
  <c r="U160" i="14704"/>
  <c r="W187" i="14698"/>
  <c r="W194" i="14698"/>
  <c r="W118" i="14698"/>
  <c r="Y116" i="14698"/>
  <c r="W123" i="14698"/>
  <c r="W114" i="14698"/>
  <c r="P247" i="14698"/>
  <c r="R80" i="14702"/>
  <c r="V243" i="14698"/>
  <c r="V244" i="14698"/>
  <c r="Y138" i="14698"/>
  <c r="P121" i="14698"/>
  <c r="S246" i="14698"/>
  <c r="P82" i="14702"/>
  <c r="D74" i="14643"/>
  <c r="C232" i="14704"/>
  <c r="Y122" i="14698"/>
  <c r="S245" i="14698"/>
  <c r="E214" i="14704"/>
  <c r="T212" i="14698"/>
  <c r="Y113" i="14698"/>
  <c r="Y205" i="14698"/>
  <c r="U188" i="14698"/>
  <c r="V81" i="14702"/>
  <c r="Y123" i="14698"/>
  <c r="Y213" i="14698"/>
  <c r="Y204" i="14698"/>
  <c r="W177" i="14698"/>
  <c r="Y115" i="14698"/>
  <c r="S249" i="14698"/>
  <c r="U190" i="14698"/>
  <c r="U192" i="14698"/>
  <c r="S156" i="14698"/>
  <c r="W195" i="14698"/>
  <c r="S155" i="14698"/>
  <c r="S159" i="14698"/>
  <c r="S157" i="14698"/>
  <c r="S158" i="14698"/>
  <c r="S247" i="14698"/>
  <c r="P84" i="14702"/>
  <c r="T81" i="14702"/>
  <c r="P249" i="14698"/>
  <c r="W190" i="14698"/>
  <c r="U153" i="14698"/>
  <c r="X211" i="14698"/>
  <c r="W135" i="14698"/>
  <c r="P122" i="14698"/>
  <c r="W193" i="14698"/>
  <c r="W119" i="14698"/>
  <c r="U156" i="14698"/>
  <c r="X203" i="14698"/>
  <c r="W141" i="14698"/>
  <c r="V245" i="14698"/>
  <c r="W121" i="14698"/>
  <c r="P229" i="14702" a="1"/>
  <c r="P229" i="14702" s="1"/>
  <c r="W188" i="14698"/>
  <c r="V242" i="14698"/>
  <c r="T159" i="14698"/>
  <c r="W120" i="14698"/>
  <c r="P139" i="14702" a="1"/>
  <c r="P141" i="14702" s="1"/>
  <c r="X204" i="14698"/>
  <c r="W134" i="14698"/>
  <c r="Q138" i="14702" a="1"/>
  <c r="S214" i="14704"/>
  <c r="C6" i="14641" a="1"/>
  <c r="G6" i="14641" s="1"/>
  <c r="X207" i="14698"/>
  <c r="X208" i="14698"/>
  <c r="V241" i="14698"/>
  <c r="W122" i="14698"/>
  <c r="X210" i="14698"/>
  <c r="W153" i="14698"/>
  <c r="W136" i="14698"/>
  <c r="P85" i="14698"/>
  <c r="O142" i="14704"/>
  <c r="S142" i="14704"/>
  <c r="X205" i="14698"/>
  <c r="W191" i="14698"/>
  <c r="W192" i="14698"/>
  <c r="R191" i="14702" a="1"/>
  <c r="R193" i="14702" s="1"/>
  <c r="W117" i="14698"/>
  <c r="X209" i="14698"/>
  <c r="T208" i="14698"/>
  <c r="V249" i="14698"/>
  <c r="W116" i="14698"/>
  <c r="X206" i="14698"/>
  <c r="T211" i="14698"/>
  <c r="V248" i="14698"/>
  <c r="V120" i="14698"/>
  <c r="W189" i="14698"/>
  <c r="U152" i="14698"/>
  <c r="X213" i="14698"/>
  <c r="W137" i="14698"/>
  <c r="T210" i="14698"/>
  <c r="Y167" i="14698"/>
  <c r="T207" i="14698"/>
  <c r="Q121" i="14698"/>
  <c r="V142" i="14704"/>
  <c r="T160" i="14704"/>
  <c r="E142" i="14704"/>
  <c r="P177" i="14698"/>
  <c r="Y75" i="14702"/>
  <c r="V228" i="14698"/>
  <c r="Q122" i="14698"/>
  <c r="X232" i="14704"/>
  <c r="M214" i="14704"/>
  <c r="F178" i="14704"/>
  <c r="T135" i="14702" a="1"/>
  <c r="T138" i="14702" s="1"/>
  <c r="T225" i="14698"/>
  <c r="Y76" i="14702"/>
  <c r="V231" i="14698"/>
  <c r="Q123" i="14698"/>
  <c r="V229" i="14698"/>
  <c r="U82" i="14702"/>
  <c r="T84" i="14702"/>
  <c r="Y230" i="14698"/>
  <c r="X176" i="14698"/>
  <c r="R193" i="14698"/>
  <c r="N159" i="14702"/>
  <c r="U142" i="14704"/>
  <c r="X172" i="14698"/>
  <c r="P213" i="14698"/>
  <c r="P212" i="14698"/>
  <c r="Y223" i="14698"/>
  <c r="X177" i="14698"/>
  <c r="U83" i="14702"/>
  <c r="Y220" i="14698"/>
  <c r="Y227" i="14698"/>
  <c r="U79" i="14702"/>
  <c r="V194" i="14698"/>
  <c r="S79" i="14702"/>
  <c r="U80" i="14702"/>
  <c r="T214" i="14704"/>
  <c r="Y208" i="14698"/>
  <c r="U78" i="14702"/>
  <c r="S83" i="14702"/>
  <c r="V214" i="14704"/>
  <c r="D178" i="14704"/>
  <c r="F250" i="14704"/>
  <c r="V205" i="14702" a="1"/>
  <c r="V209" i="14702" s="1"/>
  <c r="N7" i="14640"/>
  <c r="U81" i="14702"/>
  <c r="Y209" i="14698"/>
  <c r="R191" i="14698"/>
  <c r="S81" i="14702"/>
  <c r="R195" i="14698"/>
  <c r="R192" i="14698"/>
  <c r="S137" i="14698"/>
  <c r="Y222" i="14698"/>
  <c r="X175" i="14698"/>
  <c r="P247" i="14702" a="1"/>
  <c r="P249" i="14702" s="1"/>
  <c r="S118" i="14702" a="1"/>
  <c r="S118" i="14702" s="1"/>
  <c r="K214" i="14704"/>
  <c r="S120" i="14698"/>
  <c r="X249" i="14698"/>
  <c r="T120" i="14698"/>
  <c r="W93" i="14704" a="1"/>
  <c r="W93" i="14704" s="1"/>
  <c r="P175" i="14702" a="1"/>
  <c r="P176" i="14702" s="1"/>
  <c r="Y202" i="14702" a="1"/>
  <c r="Y203" i="14702" s="1"/>
  <c r="U206" i="14702" a="1"/>
  <c r="U213" i="14702" s="1"/>
  <c r="V177" i="14698"/>
  <c r="O194" i="14702"/>
  <c r="Y202" i="14698"/>
  <c r="H142" i="14704"/>
  <c r="F214" i="14704"/>
  <c r="X214" i="14704"/>
  <c r="X221" i="14698"/>
  <c r="U173" i="14698"/>
  <c r="Y226" i="14698"/>
  <c r="X174" i="14698"/>
  <c r="Y211" i="14698"/>
  <c r="U193" i="14698"/>
  <c r="S84" i="14702"/>
  <c r="V80" i="14702"/>
  <c r="T232" i="14704"/>
  <c r="U134" i="14702" a="1"/>
  <c r="U137" i="14702" s="1"/>
  <c r="J214" i="14704"/>
  <c r="G142" i="14704"/>
  <c r="X85" i="14698"/>
  <c r="Y85" i="14698"/>
  <c r="V187" i="14702" a="1"/>
  <c r="V195" i="14702" s="1"/>
  <c r="S208" i="14702" a="1"/>
  <c r="S212" i="14702" s="1"/>
  <c r="Q246" i="14702" a="1"/>
  <c r="Q249" i="14702" s="1"/>
  <c r="W204" i="14702" a="1"/>
  <c r="W204" i="14702" s="1"/>
  <c r="T226" i="14698"/>
  <c r="T78" i="14702"/>
  <c r="P230" i="14698"/>
  <c r="V227" i="14698"/>
  <c r="V138" i="14698"/>
  <c r="T231" i="14698"/>
  <c r="V139" i="14698"/>
  <c r="P231" i="14698"/>
  <c r="V140" i="14698"/>
  <c r="S177" i="14698"/>
  <c r="I214" i="14704"/>
  <c r="T176" i="14698"/>
  <c r="T228" i="14698"/>
  <c r="S172" i="14698"/>
  <c r="T227" i="14698"/>
  <c r="X123" i="14698"/>
  <c r="U116" i="14698"/>
  <c r="W157" i="14698"/>
  <c r="X121" i="14698"/>
  <c r="N141" i="14702"/>
  <c r="X155" i="14698"/>
  <c r="G124" i="14704"/>
  <c r="T229" i="14698"/>
  <c r="U118" i="14698"/>
  <c r="X117" i="14698"/>
  <c r="W222" i="14698"/>
  <c r="X158" i="14698"/>
  <c r="P175" i="14698"/>
  <c r="W226" i="14698"/>
  <c r="G214" i="14704"/>
  <c r="V250" i="14704"/>
  <c r="D124" i="14704"/>
  <c r="W231" i="14698"/>
  <c r="V119" i="14698"/>
  <c r="T79" i="14702"/>
  <c r="Y73" i="14702"/>
  <c r="R231" i="14698"/>
  <c r="S196" i="14704"/>
  <c r="W232" i="14704"/>
  <c r="T207" i="14702" a="1"/>
  <c r="T208" i="14702" s="1"/>
  <c r="L214" i="14704"/>
  <c r="T142" i="14704"/>
  <c r="R245" i="14702" a="1"/>
  <c r="R249" i="14702" s="1"/>
  <c r="Q214" i="14704"/>
  <c r="R119" i="14702" a="1"/>
  <c r="R120" i="14702" s="1"/>
  <c r="W132" i="14702" a="1"/>
  <c r="W138" i="14702" s="1"/>
  <c r="P195" i="14698"/>
  <c r="V175" i="14698"/>
  <c r="Y136" i="14698"/>
  <c r="T118" i="14698"/>
  <c r="X138" i="14698"/>
  <c r="Y80" i="14702"/>
  <c r="V134" i="14698"/>
  <c r="X248" i="14698"/>
  <c r="T192" i="14698"/>
  <c r="S122" i="14698"/>
  <c r="P159" i="14698"/>
  <c r="U119" i="14698"/>
  <c r="X225" i="14698"/>
  <c r="W230" i="14698"/>
  <c r="S227" i="14698"/>
  <c r="Y83" i="14702"/>
  <c r="N103" i="14698"/>
  <c r="N104" i="14698" s="1"/>
  <c r="V141" i="14698"/>
  <c r="Y135" i="14698"/>
  <c r="T173" i="14698"/>
  <c r="U226" i="14698"/>
  <c r="D232" i="14704"/>
  <c r="S119" i="14698"/>
  <c r="X115" i="14698"/>
  <c r="U122" i="14698"/>
  <c r="X224" i="14698"/>
  <c r="W224" i="14698"/>
  <c r="S229" i="14698"/>
  <c r="Y79" i="14702"/>
  <c r="V136" i="14698"/>
  <c r="X243" i="14698"/>
  <c r="Y139" i="14698"/>
  <c r="T172" i="14698"/>
  <c r="E250" i="14704"/>
  <c r="U225" i="14698"/>
  <c r="V176" i="14698"/>
  <c r="X141" i="14698"/>
  <c r="H232" i="14704"/>
  <c r="D101" i="14704" a="1"/>
  <c r="D101" i="14704" s="1"/>
  <c r="G232" i="14704"/>
  <c r="U96" i="14698" a="1"/>
  <c r="U97" i="14698" s="1"/>
  <c r="T97" i="14698" a="1"/>
  <c r="T101" i="14698" s="1"/>
  <c r="O178" i="14704"/>
  <c r="U214" i="14704"/>
  <c r="S123" i="14698"/>
  <c r="X226" i="14698"/>
  <c r="X242" i="14698"/>
  <c r="X132" i="14698"/>
  <c r="S121" i="14698"/>
  <c r="V172" i="14698"/>
  <c r="X119" i="14698"/>
  <c r="X222" i="14698"/>
  <c r="S173" i="14698"/>
  <c r="Y74" i="14702"/>
  <c r="V230" i="14698"/>
  <c r="V137" i="14698"/>
  <c r="X247" i="14698"/>
  <c r="T189" i="14698"/>
  <c r="H214" i="14704"/>
  <c r="Y137" i="14698"/>
  <c r="T117" i="14698"/>
  <c r="V174" i="14698"/>
  <c r="X134" i="14698"/>
  <c r="R210" i="14698"/>
  <c r="T121" i="14698"/>
  <c r="X137" i="14698"/>
  <c r="O84" i="14702"/>
  <c r="O85" i="14702" s="1"/>
  <c r="R212" i="14698"/>
  <c r="H178" i="14704"/>
  <c r="X231" i="14698"/>
  <c r="S175" i="14698"/>
  <c r="X113" i="14698"/>
  <c r="X230" i="14698"/>
  <c r="W228" i="14698"/>
  <c r="Y84" i="14702"/>
  <c r="T193" i="14698"/>
  <c r="Y132" i="14698"/>
  <c r="C104" i="14700"/>
  <c r="U229" i="14698"/>
  <c r="T123" i="14698"/>
  <c r="X139" i="14698"/>
  <c r="R213" i="14698"/>
  <c r="S174" i="14698"/>
  <c r="V133" i="14698"/>
  <c r="X241" i="14698"/>
  <c r="R211" i="14698"/>
  <c r="X118" i="14698"/>
  <c r="Q120" i="14702" a="1"/>
  <c r="Q122" i="14702" s="1"/>
  <c r="X223" i="14698"/>
  <c r="W225" i="14698"/>
  <c r="S226" i="14698"/>
  <c r="Y77" i="14702"/>
  <c r="V224" i="14698"/>
  <c r="X240" i="14698"/>
  <c r="T194" i="14698"/>
  <c r="T136" i="14698"/>
  <c r="Y134" i="14698"/>
  <c r="T177" i="14698"/>
  <c r="U228" i="14698"/>
  <c r="T119" i="14698"/>
  <c r="X135" i="14698"/>
  <c r="X203" i="14702" a="1"/>
  <c r="X205" i="14702" s="1"/>
  <c r="X120" i="14698"/>
  <c r="X116" i="14698"/>
  <c r="X228" i="14698"/>
  <c r="W227" i="14698"/>
  <c r="S230" i="14698"/>
  <c r="Y81" i="14702"/>
  <c r="X239" i="14698"/>
  <c r="T190" i="14698"/>
  <c r="Y133" i="14698"/>
  <c r="T174" i="14698"/>
  <c r="U227" i="14698"/>
  <c r="V170" i="14698"/>
  <c r="X140" i="14698"/>
  <c r="V241" i="14702" a="1"/>
  <c r="V242" i="14702" s="1"/>
  <c r="V94" i="14704" a="1"/>
  <c r="V94" i="14704" s="1"/>
  <c r="X114" i="14698"/>
  <c r="X227" i="14698"/>
  <c r="W223" i="14698"/>
  <c r="S228" i="14698"/>
  <c r="Y82" i="14702"/>
  <c r="V223" i="14698"/>
  <c r="X246" i="14698"/>
  <c r="T195" i="14698"/>
  <c r="Y131" i="14698"/>
  <c r="T175" i="14698"/>
  <c r="U231" i="14698"/>
  <c r="V169" i="14698"/>
  <c r="X136" i="14698"/>
  <c r="Y140" i="14698"/>
  <c r="U224" i="14698"/>
  <c r="U120" i="14698"/>
  <c r="X245" i="14698"/>
  <c r="Y130" i="14698"/>
  <c r="V171" i="14698"/>
  <c r="Q156" i="14702" a="1"/>
  <c r="Q159" i="14702" s="1"/>
  <c r="G196" i="14704"/>
  <c r="Q92" i="14704" a="1"/>
  <c r="Q92" i="14704" s="1"/>
  <c r="U196" i="14704"/>
  <c r="N40" i="14700"/>
  <c r="K104" i="14700"/>
  <c r="Y130" i="14702" a="1"/>
  <c r="Y134" i="14702" s="1"/>
  <c r="U85" i="14698"/>
  <c r="V124" i="14704"/>
  <c r="S232" i="14704"/>
  <c r="D104" i="14700"/>
  <c r="N124" i="14704"/>
  <c r="S172" i="14702" a="1"/>
  <c r="S176" i="14702" s="1"/>
  <c r="S139" i="14698"/>
  <c r="U210" i="14698"/>
  <c r="U137" i="14698"/>
  <c r="V195" i="14698"/>
  <c r="D16" i="4128"/>
  <c r="S136" i="14698"/>
  <c r="W212" i="14698"/>
  <c r="S226" i="14702" a="1"/>
  <c r="S230" i="14702" s="1"/>
  <c r="Y229" i="14698"/>
  <c r="X171" i="14698"/>
  <c r="Y212" i="14698"/>
  <c r="U212" i="14698"/>
  <c r="G178" i="14704"/>
  <c r="V192" i="14698"/>
  <c r="X153" i="14698"/>
  <c r="Q231" i="14698"/>
  <c r="S80" i="14702"/>
  <c r="M142" i="14704"/>
  <c r="Q229" i="14698"/>
  <c r="W210" i="14698"/>
  <c r="R227" i="14698"/>
  <c r="W94" i="14698" a="1"/>
  <c r="X159" i="14698"/>
  <c r="W209" i="14698"/>
  <c r="R229" i="14698"/>
  <c r="X152" i="14698"/>
  <c r="U242" i="14702" a="1"/>
  <c r="U244" i="14702" s="1"/>
  <c r="Q192" i="14702" a="1"/>
  <c r="Q195" i="14702" s="1"/>
  <c r="W205" i="14698"/>
  <c r="I104" i="14700"/>
  <c r="Y228" i="14698"/>
  <c r="X167" i="14698"/>
  <c r="Y206" i="14698"/>
  <c r="R228" i="14698"/>
  <c r="C160" i="14704"/>
  <c r="U84" i="14702"/>
  <c r="V187" i="14698"/>
  <c r="P160" i="14704"/>
  <c r="C40" i="14704"/>
  <c r="W206" i="14698"/>
  <c r="W213" i="14698"/>
  <c r="T83" i="14702"/>
  <c r="Y221" i="14698"/>
  <c r="X173" i="14698"/>
  <c r="H104" i="14700"/>
  <c r="U211" i="14698"/>
  <c r="X189" i="14698"/>
  <c r="N231" i="14702"/>
  <c r="T225" i="14702" a="1"/>
  <c r="T229" i="14702" s="1"/>
  <c r="V189" i="14698"/>
  <c r="F160" i="14704"/>
  <c r="Q124" i="14704"/>
  <c r="K102" i="14704" a="1"/>
  <c r="K102" i="14704" s="1"/>
  <c r="O232" i="14704"/>
  <c r="N142" i="14704"/>
  <c r="R250" i="14704"/>
  <c r="E104" i="14700"/>
  <c r="J104" i="14700"/>
  <c r="T124" i="14704"/>
  <c r="R173" i="14702" a="1"/>
  <c r="R176" i="14702" s="1"/>
  <c r="O214" i="14704"/>
  <c r="R85" i="14698"/>
  <c r="F232" i="14704"/>
  <c r="V133" i="14702" a="1"/>
  <c r="V138" i="14702" s="1"/>
  <c r="V191" i="14698"/>
  <c r="Y203" i="14698"/>
  <c r="O41" i="14639"/>
  <c r="O42" i="14639" s="1"/>
  <c r="C42" i="14674" s="1"/>
  <c r="S138" i="14698"/>
  <c r="W207" i="14698"/>
  <c r="Y225" i="14698"/>
  <c r="X169" i="14698"/>
  <c r="Y210" i="14698"/>
  <c r="U206" i="14698"/>
  <c r="V190" i="14698"/>
  <c r="C142" i="14704"/>
  <c r="K250" i="14704"/>
  <c r="W186" i="14702" a="1"/>
  <c r="W193" i="14702" s="1"/>
  <c r="U178" i="14704"/>
  <c r="K160" i="14704"/>
  <c r="N93" i="14704" a="1"/>
  <c r="N93" i="14704" s="1"/>
  <c r="U232" i="14704"/>
  <c r="H40" i="14704"/>
  <c r="W196" i="14704"/>
  <c r="U250" i="14704"/>
  <c r="V196" i="14704"/>
  <c r="O124" i="14704"/>
  <c r="S98" i="14698" a="1"/>
  <c r="S103" i="14698" s="1"/>
  <c r="Y92" i="14698" a="1"/>
  <c r="Y99" i="14698" s="1"/>
  <c r="R99" i="14698" a="1"/>
  <c r="R101" i="14698" s="1"/>
  <c r="P214" i="14704"/>
  <c r="S85" i="14698"/>
  <c r="W85" i="14698"/>
  <c r="U208" i="14698"/>
  <c r="S141" i="14698"/>
  <c r="W211" i="14698"/>
  <c r="Y248" i="14698"/>
  <c r="U207" i="14698"/>
  <c r="D196" i="14704"/>
  <c r="V193" i="14698"/>
  <c r="C102" i="14704" a="1"/>
  <c r="C102" i="14704" s="1"/>
  <c r="O102" i="14702" s="1"/>
  <c r="K96" i="14704" a="1"/>
  <c r="K96" i="14704" s="1"/>
  <c r="I142" i="14704"/>
  <c r="W250" i="14704"/>
  <c r="Q174" i="14702" a="1"/>
  <c r="Q177" i="14702" s="1"/>
  <c r="G104" i="14700"/>
  <c r="W204" i="14698"/>
  <c r="P100" i="14704" a="1"/>
  <c r="P100" i="14704" s="1"/>
  <c r="V115" i="14702" a="1"/>
  <c r="V118" i="14702" s="1"/>
  <c r="S160" i="14704"/>
  <c r="S94" i="14704" a="1"/>
  <c r="S94" i="14704" s="1"/>
  <c r="F124" i="14704"/>
  <c r="M104" i="14700"/>
  <c r="W240" i="14702" a="1"/>
  <c r="W248" i="14702" s="1"/>
  <c r="V159" i="14698"/>
  <c r="T171" i="14702" a="1"/>
  <c r="T172" i="14702" s="1"/>
  <c r="Y156" i="14698"/>
  <c r="Y173" i="14698"/>
  <c r="J101" i="14704" a="1"/>
  <c r="J101" i="14704" s="1"/>
  <c r="Q176" i="14698"/>
  <c r="W79" i="14702"/>
  <c r="W154" i="14698"/>
  <c r="R227" i="14702" a="1"/>
  <c r="R227" i="14702" s="1"/>
  <c r="Y189" i="14698"/>
  <c r="V158" i="14698"/>
  <c r="U121" i="14698"/>
  <c r="T158" i="14698"/>
  <c r="Y117" i="14698"/>
  <c r="Q211" i="14698"/>
  <c r="U172" i="14698"/>
  <c r="Y150" i="14698"/>
  <c r="Y169" i="14698"/>
  <c r="S92" i="14704" a="1"/>
  <c r="S92" i="14704" s="1"/>
  <c r="R98" i="14704" a="1"/>
  <c r="R98" i="14704" s="1"/>
  <c r="Q174" i="14698"/>
  <c r="W77" i="14702"/>
  <c r="W159" i="14698"/>
  <c r="Y192" i="14698"/>
  <c r="V154" i="14698"/>
  <c r="Q100" i="14698" a="1"/>
  <c r="Q100" i="14698" s="1"/>
  <c r="N178" i="14704"/>
  <c r="T248" i="14698"/>
  <c r="V121" i="14698"/>
  <c r="U170" i="14698"/>
  <c r="Y174" i="14698"/>
  <c r="J142" i="14704"/>
  <c r="Y195" i="14698"/>
  <c r="V82" i="14702"/>
  <c r="N214" i="14704"/>
  <c r="V155" i="14698"/>
  <c r="W168" i="14698"/>
  <c r="C250" i="14704"/>
  <c r="T245" i="14698"/>
  <c r="V115" i="14698"/>
  <c r="Y119" i="14698"/>
  <c r="U177" i="14698"/>
  <c r="X79" i="14702"/>
  <c r="U194" i="14698"/>
  <c r="Y191" i="14698"/>
  <c r="F104" i="14700"/>
  <c r="V83" i="14702"/>
  <c r="Y170" i="14698"/>
  <c r="U175" i="14698"/>
  <c r="T243" i="14698"/>
  <c r="V116" i="14698"/>
  <c r="V95" i="14698" a="1"/>
  <c r="V99" i="14698" s="1"/>
  <c r="Y120" i="14698"/>
  <c r="Y153" i="14698"/>
  <c r="R176" i="14698"/>
  <c r="W78" i="14702"/>
  <c r="W150" i="14698"/>
  <c r="U191" i="14698"/>
  <c r="Y190" i="14698"/>
  <c r="V76" i="14702"/>
  <c r="Y193" i="14698"/>
  <c r="T249" i="14698"/>
  <c r="V153" i="14698"/>
  <c r="V117" i="14698"/>
  <c r="T155" i="14698"/>
  <c r="H103" i="14704" a="1"/>
  <c r="H103" i="14704" s="1"/>
  <c r="W81" i="14702"/>
  <c r="W151" i="14698"/>
  <c r="U195" i="14698"/>
  <c r="Y194" i="14698"/>
  <c r="I124" i="14704"/>
  <c r="Q142" i="14704"/>
  <c r="M178" i="14704"/>
  <c r="Q232" i="14704"/>
  <c r="X91" i="14704" a="1"/>
  <c r="X91" i="14704" s="1"/>
  <c r="U170" i="14702" a="1"/>
  <c r="U170" i="14702" s="1"/>
  <c r="W91" i="14704" a="1"/>
  <c r="W91" i="14704" s="1"/>
  <c r="F142" i="14704"/>
  <c r="R124" i="14704"/>
  <c r="N232" i="14704"/>
  <c r="H101" i="14704" a="1"/>
  <c r="H101" i="14704" s="1"/>
  <c r="S250" i="14704"/>
  <c r="L124" i="14704"/>
  <c r="R214" i="14704"/>
  <c r="B87" i="14704"/>
  <c r="E74" i="14643"/>
  <c r="F72" i="14643" s="1"/>
  <c r="L104" i="14700"/>
  <c r="T244" i="14698"/>
  <c r="V123" i="14698"/>
  <c r="V77" i="14702"/>
  <c r="T246" i="14698"/>
  <c r="V157" i="14698"/>
  <c r="U123" i="14698"/>
  <c r="V118" i="14698"/>
  <c r="T156" i="14698"/>
  <c r="Y112" i="14698"/>
  <c r="Y158" i="14698"/>
  <c r="R209" i="14702" a="1"/>
  <c r="R210" i="14702" s="1"/>
  <c r="I102" i="14704" a="1"/>
  <c r="I102" i="14704" s="1"/>
  <c r="W84" i="14702"/>
  <c r="W156" i="14698"/>
  <c r="Y188" i="14698"/>
  <c r="V79" i="14702"/>
  <c r="U176" i="14698"/>
  <c r="W150" i="14702" a="1"/>
  <c r="W157" i="14702" s="1"/>
  <c r="Y121" i="14698"/>
  <c r="Y155" i="14698"/>
  <c r="V156" i="14698"/>
  <c r="T154" i="14698"/>
  <c r="Y118" i="14698"/>
  <c r="Y159" i="14698"/>
  <c r="O96" i="14704" a="1"/>
  <c r="O96" i="14704" s="1"/>
  <c r="Q175" i="14698"/>
  <c r="W82" i="14702"/>
  <c r="W152" i="14698"/>
  <c r="Y186" i="14698"/>
  <c r="V84" i="14702"/>
  <c r="Y187" i="14698"/>
  <c r="Y152" i="14698"/>
  <c r="Y172" i="14698"/>
  <c r="W75" i="14702"/>
  <c r="W155" i="14698"/>
  <c r="T178" i="14704"/>
  <c r="X149" i="14702" a="1"/>
  <c r="X154" i="14702" s="1"/>
  <c r="S244" i="14702" a="1"/>
  <c r="S245" i="14702" s="1"/>
  <c r="X178" i="14704"/>
  <c r="R142" i="14704"/>
  <c r="F40" i="14704"/>
  <c r="U116" i="14702" a="1"/>
  <c r="U117" i="14702" s="1"/>
  <c r="N95" i="14704" a="1"/>
  <c r="N95" i="14704" s="1"/>
  <c r="Y247" i="14698"/>
  <c r="R137" i="14702" a="1"/>
  <c r="R140" i="14702" s="1"/>
  <c r="U135" i="14698"/>
  <c r="G102" i="14704" a="1"/>
  <c r="G102" i="14704" s="1"/>
  <c r="F103" i="14704" a="1"/>
  <c r="F103" i="14704" s="1"/>
  <c r="Y243" i="14698"/>
  <c r="X193" i="14698"/>
  <c r="U138" i="14698"/>
  <c r="Q82" i="14702"/>
  <c r="X93" i="14698" a="1"/>
  <c r="X103" i="14698" s="1"/>
  <c r="Q84" i="14702"/>
  <c r="V232" i="14704"/>
  <c r="R232" i="14704"/>
  <c r="M96" i="14704" a="1"/>
  <c r="M96" i="14704" s="1"/>
  <c r="Y239" i="14698"/>
  <c r="P121" i="14702" a="1"/>
  <c r="P123" i="14702" s="1"/>
  <c r="G66" i="14643" a="1"/>
  <c r="G73" i="14643" s="1"/>
  <c r="X185" i="14698"/>
  <c r="I100" i="14704" a="1"/>
  <c r="I100" i="14704" s="1"/>
  <c r="Y249" i="14698"/>
  <c r="Q83" i="14702"/>
  <c r="K98" i="14704" a="1"/>
  <c r="K98" i="14704" s="1"/>
  <c r="Y245" i="14698"/>
  <c r="X191" i="14698"/>
  <c r="X190" i="14698"/>
  <c r="O94" i="14704" a="1"/>
  <c r="O94" i="14704" s="1"/>
  <c r="Y241" i="14698"/>
  <c r="E160" i="14704"/>
  <c r="X192" i="14698"/>
  <c r="T196" i="14704"/>
  <c r="L142" i="14704"/>
  <c r="K100" i="14704" a="1"/>
  <c r="K100" i="14704" s="1"/>
  <c r="R91" i="14704" a="1"/>
  <c r="R91" i="14704" s="1"/>
  <c r="Y242" i="14698"/>
  <c r="X187" i="14698"/>
  <c r="J99" i="14704" a="1"/>
  <c r="J99" i="14704" s="1"/>
  <c r="Y246" i="14698"/>
  <c r="X195" i="14698"/>
  <c r="U134" i="14698"/>
  <c r="Y166" i="14702" a="1"/>
  <c r="Y176" i="14702" s="1"/>
  <c r="D250" i="14704"/>
  <c r="P157" i="14702" a="1"/>
  <c r="P159" i="14702" s="1"/>
  <c r="Q250" i="14704"/>
  <c r="O196" i="14704"/>
  <c r="H124" i="14704"/>
  <c r="N37" i="14704"/>
  <c r="I96" i="14704" a="1"/>
  <c r="I96" i="14704" s="1"/>
  <c r="Q160" i="14704"/>
  <c r="H99" i="14704" a="1"/>
  <c r="H99" i="14704" s="1"/>
  <c r="S124" i="14704"/>
  <c r="S178" i="14704"/>
  <c r="K103" i="14704" a="1"/>
  <c r="K103" i="14704" s="1"/>
  <c r="L196" i="14704"/>
  <c r="P99" i="14704" a="1"/>
  <c r="P99" i="14704" s="1"/>
  <c r="N38" i="14704"/>
  <c r="T250" i="14704"/>
  <c r="O160" i="14704"/>
  <c r="V169" i="14702" a="1"/>
  <c r="V175" i="14702" s="1"/>
  <c r="Q85" i="14698"/>
  <c r="K178" i="14704"/>
  <c r="P124" i="14704"/>
  <c r="H160" i="14704"/>
  <c r="U141" i="14698"/>
  <c r="P93" i="14704" a="1"/>
  <c r="P93" i="14704" s="1"/>
  <c r="I178" i="14704"/>
  <c r="Y240" i="14698"/>
  <c r="X113" i="14702" a="1"/>
  <c r="X121" i="14702" s="1"/>
  <c r="X186" i="14698"/>
  <c r="U136" i="14698"/>
  <c r="L97" i="14704" a="1"/>
  <c r="L97" i="14704" s="1"/>
  <c r="Y244" i="14698"/>
  <c r="X194" i="14698"/>
  <c r="U140" i="14698"/>
  <c r="X84" i="14702"/>
  <c r="X78" i="14702"/>
  <c r="W168" i="14702" a="1"/>
  <c r="W172" i="14702" s="1"/>
  <c r="E101" i="14704" a="1"/>
  <c r="E101" i="14704" s="1"/>
  <c r="R83" i="14702"/>
  <c r="B250" i="14704"/>
  <c r="L95" i="14704" a="1"/>
  <c r="L95" i="14704" s="1"/>
  <c r="N91" i="14704" a="1"/>
  <c r="N91" i="14704" s="1"/>
  <c r="B103" i="14704" a="1"/>
  <c r="B103" i="14704" s="1"/>
  <c r="B104" i="14704" s="1"/>
  <c r="N101" i="14704" a="1"/>
  <c r="N101" i="14704" s="1"/>
  <c r="X82" i="14702"/>
  <c r="J96" i="14704" a="1"/>
  <c r="J96" i="14704" s="1"/>
  <c r="R82" i="14702"/>
  <c r="C124" i="14704"/>
  <c r="I98" i="14704" a="1"/>
  <c r="I98" i="14704" s="1"/>
  <c r="E100" i="14704" a="1"/>
  <c r="E100" i="14704" s="1"/>
  <c r="B40" i="14704"/>
  <c r="X239" i="14702" a="1"/>
  <c r="X248" i="14702" s="1"/>
  <c r="H196" i="14704"/>
  <c r="Y148" i="14702" a="1"/>
  <c r="Y156" i="14702" s="1"/>
  <c r="Q196" i="14704"/>
  <c r="I103" i="14704" a="1"/>
  <c r="I103" i="14704" s="1"/>
  <c r="R160" i="14704"/>
  <c r="P94" i="14704" a="1"/>
  <c r="P94" i="14704" s="1"/>
  <c r="K232" i="14704"/>
  <c r="L101" i="14704" a="1"/>
  <c r="L101" i="14704" s="1"/>
  <c r="L96" i="14704" a="1"/>
  <c r="L96" i="14704" s="1"/>
  <c r="K124" i="14704"/>
  <c r="J178" i="14704"/>
  <c r="G160" i="14704"/>
  <c r="B55" i="14700"/>
  <c r="X185" i="14702" a="1"/>
  <c r="X193" i="14702" s="1"/>
  <c r="N39" i="14704"/>
  <c r="T153" i="14702" a="1"/>
  <c r="T159" i="14702" s="1"/>
  <c r="X74" i="14702"/>
  <c r="D102" i="14704" a="1"/>
  <c r="D102" i="14704" s="1"/>
  <c r="R81" i="14702"/>
  <c r="G100" i="14704" a="1"/>
  <c r="G100" i="14704" s="1"/>
  <c r="M92" i="14704" a="1"/>
  <c r="M92" i="14704" s="1"/>
  <c r="X80" i="14702"/>
  <c r="F101" i="14704" a="1"/>
  <c r="F101" i="14704" s="1"/>
  <c r="K94" i="14704" a="1"/>
  <c r="K94" i="14704" s="1"/>
  <c r="F196" i="14704"/>
  <c r="T117" i="14702" a="1"/>
  <c r="T120" i="14702" s="1"/>
  <c r="X76" i="14702"/>
  <c r="J97" i="14704" a="1"/>
  <c r="J97" i="14704" s="1"/>
  <c r="H97" i="14704" a="1"/>
  <c r="H97" i="14704" s="1"/>
  <c r="Q178" i="14704"/>
  <c r="P232" i="14704"/>
  <c r="X75" i="14702"/>
  <c r="D40" i="14704"/>
  <c r="L93" i="14704" a="1"/>
  <c r="L93" i="14704" s="1"/>
  <c r="X81" i="14702"/>
  <c r="E102" i="14704" a="1"/>
  <c r="E102" i="14704" s="1"/>
  <c r="F99" i="14704" a="1"/>
  <c r="F99" i="14704" s="1"/>
  <c r="X77" i="14702"/>
  <c r="M94" i="14704" a="1"/>
  <c r="M94" i="14704" s="1"/>
  <c r="J95" i="14704" a="1"/>
  <c r="J95" i="14704" s="1"/>
  <c r="O92" i="14704" a="1"/>
  <c r="O92" i="14704" s="1"/>
  <c r="D103" i="14704" a="1"/>
  <c r="D103" i="14704" s="1"/>
  <c r="G98" i="14704" a="1"/>
  <c r="G98" i="14704" s="1"/>
  <c r="D160" i="14704"/>
  <c r="P91" i="14704" a="1"/>
  <c r="P91" i="14704" s="1"/>
  <c r="Y176" i="14698"/>
  <c r="Q94" i="14704" a="1"/>
  <c r="Q94" i="14704" s="1"/>
  <c r="I101" i="14704" a="1"/>
  <c r="I101" i="14704" s="1"/>
  <c r="N196" i="14704"/>
  <c r="W114" i="14702" a="1"/>
  <c r="W117" i="14702" s="1"/>
  <c r="P196" i="14704"/>
  <c r="I196" i="14704"/>
  <c r="L178" i="14704"/>
  <c r="J196" i="14704"/>
  <c r="I160" i="14704"/>
  <c r="L160" i="14704"/>
  <c r="M103" i="14704" a="1"/>
  <c r="M103" i="14704" s="1"/>
  <c r="J232" i="14704"/>
  <c r="E103" i="14704" a="1"/>
  <c r="E103" i="14704" s="1"/>
  <c r="P142" i="14704"/>
  <c r="R196" i="14704"/>
  <c r="N250" i="14704"/>
  <c r="N99" i="14704" a="1"/>
  <c r="N99" i="14704" s="1"/>
  <c r="T93" i="14704" a="1"/>
  <c r="T93" i="14704" s="1"/>
  <c r="U171" i="14698"/>
  <c r="Y148" i="14698"/>
  <c r="Y168" i="14698"/>
  <c r="M98" i="14704" a="1"/>
  <c r="M98" i="14704" s="1"/>
  <c r="M160" i="14704"/>
  <c r="K101" i="14704" a="1"/>
  <c r="K101" i="14704" s="1"/>
  <c r="R93" i="14704" a="1"/>
  <c r="R93" i="14704" s="1"/>
  <c r="P96" i="14704" a="1"/>
  <c r="P96" i="14704" s="1"/>
  <c r="X131" i="14702" a="1"/>
  <c r="X139" i="14702" s="1"/>
  <c r="Y157" i="14698"/>
  <c r="Y175" i="14698"/>
  <c r="T91" i="14704" a="1"/>
  <c r="T91" i="14704" s="1"/>
  <c r="K196" i="14704"/>
  <c r="L250" i="14704"/>
  <c r="S190" i="14702" a="1"/>
  <c r="S194" i="14702" s="1"/>
  <c r="P178" i="14704"/>
  <c r="O95" i="14704" a="1"/>
  <c r="O95" i="14704" s="1"/>
  <c r="I232" i="14704"/>
  <c r="I97" i="14704" a="1"/>
  <c r="I97" i="14704" s="1"/>
  <c r="P250" i="14704"/>
  <c r="U91" i="14704" a="1"/>
  <c r="U91" i="14704" s="1"/>
  <c r="N36" i="14704"/>
  <c r="J250" i="14704"/>
  <c r="N34" i="14704"/>
  <c r="R178" i="14704"/>
  <c r="M232" i="14704"/>
  <c r="E232" i="14704"/>
  <c r="L232" i="14704"/>
  <c r="M101" i="14704" a="1"/>
  <c r="M101" i="14704" s="1"/>
  <c r="V151" i="14702" a="1"/>
  <c r="V156" i="14702" s="1"/>
  <c r="L103" i="14704" a="1"/>
  <c r="L103" i="14704" s="1"/>
  <c r="N40" i="14668"/>
  <c r="H250" i="14704"/>
  <c r="M196" i="14704"/>
  <c r="O250" i="14704"/>
  <c r="J124" i="14704"/>
  <c r="Y112" i="14702" a="1"/>
  <c r="Y114" i="14702" s="1"/>
  <c r="L99" i="14704" a="1"/>
  <c r="L99" i="14704" s="1"/>
  <c r="S154" i="14702" a="1"/>
  <c r="S154" i="14702" s="1"/>
  <c r="Q213" i="14698"/>
  <c r="O93" i="14704" a="1"/>
  <c r="O93" i="14704" s="1"/>
  <c r="Y151" i="14698"/>
  <c r="Y171" i="14698"/>
  <c r="P95" i="14704" a="1"/>
  <c r="P95" i="14704" s="1"/>
  <c r="W222" i="14702" a="1"/>
  <c r="W229" i="14702" s="1"/>
  <c r="H100" i="14704" a="1"/>
  <c r="H100" i="14704" s="1"/>
  <c r="Y154" i="14698"/>
  <c r="Y177" i="14698"/>
  <c r="N97" i="14704" a="1"/>
  <c r="N97" i="14704" s="1"/>
  <c r="R155" i="14702" a="1"/>
  <c r="R159" i="14702" s="1"/>
  <c r="E196" i="14704"/>
  <c r="J40" i="14704"/>
  <c r="M95" i="14704" a="1"/>
  <c r="M95" i="14704" s="1"/>
  <c r="S96" i="14704" a="1"/>
  <c r="S96" i="14704" s="1"/>
  <c r="L100" i="14704" a="1"/>
  <c r="L100" i="14704" s="1"/>
  <c r="N98" i="14704" a="1"/>
  <c r="N98" i="14704" s="1"/>
  <c r="M93" i="14704" a="1"/>
  <c r="M93" i="14704" s="1"/>
  <c r="L94" i="14704" a="1"/>
  <c r="L94" i="14704" s="1"/>
  <c r="U95" i="14704" a="1"/>
  <c r="U95" i="14704" s="1"/>
  <c r="W173" i="14698"/>
  <c r="R177" i="14698"/>
  <c r="Q228" i="14702" a="1"/>
  <c r="Q231" i="14702" s="1"/>
  <c r="P98" i="14704" a="1"/>
  <c r="P98" i="14704" s="1"/>
  <c r="N96" i="14704" a="1"/>
  <c r="N96" i="14704" s="1"/>
  <c r="M124" i="14704"/>
  <c r="U188" i="14702" a="1"/>
  <c r="U189" i="14702" s="1"/>
  <c r="R96" i="14704" a="1"/>
  <c r="R96" i="14704" s="1"/>
  <c r="G40" i="14704"/>
  <c r="J102" i="14704" a="1"/>
  <c r="J102" i="14704" s="1"/>
  <c r="H98" i="14704" a="1"/>
  <c r="H98" i="14704" s="1"/>
  <c r="Y91" i="14704" a="1"/>
  <c r="Y91" i="14704" s="1"/>
  <c r="Y104" i="14704" s="1"/>
  <c r="N102" i="14704" a="1"/>
  <c r="N102" i="14704" s="1"/>
  <c r="W170" i="14698"/>
  <c r="U93" i="14704" a="1"/>
  <c r="U93" i="14704" s="1"/>
  <c r="H102" i="14704" a="1"/>
  <c r="H102" i="14704" s="1"/>
  <c r="P97" i="14704" a="1"/>
  <c r="P97" i="14704" s="1"/>
  <c r="Q91" i="14704" a="1"/>
  <c r="Q91" i="14704" s="1"/>
  <c r="Q98" i="14704" a="1"/>
  <c r="Q98" i="14704" s="1"/>
  <c r="O98" i="14704" a="1"/>
  <c r="O98" i="14704" s="1"/>
  <c r="G101" i="14704" a="1"/>
  <c r="G101" i="14704" s="1"/>
  <c r="V93" i="14704" a="1"/>
  <c r="V93" i="14704" s="1"/>
  <c r="T243" i="14702" a="1"/>
  <c r="T244" i="14702" s="1"/>
  <c r="I40" i="14704"/>
  <c r="J160" i="14704"/>
  <c r="N92" i="14704" a="1"/>
  <c r="N92" i="14704" s="1"/>
  <c r="O101" i="14704" a="1"/>
  <c r="O101" i="14704" s="1"/>
  <c r="W169" i="14698"/>
  <c r="O99" i="14704" a="1"/>
  <c r="O99" i="14704" s="1"/>
  <c r="Q93" i="14704" a="1"/>
  <c r="Q93" i="14704" s="1"/>
  <c r="M99" i="14704" a="1"/>
  <c r="M99" i="14704" s="1"/>
  <c r="T135" i="14698"/>
  <c r="F100" i="14704" a="1"/>
  <c r="F100" i="14704" s="1"/>
  <c r="X92" i="14704" a="1"/>
  <c r="X92" i="14704" s="1"/>
  <c r="W175" i="14698"/>
  <c r="V92" i="14704" a="1"/>
  <c r="V92" i="14704" s="1"/>
  <c r="K40" i="14704"/>
  <c r="L98" i="14704" a="1"/>
  <c r="L98" i="14704" s="1"/>
  <c r="Y184" i="14702" a="1"/>
  <c r="Y185" i="14702" s="1"/>
  <c r="E40" i="14704"/>
  <c r="P92" i="14704" a="1"/>
  <c r="P92" i="14704" s="1"/>
  <c r="M102" i="14704" a="1"/>
  <c r="M102" i="14704" s="1"/>
  <c r="U224" i="14702" a="1"/>
  <c r="U225" i="14702" s="1"/>
  <c r="M100" i="14704" a="1"/>
  <c r="M100" i="14704" s="1"/>
  <c r="Q96" i="14704" a="1"/>
  <c r="Q96" i="14704" s="1"/>
  <c r="V223" i="14702" a="1"/>
  <c r="V227" i="14702" s="1"/>
  <c r="N94" i="14704" a="1"/>
  <c r="N94" i="14704" s="1"/>
  <c r="I99" i="14704" a="1"/>
  <c r="I99" i="14704" s="1"/>
  <c r="L40" i="14704"/>
  <c r="W92" i="14704" a="1"/>
  <c r="W92" i="14704" s="1"/>
  <c r="G250" i="14704"/>
  <c r="O97" i="14704" a="1"/>
  <c r="O97" i="14704" s="1"/>
  <c r="T140" i="14698"/>
  <c r="K95" i="14704" a="1"/>
  <c r="K95" i="14704" s="1"/>
  <c r="T96" i="14704" a="1"/>
  <c r="T96" i="14704" s="1"/>
  <c r="W174" i="14698"/>
  <c r="S95" i="14704" a="1"/>
  <c r="S95" i="14704" s="1"/>
  <c r="T94" i="14704" a="1"/>
  <c r="T94" i="14704" s="1"/>
  <c r="J103" i="14704" a="1"/>
  <c r="J103" i="14704" s="1"/>
  <c r="V91" i="14704" a="1"/>
  <c r="V91" i="14704" s="1"/>
  <c r="J98" i="14704" a="1"/>
  <c r="J98" i="14704" s="1"/>
  <c r="O100" i="14704" a="1"/>
  <c r="O100" i="14704" s="1"/>
  <c r="R97" i="14704" a="1"/>
  <c r="R97" i="14704" s="1"/>
  <c r="T92" i="14704" a="1"/>
  <c r="T92" i="14704" s="1"/>
  <c r="T138" i="14698"/>
  <c r="O91" i="14704" a="1"/>
  <c r="O91" i="14704" s="1"/>
  <c r="S97" i="14704" a="1"/>
  <c r="S97" i="14704" s="1"/>
  <c r="N35" i="14704"/>
  <c r="N100" i="14704" a="1"/>
  <c r="N100" i="14704" s="1"/>
  <c r="K99" i="14704" a="1"/>
  <c r="K99" i="14704" s="1"/>
  <c r="K97" i="14704" a="1"/>
  <c r="K97" i="14704" s="1"/>
  <c r="U94" i="14704" a="1"/>
  <c r="U94" i="14704" s="1"/>
  <c r="X221" i="14702" a="1"/>
  <c r="X228" i="14702" s="1"/>
  <c r="R94" i="14704" a="1"/>
  <c r="R94" i="14704" s="1"/>
  <c r="T141" i="14698"/>
  <c r="G99" i="14704" a="1"/>
  <c r="G99" i="14704" s="1"/>
  <c r="M40" i="14704"/>
  <c r="W176" i="14698"/>
  <c r="R175" i="14698"/>
  <c r="N32" i="14704"/>
  <c r="Q97" i="14704" a="1"/>
  <c r="Q97" i="14704" s="1"/>
  <c r="M97" i="14704" a="1"/>
  <c r="M97" i="14704" s="1"/>
  <c r="T189" i="14702" a="1"/>
  <c r="T192" i="14702" s="1"/>
  <c r="N160" i="14704"/>
  <c r="S91" i="14704" a="1"/>
  <c r="S91" i="14704" s="1"/>
  <c r="R95" i="14704" a="1"/>
  <c r="R95" i="14704" s="1"/>
  <c r="N33" i="14704"/>
  <c r="Y220" i="14702" a="1"/>
  <c r="Y230" i="14702" s="1"/>
  <c r="U92" i="14704" a="1"/>
  <c r="U92" i="14704" s="1"/>
  <c r="F102" i="14704" a="1"/>
  <c r="F102" i="14704" s="1"/>
  <c r="T95" i="14704" a="1"/>
  <c r="T95" i="14704" s="1"/>
  <c r="X167" i="14702" a="1"/>
  <c r="X174" i="14702" s="1"/>
  <c r="I250" i="14704"/>
  <c r="Q95" i="14704" a="1"/>
  <c r="Q95" i="14704" s="1"/>
  <c r="U152" i="14702" a="1"/>
  <c r="U158" i="14702" s="1"/>
  <c r="T137" i="14698"/>
  <c r="C103" i="14704" a="1"/>
  <c r="C103" i="14704" s="1"/>
  <c r="O103" i="14702" s="1"/>
  <c r="Q99" i="14704" a="1"/>
  <c r="Q99" i="14704" s="1"/>
  <c r="W171" i="14698"/>
  <c r="R173" i="14698"/>
  <c r="L102" i="14704" a="1"/>
  <c r="L102" i="14704" s="1"/>
  <c r="G103" i="14704" a="1"/>
  <c r="G103" i="14704" s="1"/>
  <c r="S93" i="14704" a="1"/>
  <c r="S93" i="14704" s="1"/>
  <c r="R92" i="14704" a="1"/>
  <c r="R92" i="14704" s="1"/>
  <c r="V85" i="14698"/>
  <c r="Y238" i="14702" a="1"/>
  <c r="Y248" i="14702" s="1"/>
  <c r="T209" i="14698"/>
  <c r="J100" i="14704" a="1"/>
  <c r="J100" i="14704" s="1"/>
  <c r="X150" i="14698"/>
  <c r="M250" i="14704"/>
  <c r="X149" i="14698"/>
  <c r="X151" i="14698"/>
  <c r="X157" i="14698"/>
  <c r="X156" i="14698"/>
  <c r="N35" i="14701"/>
  <c r="R173" i="14700" a="1"/>
  <c r="F178" i="14701"/>
  <c r="V168" i="14702"/>
  <c r="Q168" i="14702"/>
  <c r="U168" i="14702"/>
  <c r="R168" i="14702"/>
  <c r="T168" i="14702"/>
  <c r="L168" i="14702"/>
  <c r="N168" i="14702"/>
  <c r="P168" i="14702"/>
  <c r="S168" i="14702"/>
  <c r="M168" i="14702"/>
  <c r="K168" i="14702"/>
  <c r="O168" i="14702"/>
  <c r="V151" i="14700" a="1"/>
  <c r="J160" i="14701"/>
  <c r="Y112" i="14700" a="1"/>
  <c r="M124" i="14701"/>
  <c r="X78" i="14700"/>
  <c r="X77" i="14700"/>
  <c r="X82" i="14700"/>
  <c r="X84" i="14700"/>
  <c r="X74" i="14700"/>
  <c r="X79" i="14700"/>
  <c r="X83" i="14700"/>
  <c r="X81" i="14700"/>
  <c r="X75" i="14700"/>
  <c r="X80" i="14700"/>
  <c r="X76" i="14700"/>
  <c r="P129" i="14702"/>
  <c r="T129" i="14702"/>
  <c r="R129" i="14702"/>
  <c r="U129" i="14702"/>
  <c r="S129" i="14702"/>
  <c r="V129" i="14702"/>
  <c r="X129" i="14702"/>
  <c r="Y129" i="14702"/>
  <c r="W129" i="14702"/>
  <c r="N129" i="14702"/>
  <c r="Q129" i="14702"/>
  <c r="O129" i="14702"/>
  <c r="L154" i="14702"/>
  <c r="R154" i="14702"/>
  <c r="K154" i="14702"/>
  <c r="J154" i="14702"/>
  <c r="G154" i="14702"/>
  <c r="H154" i="14702"/>
  <c r="P154" i="14702"/>
  <c r="M154" i="14702"/>
  <c r="Q154" i="14702"/>
  <c r="I154" i="14702"/>
  <c r="N154" i="14702"/>
  <c r="O154" i="14702"/>
  <c r="N147" i="14702"/>
  <c r="S147" i="14702"/>
  <c r="T147" i="14702"/>
  <c r="Q147" i="14702"/>
  <c r="W147" i="14702"/>
  <c r="R147" i="14702"/>
  <c r="P147" i="14702"/>
  <c r="X147" i="14702"/>
  <c r="Y147" i="14702"/>
  <c r="V147" i="14702"/>
  <c r="U147" i="14702"/>
  <c r="O147" i="14702"/>
  <c r="N118" i="14702"/>
  <c r="Q118" i="14702"/>
  <c r="M118" i="14702"/>
  <c r="J118" i="14702"/>
  <c r="O118" i="14702"/>
  <c r="R118" i="14702"/>
  <c r="H118" i="14702"/>
  <c r="G118" i="14702"/>
  <c r="P118" i="14702"/>
  <c r="K118" i="14702"/>
  <c r="I118" i="14702"/>
  <c r="L118" i="14702"/>
  <c r="O83" i="14701" a="1"/>
  <c r="C85" i="14702"/>
  <c r="P222" i="14702"/>
  <c r="Q222" i="14702"/>
  <c r="V222" i="14702"/>
  <c r="N222" i="14702"/>
  <c r="S222" i="14702"/>
  <c r="T222" i="14702"/>
  <c r="O222" i="14702"/>
  <c r="L222" i="14702"/>
  <c r="U222" i="14702"/>
  <c r="R222" i="14702"/>
  <c r="K222" i="14702"/>
  <c r="M222" i="14702"/>
  <c r="E230" i="14702"/>
  <c r="K230" i="14702"/>
  <c r="G230" i="14702"/>
  <c r="I230" i="14702"/>
  <c r="H230" i="14702"/>
  <c r="M230" i="14702"/>
  <c r="N230" i="14702"/>
  <c r="J230" i="14702"/>
  <c r="C230" i="14702"/>
  <c r="L230" i="14702"/>
  <c r="F230" i="14702"/>
  <c r="D230" i="14702"/>
  <c r="C124" i="14701"/>
  <c r="O122" i="14700"/>
  <c r="O124" i="14700" s="1"/>
  <c r="E232" i="14701"/>
  <c r="Q228" i="14700" a="1"/>
  <c r="T238" i="14702"/>
  <c r="V238" i="14702"/>
  <c r="X238" i="14702"/>
  <c r="M238" i="14702"/>
  <c r="R238" i="14702"/>
  <c r="P238" i="14702"/>
  <c r="W238" i="14702"/>
  <c r="S238" i="14702"/>
  <c r="Q238" i="14702"/>
  <c r="U238" i="14702"/>
  <c r="N238" i="14702"/>
  <c r="O238" i="14702"/>
  <c r="O95" i="14701" a="1"/>
  <c r="O95" i="14701" s="1"/>
  <c r="H102" i="14701" a="1"/>
  <c r="H102" i="14701" s="1"/>
  <c r="G103" i="14701" a="1"/>
  <c r="G103" i="14701" s="1"/>
  <c r="J100" i="14701" a="1"/>
  <c r="J100" i="14701" s="1"/>
  <c r="I101" i="14701" a="1"/>
  <c r="I101" i="14701" s="1"/>
  <c r="S91" i="14701" a="1"/>
  <c r="S91" i="14701" s="1"/>
  <c r="Q93" i="14701" a="1"/>
  <c r="Q93" i="14701" s="1"/>
  <c r="L98" i="14701" a="1"/>
  <c r="L98" i="14701" s="1"/>
  <c r="G40" i="14701"/>
  <c r="M97" i="14701" a="1"/>
  <c r="M97" i="14701" s="1"/>
  <c r="R92" i="14701" a="1"/>
  <c r="R92" i="14701" s="1"/>
  <c r="K99" i="14701" a="1"/>
  <c r="K99" i="14701" s="1"/>
  <c r="P94" i="14701" a="1"/>
  <c r="P94" i="14701" s="1"/>
  <c r="N96" i="14701" a="1"/>
  <c r="N96" i="14701" s="1"/>
  <c r="G175" i="14702"/>
  <c r="L175" i="14702"/>
  <c r="F175" i="14702"/>
  <c r="K175" i="14702"/>
  <c r="O175" i="14702"/>
  <c r="H175" i="14702"/>
  <c r="D175" i="14702"/>
  <c r="N175" i="14702"/>
  <c r="J175" i="14702"/>
  <c r="I175" i="14702"/>
  <c r="M175" i="14702"/>
  <c r="E175" i="14702"/>
  <c r="U186" i="14702"/>
  <c r="M186" i="14702"/>
  <c r="K186" i="14702"/>
  <c r="T186" i="14702"/>
  <c r="L186" i="14702"/>
  <c r="P186" i="14702"/>
  <c r="S186" i="14702"/>
  <c r="R186" i="14702"/>
  <c r="V186" i="14702"/>
  <c r="N186" i="14702"/>
  <c r="O186" i="14702"/>
  <c r="Q186" i="14702"/>
  <c r="N85" i="14702"/>
  <c r="L250" i="14701"/>
  <c r="X239" i="14700" a="1"/>
  <c r="C214" i="14701"/>
  <c r="O212" i="14700"/>
  <c r="O214" i="14700" s="1"/>
  <c r="N39" i="14701"/>
  <c r="X185" i="14700" a="1"/>
  <c r="L196" i="14701"/>
  <c r="U167" i="14702"/>
  <c r="O167" i="14702"/>
  <c r="L167" i="14702"/>
  <c r="P167" i="14702"/>
  <c r="T167" i="14702"/>
  <c r="N167" i="14702"/>
  <c r="W167" i="14702"/>
  <c r="R167" i="14702"/>
  <c r="S167" i="14702"/>
  <c r="M167" i="14702"/>
  <c r="V167" i="14702"/>
  <c r="Q167" i="14702"/>
  <c r="T188" i="14702"/>
  <c r="S188" i="14702"/>
  <c r="I188" i="14702"/>
  <c r="O188" i="14702"/>
  <c r="N188" i="14702"/>
  <c r="L188" i="14702"/>
  <c r="K188" i="14702"/>
  <c r="J188" i="14702"/>
  <c r="Q188" i="14702"/>
  <c r="P188" i="14702"/>
  <c r="R188" i="14702"/>
  <c r="M188" i="14702"/>
  <c r="Q96" i="14701" a="1"/>
  <c r="Q96" i="14701" s="1"/>
  <c r="T93" i="14701" a="1"/>
  <c r="T93" i="14701" s="1"/>
  <c r="M100" i="14701" a="1"/>
  <c r="M100" i="14701" s="1"/>
  <c r="S94" i="14701" a="1"/>
  <c r="S94" i="14701" s="1"/>
  <c r="N99" i="14701" a="1"/>
  <c r="N99" i="14701" s="1"/>
  <c r="O98" i="14701" a="1"/>
  <c r="O98" i="14701" s="1"/>
  <c r="J40" i="14701"/>
  <c r="L101" i="14701" a="1"/>
  <c r="L101" i="14701" s="1"/>
  <c r="U92" i="14701" a="1"/>
  <c r="U92" i="14701" s="1"/>
  <c r="P97" i="14701" a="1"/>
  <c r="P97" i="14701" s="1"/>
  <c r="J103" i="14701" a="1"/>
  <c r="J103" i="14701" s="1"/>
  <c r="K102" i="14701" a="1"/>
  <c r="K102" i="14701" s="1"/>
  <c r="R95" i="14701" a="1"/>
  <c r="R95" i="14701" s="1"/>
  <c r="V91" i="14701" a="1"/>
  <c r="V91" i="14701" s="1"/>
  <c r="I40" i="14701"/>
  <c r="K101" i="14701" a="1"/>
  <c r="K101" i="14701" s="1"/>
  <c r="T92" i="14701" a="1"/>
  <c r="T92" i="14701" s="1"/>
  <c r="I103" i="14701" a="1"/>
  <c r="I103" i="14701" s="1"/>
  <c r="Q95" i="14701" a="1"/>
  <c r="Q95" i="14701" s="1"/>
  <c r="O97" i="14701" a="1"/>
  <c r="O97" i="14701" s="1"/>
  <c r="S93" i="14701" a="1"/>
  <c r="S93" i="14701" s="1"/>
  <c r="P96" i="14701" a="1"/>
  <c r="P96" i="14701" s="1"/>
  <c r="M99" i="14701" a="1"/>
  <c r="M99" i="14701" s="1"/>
  <c r="L100" i="14701" a="1"/>
  <c r="L100" i="14701" s="1"/>
  <c r="N98" i="14701" a="1"/>
  <c r="N98" i="14701" s="1"/>
  <c r="R94" i="14701" a="1"/>
  <c r="R94" i="14701" s="1"/>
  <c r="U91" i="14701" a="1"/>
  <c r="U91" i="14701" s="1"/>
  <c r="J102" i="14701" a="1"/>
  <c r="J102" i="14701" s="1"/>
  <c r="N36" i="14701"/>
  <c r="T96" i="14701" a="1"/>
  <c r="T96" i="14701" s="1"/>
  <c r="M103" i="14701" a="1"/>
  <c r="M103" i="14701" s="1"/>
  <c r="Q99" i="14701" a="1"/>
  <c r="Q99" i="14701" s="1"/>
  <c r="U95" i="14701" a="1"/>
  <c r="U95" i="14701" s="1"/>
  <c r="R98" i="14701" a="1"/>
  <c r="R98" i="14701" s="1"/>
  <c r="Y91" i="14701" a="1"/>
  <c r="Y91" i="14701" s="1"/>
  <c r="P100" i="14701" a="1"/>
  <c r="P100" i="14701" s="1"/>
  <c r="M40" i="14701"/>
  <c r="X92" i="14701" a="1"/>
  <c r="X92" i="14701" s="1"/>
  <c r="V94" i="14701" a="1"/>
  <c r="V94" i="14701" s="1"/>
  <c r="W93" i="14701" a="1"/>
  <c r="W93" i="14701" s="1"/>
  <c r="O101" i="14701" a="1"/>
  <c r="O101" i="14701" s="1"/>
  <c r="N102" i="14701" a="1"/>
  <c r="N102" i="14701" s="1"/>
  <c r="S97" i="14701" a="1"/>
  <c r="S97" i="14701" s="1"/>
  <c r="D176" i="14702"/>
  <c r="F176" i="14702"/>
  <c r="I176" i="14702"/>
  <c r="N176" i="14702"/>
  <c r="E176" i="14702"/>
  <c r="G176" i="14702"/>
  <c r="M176" i="14702"/>
  <c r="L176" i="14702"/>
  <c r="K176" i="14702"/>
  <c r="J176" i="14702"/>
  <c r="H176" i="14702"/>
  <c r="C176" i="14702"/>
  <c r="R155" i="14700" a="1"/>
  <c r="F160" i="14701"/>
  <c r="Y202" i="14700" a="1"/>
  <c r="M214" i="14701"/>
  <c r="H124" i="14701"/>
  <c r="T117" i="14700" a="1"/>
  <c r="H195" i="14702"/>
  <c r="G195" i="14702"/>
  <c r="J195" i="14702"/>
  <c r="F195" i="14702"/>
  <c r="C195" i="14702"/>
  <c r="O195" i="14701" s="1"/>
  <c r="K195" i="14702"/>
  <c r="B195" i="14702"/>
  <c r="L195" i="14702"/>
  <c r="I195" i="14702"/>
  <c r="D195" i="14702"/>
  <c r="E195" i="14702"/>
  <c r="M195" i="14702"/>
  <c r="L160" i="14701"/>
  <c r="X149" i="14700" a="1"/>
  <c r="W168" i="14700" a="1"/>
  <c r="K178" i="14701"/>
  <c r="E178" i="14701"/>
  <c r="Q174" i="14700" a="1"/>
  <c r="N231" i="14700"/>
  <c r="N232" i="14700" s="1"/>
  <c r="B232" i="14701"/>
  <c r="E140" i="14702"/>
  <c r="D140" i="14702"/>
  <c r="J140" i="14702"/>
  <c r="M140" i="14702"/>
  <c r="C140" i="14702"/>
  <c r="F140" i="14702"/>
  <c r="I140" i="14702"/>
  <c r="G140" i="14702"/>
  <c r="H140" i="14702"/>
  <c r="K140" i="14702"/>
  <c r="N140" i="14702"/>
  <c r="L140" i="14702"/>
  <c r="D211" i="14702"/>
  <c r="J211" i="14702"/>
  <c r="M211" i="14702"/>
  <c r="G211" i="14702"/>
  <c r="N211" i="14702"/>
  <c r="I211" i="14702"/>
  <c r="F211" i="14702"/>
  <c r="O211" i="14702"/>
  <c r="L211" i="14702"/>
  <c r="E211" i="14702"/>
  <c r="H211" i="14702"/>
  <c r="K211" i="14702"/>
  <c r="S150" i="14702"/>
  <c r="N150" i="14702"/>
  <c r="M150" i="14702"/>
  <c r="V150" i="14702"/>
  <c r="K150" i="14702"/>
  <c r="O150" i="14702"/>
  <c r="Q150" i="14702"/>
  <c r="L150" i="14702"/>
  <c r="R150" i="14702"/>
  <c r="U150" i="14702"/>
  <c r="T150" i="14702"/>
  <c r="P150" i="14702"/>
  <c r="N148" i="14702"/>
  <c r="P148" i="14702"/>
  <c r="W148" i="14702"/>
  <c r="S148" i="14702"/>
  <c r="V148" i="14702"/>
  <c r="M148" i="14702"/>
  <c r="O148" i="14702"/>
  <c r="X148" i="14702"/>
  <c r="T148" i="14702"/>
  <c r="U148" i="14702"/>
  <c r="R148" i="14702"/>
  <c r="Q148" i="14702"/>
  <c r="C196" i="14701"/>
  <c r="O194" i="14700"/>
  <c r="O196" i="14700" s="1"/>
  <c r="H85" i="14702"/>
  <c r="T78" i="14701" a="1"/>
  <c r="R113" i="14702"/>
  <c r="M113" i="14702"/>
  <c r="S113" i="14702"/>
  <c r="L113" i="14702"/>
  <c r="N113" i="14702"/>
  <c r="V113" i="14702"/>
  <c r="T113" i="14702"/>
  <c r="P113" i="14702"/>
  <c r="Q113" i="14702"/>
  <c r="W113" i="14702"/>
  <c r="O113" i="14702"/>
  <c r="U113" i="14702"/>
  <c r="N213" i="14700"/>
  <c r="N214" i="14700" s="1"/>
  <c r="B214" i="14701"/>
  <c r="G227" i="14702"/>
  <c r="K227" i="14702"/>
  <c r="O227" i="14702"/>
  <c r="N227" i="14702"/>
  <c r="I227" i="14702"/>
  <c r="H227" i="14702"/>
  <c r="F227" i="14702"/>
  <c r="L227" i="14702"/>
  <c r="Q227" i="14702"/>
  <c r="M227" i="14702"/>
  <c r="P227" i="14702"/>
  <c r="J227" i="14702"/>
  <c r="J242" i="14702"/>
  <c r="K242" i="14702"/>
  <c r="M242" i="14702"/>
  <c r="N242" i="14702"/>
  <c r="I242" i="14702"/>
  <c r="P242" i="14702"/>
  <c r="L242" i="14702"/>
  <c r="R242" i="14702"/>
  <c r="O242" i="14702"/>
  <c r="S242" i="14702"/>
  <c r="T242" i="14702"/>
  <c r="Q242" i="14702"/>
  <c r="S226" i="14700" a="1"/>
  <c r="G232" i="14701"/>
  <c r="G160" i="14701"/>
  <c r="S154" i="14700" a="1"/>
  <c r="P193" i="14700" a="1"/>
  <c r="D196" i="14701"/>
  <c r="K173" i="14702"/>
  <c r="L173" i="14702"/>
  <c r="M173" i="14702"/>
  <c r="I173" i="14702"/>
  <c r="J173" i="14702"/>
  <c r="F173" i="14702"/>
  <c r="P173" i="14702"/>
  <c r="N173" i="14702"/>
  <c r="H173" i="14702"/>
  <c r="O173" i="14702"/>
  <c r="Q173" i="14702"/>
  <c r="G173" i="14702"/>
  <c r="F194" i="14702"/>
  <c r="K194" i="14702"/>
  <c r="L194" i="14702"/>
  <c r="E194" i="14702"/>
  <c r="H194" i="14702"/>
  <c r="N194" i="14702"/>
  <c r="I194" i="14702"/>
  <c r="G194" i="14702"/>
  <c r="M194" i="14702"/>
  <c r="C194" i="14702"/>
  <c r="D194" i="14702"/>
  <c r="J194" i="14702"/>
  <c r="J214" i="14701"/>
  <c r="V205" i="14700" a="1"/>
  <c r="G142" i="14701"/>
  <c r="S136" i="14700" a="1"/>
  <c r="K214" i="14701"/>
  <c r="W204" i="14700" a="1"/>
  <c r="P132" i="14702"/>
  <c r="M132" i="14702"/>
  <c r="T132" i="14702"/>
  <c r="Q132" i="14702"/>
  <c r="V132" i="14702"/>
  <c r="L132" i="14702"/>
  <c r="U132" i="14702"/>
  <c r="K132" i="14702"/>
  <c r="O132" i="14702"/>
  <c r="R132" i="14702"/>
  <c r="N132" i="14702"/>
  <c r="S132" i="14702"/>
  <c r="K136" i="14702"/>
  <c r="I136" i="14702"/>
  <c r="M136" i="14702"/>
  <c r="P136" i="14702"/>
  <c r="G136" i="14702"/>
  <c r="H136" i="14702"/>
  <c r="J136" i="14702"/>
  <c r="Q136" i="14702"/>
  <c r="R136" i="14702"/>
  <c r="N136" i="14702"/>
  <c r="L136" i="14702"/>
  <c r="O136" i="14702"/>
  <c r="I207" i="14702"/>
  <c r="H207" i="14702"/>
  <c r="O207" i="14702"/>
  <c r="M207" i="14702"/>
  <c r="P207" i="14702"/>
  <c r="J207" i="14702"/>
  <c r="K207" i="14702"/>
  <c r="L207" i="14702"/>
  <c r="S207" i="14702"/>
  <c r="R207" i="14702"/>
  <c r="Q207" i="14702"/>
  <c r="N207" i="14702"/>
  <c r="H158" i="14702"/>
  <c r="E158" i="14702"/>
  <c r="C158" i="14702"/>
  <c r="G158" i="14702"/>
  <c r="K158" i="14702"/>
  <c r="I158" i="14702"/>
  <c r="D158" i="14702"/>
  <c r="N158" i="14702"/>
  <c r="J158" i="14702"/>
  <c r="L158" i="14702"/>
  <c r="F158" i="14702"/>
  <c r="M158" i="14702"/>
  <c r="P121" i="14700" a="1"/>
  <c r="D124" i="14701"/>
  <c r="P115" i="14702"/>
  <c r="T115" i="14702"/>
  <c r="J115" i="14702"/>
  <c r="S115" i="14702"/>
  <c r="U115" i="14702"/>
  <c r="O115" i="14702"/>
  <c r="M115" i="14702"/>
  <c r="Q115" i="14702"/>
  <c r="N115" i="14702"/>
  <c r="K115" i="14702"/>
  <c r="R115" i="14702"/>
  <c r="L115" i="14702"/>
  <c r="L114" i="14702"/>
  <c r="R114" i="14702"/>
  <c r="M114" i="14702"/>
  <c r="P114" i="14702"/>
  <c r="Q114" i="14702"/>
  <c r="U114" i="14702"/>
  <c r="S114" i="14702"/>
  <c r="V114" i="14702"/>
  <c r="N114" i="14702"/>
  <c r="O114" i="14702"/>
  <c r="K114" i="14702"/>
  <c r="T114" i="14702"/>
  <c r="J178" i="14701"/>
  <c r="V169" i="14700" a="1"/>
  <c r="W220" i="14702"/>
  <c r="M220" i="14702"/>
  <c r="V220" i="14702"/>
  <c r="N220" i="14702"/>
  <c r="U220" i="14702"/>
  <c r="X220" i="14702"/>
  <c r="O220" i="14702"/>
  <c r="S220" i="14702"/>
  <c r="P220" i="14702"/>
  <c r="Q220" i="14702"/>
  <c r="T220" i="14702"/>
  <c r="R220" i="14702"/>
  <c r="M221" i="14702"/>
  <c r="N221" i="14702"/>
  <c r="R221" i="14702"/>
  <c r="P221" i="14702"/>
  <c r="U221" i="14702"/>
  <c r="O221" i="14702"/>
  <c r="Q221" i="14702"/>
  <c r="S221" i="14702"/>
  <c r="L221" i="14702"/>
  <c r="T221" i="14702"/>
  <c r="V221" i="14702"/>
  <c r="W221" i="14702"/>
  <c r="T243" i="14700" a="1"/>
  <c r="H250" i="14701"/>
  <c r="O244" i="14702"/>
  <c r="N244" i="14702"/>
  <c r="K244" i="14702"/>
  <c r="M244" i="14702"/>
  <c r="Q244" i="14702"/>
  <c r="R244" i="14702"/>
  <c r="I244" i="14702"/>
  <c r="J244" i="14702"/>
  <c r="P244" i="14702"/>
  <c r="L244" i="14702"/>
  <c r="G244" i="14702"/>
  <c r="H244" i="14702"/>
  <c r="S95" i="14701" a="1"/>
  <c r="S95" i="14701" s="1"/>
  <c r="K40" i="14701"/>
  <c r="O99" i="14701" a="1"/>
  <c r="O99" i="14701" s="1"/>
  <c r="N100" i="14701" a="1"/>
  <c r="N100" i="14701" s="1"/>
  <c r="L102" i="14701" a="1"/>
  <c r="L102" i="14701" s="1"/>
  <c r="P98" i="14701" a="1"/>
  <c r="P98" i="14701" s="1"/>
  <c r="K103" i="14701" a="1"/>
  <c r="K103" i="14701" s="1"/>
  <c r="V92" i="14701" a="1"/>
  <c r="V92" i="14701" s="1"/>
  <c r="R96" i="14701" a="1"/>
  <c r="R96" i="14701" s="1"/>
  <c r="T94" i="14701" a="1"/>
  <c r="T94" i="14701" s="1"/>
  <c r="Q97" i="14701" a="1"/>
  <c r="Q97" i="14701" s="1"/>
  <c r="M101" i="14701" a="1"/>
  <c r="M101" i="14701" s="1"/>
  <c r="U93" i="14701" a="1"/>
  <c r="U93" i="14701" s="1"/>
  <c r="W91" i="14701" a="1"/>
  <c r="W91" i="14701" s="1"/>
  <c r="E102" i="14701" a="1"/>
  <c r="E102" i="14701" s="1"/>
  <c r="O92" i="14701" a="1"/>
  <c r="O92" i="14701" s="1"/>
  <c r="L95" i="14701" a="1"/>
  <c r="L95" i="14701" s="1"/>
  <c r="J97" i="14701" a="1"/>
  <c r="J97" i="14701" s="1"/>
  <c r="P91" i="14701" a="1"/>
  <c r="P91" i="14701" s="1"/>
  <c r="I98" i="14701" a="1"/>
  <c r="I98" i="14701" s="1"/>
  <c r="D103" i="14701" a="1"/>
  <c r="D103" i="14701" s="1"/>
  <c r="K96" i="14701" a="1"/>
  <c r="K96" i="14701" s="1"/>
  <c r="M94" i="14701" a="1"/>
  <c r="M94" i="14701" s="1"/>
  <c r="H99" i="14701" a="1"/>
  <c r="H99" i="14701" s="1"/>
  <c r="G100" i="14701" a="1"/>
  <c r="G100" i="14701" s="1"/>
  <c r="D40" i="14701"/>
  <c r="F101" i="14701" a="1"/>
  <c r="F101" i="14701" s="1"/>
  <c r="N93" i="14701" a="1"/>
  <c r="N93" i="14701" s="1"/>
  <c r="L142" i="14701"/>
  <c r="X131" i="14700" a="1"/>
  <c r="L172" i="14702"/>
  <c r="Q172" i="14702"/>
  <c r="O172" i="14702"/>
  <c r="J172" i="14702"/>
  <c r="I172" i="14702"/>
  <c r="K172" i="14702"/>
  <c r="M172" i="14702"/>
  <c r="R172" i="14702"/>
  <c r="G172" i="14702"/>
  <c r="N172" i="14702"/>
  <c r="H172" i="14702"/>
  <c r="P172" i="14702"/>
  <c r="J193" i="14702"/>
  <c r="L193" i="14702"/>
  <c r="K193" i="14702"/>
  <c r="H193" i="14702"/>
  <c r="O193" i="14702"/>
  <c r="M193" i="14702"/>
  <c r="N193" i="14702"/>
  <c r="I193" i="14702"/>
  <c r="E193" i="14702"/>
  <c r="D193" i="14702"/>
  <c r="G193" i="14702"/>
  <c r="F193" i="14702"/>
  <c r="F214" i="14701"/>
  <c r="R209" i="14700" a="1"/>
  <c r="J124" i="14701"/>
  <c r="V115" i="14700" a="1"/>
  <c r="O83" i="14700"/>
  <c r="O84" i="14700"/>
  <c r="T135" i="14700" a="1"/>
  <c r="H142" i="14701"/>
  <c r="L139" i="14702"/>
  <c r="M139" i="14702"/>
  <c r="H139" i="14702"/>
  <c r="E139" i="14702"/>
  <c r="G139" i="14702"/>
  <c r="K139" i="14702"/>
  <c r="J139" i="14702"/>
  <c r="D139" i="14702"/>
  <c r="N139" i="14702"/>
  <c r="O139" i="14702"/>
  <c r="I139" i="14702"/>
  <c r="F139" i="14702"/>
  <c r="M137" i="14702"/>
  <c r="O137" i="14702"/>
  <c r="H137" i="14702"/>
  <c r="G137" i="14702"/>
  <c r="F137" i="14702"/>
  <c r="Q137" i="14702"/>
  <c r="K137" i="14702"/>
  <c r="N137" i="14702"/>
  <c r="I137" i="14702"/>
  <c r="L137" i="14702"/>
  <c r="P137" i="14702"/>
  <c r="J137" i="14702"/>
  <c r="O206" i="14702"/>
  <c r="S206" i="14702"/>
  <c r="Q206" i="14702"/>
  <c r="M206" i="14702"/>
  <c r="L206" i="14702"/>
  <c r="J206" i="14702"/>
  <c r="K206" i="14702"/>
  <c r="R206" i="14702"/>
  <c r="T206" i="14702"/>
  <c r="P206" i="14702"/>
  <c r="N206" i="14702"/>
  <c r="I206" i="14702"/>
  <c r="J159" i="14702"/>
  <c r="K159" i="14702"/>
  <c r="E159" i="14702"/>
  <c r="H159" i="14702"/>
  <c r="D159" i="14702"/>
  <c r="M159" i="14702"/>
  <c r="L159" i="14702"/>
  <c r="B159" i="14702"/>
  <c r="F159" i="14702"/>
  <c r="I159" i="14702"/>
  <c r="C159" i="14702"/>
  <c r="O159" i="14701" s="1"/>
  <c r="G159" i="14702"/>
  <c r="B160" i="14701"/>
  <c r="N159" i="14700"/>
  <c r="N160" i="14700" s="1"/>
  <c r="K119" i="14702"/>
  <c r="Q119" i="14702"/>
  <c r="P119" i="14702"/>
  <c r="M119" i="14702"/>
  <c r="J119" i="14702"/>
  <c r="O119" i="14702"/>
  <c r="H119" i="14702"/>
  <c r="L119" i="14702"/>
  <c r="N119" i="14702"/>
  <c r="I119" i="14702"/>
  <c r="F119" i="14702"/>
  <c r="G119" i="14702"/>
  <c r="Q117" i="14702"/>
  <c r="I117" i="14702"/>
  <c r="N117" i="14702"/>
  <c r="S117" i="14702"/>
  <c r="K117" i="14702"/>
  <c r="R117" i="14702"/>
  <c r="M117" i="14702"/>
  <c r="P117" i="14702"/>
  <c r="O117" i="14702"/>
  <c r="L117" i="14702"/>
  <c r="J117" i="14702"/>
  <c r="H117" i="14702"/>
  <c r="I142" i="14701"/>
  <c r="U134" i="14700" a="1"/>
  <c r="G34" i="14683"/>
  <c r="G40" i="14683"/>
  <c r="G36" i="14683"/>
  <c r="G35" i="14683"/>
  <c r="G41" i="14683"/>
  <c r="G39" i="14683"/>
  <c r="G38" i="14683"/>
  <c r="G37" i="14683"/>
  <c r="S243" i="14702"/>
  <c r="L243" i="14702"/>
  <c r="M243" i="14702"/>
  <c r="I243" i="14702"/>
  <c r="Q243" i="14702"/>
  <c r="J243" i="14702"/>
  <c r="H243" i="14702"/>
  <c r="K243" i="14702"/>
  <c r="P243" i="14702"/>
  <c r="O243" i="14702"/>
  <c r="N243" i="14702"/>
  <c r="R243" i="14702"/>
  <c r="C178" i="14701"/>
  <c r="O176" i="14700"/>
  <c r="O178" i="14700" s="1"/>
  <c r="N33" i="14701"/>
  <c r="C102" i="14701" a="1"/>
  <c r="C102" i="14701" s="1"/>
  <c r="M92" i="14701" a="1"/>
  <c r="M92" i="14701" s="1"/>
  <c r="I96" i="14701" a="1"/>
  <c r="I96" i="14701" s="1"/>
  <c r="B103" i="14701" a="1"/>
  <c r="B103" i="14701" s="1"/>
  <c r="D101" i="14701" a="1"/>
  <c r="D101" i="14701" s="1"/>
  <c r="K94" i="14701" a="1"/>
  <c r="K94" i="14701" s="1"/>
  <c r="F99" i="14701" a="1"/>
  <c r="F99" i="14701" s="1"/>
  <c r="J95" i="14701" a="1"/>
  <c r="J95" i="14701" s="1"/>
  <c r="N32" i="14701"/>
  <c r="E100" i="14701" a="1"/>
  <c r="E100" i="14701" s="1"/>
  <c r="L93" i="14701" a="1"/>
  <c r="L93" i="14701" s="1"/>
  <c r="B40" i="14701"/>
  <c r="G98" i="14701" a="1"/>
  <c r="G98" i="14701" s="1"/>
  <c r="N91" i="14701" a="1"/>
  <c r="N91" i="14701" s="1"/>
  <c r="H97" i="14701" a="1"/>
  <c r="H97" i="14701" s="1"/>
  <c r="M98" i="14701" a="1"/>
  <c r="M98" i="14701" s="1"/>
  <c r="R93" i="14701" a="1"/>
  <c r="R93" i="14701" s="1"/>
  <c r="Q94" i="14701" a="1"/>
  <c r="Q94" i="14701" s="1"/>
  <c r="J101" i="14701" a="1"/>
  <c r="J101" i="14701" s="1"/>
  <c r="T91" i="14701" a="1"/>
  <c r="T91" i="14701" s="1"/>
  <c r="I102" i="14701" a="1"/>
  <c r="I102" i="14701" s="1"/>
  <c r="H103" i="14701" a="1"/>
  <c r="H103" i="14701" s="1"/>
  <c r="L99" i="14701" a="1"/>
  <c r="L99" i="14701" s="1"/>
  <c r="P95" i="14701" a="1"/>
  <c r="P95" i="14701" s="1"/>
  <c r="N97" i="14701" a="1"/>
  <c r="N97" i="14701" s="1"/>
  <c r="K100" i="14701" a="1"/>
  <c r="K100" i="14701" s="1"/>
  <c r="H40" i="14701"/>
  <c r="S92" i="14701" a="1"/>
  <c r="S92" i="14701" s="1"/>
  <c r="O96" i="14701" a="1"/>
  <c r="O96" i="14701" s="1"/>
  <c r="N170" i="14702"/>
  <c r="R170" i="14702"/>
  <c r="O170" i="14702"/>
  <c r="J170" i="14702"/>
  <c r="S170" i="14702"/>
  <c r="Q170" i="14702"/>
  <c r="M170" i="14702"/>
  <c r="L170" i="14702"/>
  <c r="T170" i="14702"/>
  <c r="K170" i="14702"/>
  <c r="I170" i="14702"/>
  <c r="P170" i="14702"/>
  <c r="F142" i="14701"/>
  <c r="R137" i="14700" a="1"/>
  <c r="O190" i="14702"/>
  <c r="N190" i="14702"/>
  <c r="M190" i="14702"/>
  <c r="K190" i="14702"/>
  <c r="G190" i="14702"/>
  <c r="H190" i="14702"/>
  <c r="J190" i="14702"/>
  <c r="P190" i="14702"/>
  <c r="Q190" i="14702"/>
  <c r="L190" i="14702"/>
  <c r="R190" i="14702"/>
  <c r="I190" i="14702"/>
  <c r="I160" i="14701"/>
  <c r="U152" i="14700" a="1"/>
  <c r="I178" i="14701"/>
  <c r="U170" i="14700" a="1"/>
  <c r="P139" i="14700" a="1"/>
  <c r="D142" i="14701"/>
  <c r="T153" i="14700" a="1"/>
  <c r="H160" i="14701"/>
  <c r="Q192" i="14700" a="1"/>
  <c r="E196" i="14701"/>
  <c r="V131" i="14702"/>
  <c r="R131" i="14702"/>
  <c r="S131" i="14702"/>
  <c r="P131" i="14702"/>
  <c r="T131" i="14702"/>
  <c r="L131" i="14702"/>
  <c r="M131" i="14702"/>
  <c r="O131" i="14702"/>
  <c r="U131" i="14702"/>
  <c r="Q131" i="14702"/>
  <c r="W131" i="14702"/>
  <c r="N131" i="14702"/>
  <c r="M205" i="14702"/>
  <c r="S205" i="14702"/>
  <c r="T205" i="14702"/>
  <c r="K205" i="14702"/>
  <c r="P205" i="14702"/>
  <c r="Q205" i="14702"/>
  <c r="N205" i="14702"/>
  <c r="O205" i="14702"/>
  <c r="L205" i="14702"/>
  <c r="R205" i="14702"/>
  <c r="J205" i="14702"/>
  <c r="U205" i="14702"/>
  <c r="J212" i="14702"/>
  <c r="F212" i="14702"/>
  <c r="C212" i="14702"/>
  <c r="E212" i="14702"/>
  <c r="I212" i="14702"/>
  <c r="H212" i="14702"/>
  <c r="G212" i="14702"/>
  <c r="L212" i="14702"/>
  <c r="K212" i="14702"/>
  <c r="N212" i="14702"/>
  <c r="M212" i="14702"/>
  <c r="D212" i="14702"/>
  <c r="U151" i="14702"/>
  <c r="N151" i="14702"/>
  <c r="L151" i="14702"/>
  <c r="P151" i="14702"/>
  <c r="M151" i="14702"/>
  <c r="R151" i="14702"/>
  <c r="T151" i="14702"/>
  <c r="S151" i="14702"/>
  <c r="J151" i="14702"/>
  <c r="Q151" i="14702"/>
  <c r="O151" i="14702"/>
  <c r="K151" i="14702"/>
  <c r="D85" i="14702"/>
  <c r="P82" i="14701" a="1"/>
  <c r="G123" i="14702"/>
  <c r="E123" i="14702"/>
  <c r="J123" i="14702"/>
  <c r="C123" i="14702"/>
  <c r="O123" i="14701" s="1"/>
  <c r="K123" i="14702"/>
  <c r="I123" i="14702"/>
  <c r="M123" i="14702"/>
  <c r="H123" i="14702"/>
  <c r="F123" i="14702"/>
  <c r="B123" i="14702"/>
  <c r="D123" i="14702"/>
  <c r="L123" i="14702"/>
  <c r="J85" i="14702"/>
  <c r="V76" i="14701" a="1"/>
  <c r="N228" i="14702"/>
  <c r="M228" i="14702"/>
  <c r="J228" i="14702"/>
  <c r="G228" i="14702"/>
  <c r="P228" i="14702"/>
  <c r="L228" i="14702"/>
  <c r="E228" i="14702"/>
  <c r="H228" i="14702"/>
  <c r="I228" i="14702"/>
  <c r="F228" i="14702"/>
  <c r="K228" i="14702"/>
  <c r="O228" i="14702"/>
  <c r="E80" i="14643"/>
  <c r="E79" i="14643"/>
  <c r="E85" i="14643"/>
  <c r="E84" i="14643"/>
  <c r="E82" i="14643"/>
  <c r="E83" i="14643"/>
  <c r="E86" i="14643"/>
  <c r="E81" i="14643"/>
  <c r="N248" i="14702"/>
  <c r="K248" i="14702"/>
  <c r="I248" i="14702"/>
  <c r="M248" i="14702"/>
  <c r="C248" i="14702"/>
  <c r="J248" i="14702"/>
  <c r="E248" i="14702"/>
  <c r="D248" i="14702"/>
  <c r="F248" i="14702"/>
  <c r="H248" i="14702"/>
  <c r="L248" i="14702"/>
  <c r="G248" i="14702"/>
  <c r="O158" i="14700"/>
  <c r="O160" i="14700" s="1"/>
  <c r="C160" i="14701"/>
  <c r="N123" i="14700"/>
  <c r="N124" i="14700" s="1"/>
  <c r="B124" i="14701"/>
  <c r="X203" i="14700" a="1"/>
  <c r="L214" i="14701"/>
  <c r="N34" i="14701"/>
  <c r="K169" i="14702"/>
  <c r="N169" i="14702"/>
  <c r="Q169" i="14702"/>
  <c r="T169" i="14702"/>
  <c r="S169" i="14702"/>
  <c r="M169" i="14702"/>
  <c r="L169" i="14702"/>
  <c r="O169" i="14702"/>
  <c r="R169" i="14702"/>
  <c r="P169" i="14702"/>
  <c r="U169" i="14702"/>
  <c r="J169" i="14702"/>
  <c r="S80" i="14700"/>
  <c r="S84" i="14700"/>
  <c r="S81" i="14700"/>
  <c r="S82" i="14700"/>
  <c r="S79" i="14700"/>
  <c r="S83" i="14700"/>
  <c r="Y183" i="14702"/>
  <c r="X183" i="14702"/>
  <c r="S183" i="14702"/>
  <c r="Q183" i="14702"/>
  <c r="T183" i="14702"/>
  <c r="O183" i="14702"/>
  <c r="N183" i="14702"/>
  <c r="R183" i="14702"/>
  <c r="P183" i="14702"/>
  <c r="W183" i="14702"/>
  <c r="V183" i="14702"/>
  <c r="U183" i="14702"/>
  <c r="E124" i="14701"/>
  <c r="Q120" i="14700" a="1"/>
  <c r="V83" i="14700"/>
  <c r="V82" i="14700"/>
  <c r="V77" i="14700"/>
  <c r="V84" i="14700"/>
  <c r="V80" i="14700"/>
  <c r="V79" i="14700"/>
  <c r="V78" i="14700"/>
  <c r="V76" i="14700"/>
  <c r="V81" i="14700"/>
  <c r="I250" i="14701"/>
  <c r="U242" i="14700" a="1"/>
  <c r="Y166" i="14700" a="1"/>
  <c r="M178" i="14701"/>
  <c r="G208" i="14702"/>
  <c r="P208" i="14702"/>
  <c r="R208" i="14702"/>
  <c r="M208" i="14702"/>
  <c r="H208" i="14702"/>
  <c r="K208" i="14702"/>
  <c r="Q208" i="14702"/>
  <c r="N208" i="14702"/>
  <c r="I208" i="14702"/>
  <c r="J208" i="14702"/>
  <c r="L208" i="14702"/>
  <c r="O208" i="14702"/>
  <c r="M202" i="14702"/>
  <c r="P202" i="14702"/>
  <c r="R202" i="14702"/>
  <c r="O202" i="14702"/>
  <c r="U202" i="14702"/>
  <c r="N202" i="14702"/>
  <c r="S202" i="14702"/>
  <c r="Q202" i="14702"/>
  <c r="W202" i="14702"/>
  <c r="T202" i="14702"/>
  <c r="X202" i="14702"/>
  <c r="V202" i="14702"/>
  <c r="S152" i="14702"/>
  <c r="P152" i="14702"/>
  <c r="Q152" i="14702"/>
  <c r="T152" i="14702"/>
  <c r="L152" i="14702"/>
  <c r="K152" i="14702"/>
  <c r="I152" i="14702"/>
  <c r="J152" i="14702"/>
  <c r="R152" i="14702"/>
  <c r="M152" i="14702"/>
  <c r="O152" i="14702"/>
  <c r="N152" i="14702"/>
  <c r="W111" i="14702"/>
  <c r="T111" i="14702"/>
  <c r="P111" i="14702"/>
  <c r="V111" i="14702"/>
  <c r="Q111" i="14702"/>
  <c r="O111" i="14702"/>
  <c r="U111" i="14702"/>
  <c r="N111" i="14702"/>
  <c r="X111" i="14702"/>
  <c r="Y111" i="14702"/>
  <c r="R111" i="14702"/>
  <c r="S111" i="14702"/>
  <c r="B85" i="14702"/>
  <c r="N84" i="14701"/>
  <c r="N85" i="14701" s="1"/>
  <c r="B231" i="14702"/>
  <c r="F231" i="14702"/>
  <c r="E231" i="14702"/>
  <c r="I231" i="14702"/>
  <c r="L231" i="14702"/>
  <c r="D231" i="14702"/>
  <c r="G231" i="14702"/>
  <c r="C231" i="14702"/>
  <c r="O231" i="14701" s="1"/>
  <c r="H231" i="14702"/>
  <c r="J231" i="14702"/>
  <c r="K231" i="14702"/>
  <c r="M231" i="14702"/>
  <c r="P239" i="14702"/>
  <c r="M239" i="14702"/>
  <c r="R239" i="14702"/>
  <c r="T239" i="14702"/>
  <c r="O239" i="14702"/>
  <c r="Q239" i="14702"/>
  <c r="S239" i="14702"/>
  <c r="U239" i="14702"/>
  <c r="V239" i="14702"/>
  <c r="W239" i="14702"/>
  <c r="N239" i="14702"/>
  <c r="L239" i="14702"/>
  <c r="E247" i="14702"/>
  <c r="F247" i="14702"/>
  <c r="O247" i="14702"/>
  <c r="J247" i="14702"/>
  <c r="L247" i="14702"/>
  <c r="D247" i="14702"/>
  <c r="K247" i="14702"/>
  <c r="I247" i="14702"/>
  <c r="N247" i="14702"/>
  <c r="G247" i="14702"/>
  <c r="H247" i="14702"/>
  <c r="M247" i="14702"/>
  <c r="R81" i="14700"/>
  <c r="R80" i="14700"/>
  <c r="R82" i="14700"/>
  <c r="R84" i="14700"/>
  <c r="R83" i="14700"/>
  <c r="G196" i="14701"/>
  <c r="S190" i="14700" a="1"/>
  <c r="X91" i="14701" a="1"/>
  <c r="X91" i="14701" s="1"/>
  <c r="P99" i="14701" a="1"/>
  <c r="P99" i="14701" s="1"/>
  <c r="Q98" i="14701" a="1"/>
  <c r="Q98" i="14701" s="1"/>
  <c r="T95" i="14701" a="1"/>
  <c r="T95" i="14701" s="1"/>
  <c r="M102" i="14701" a="1"/>
  <c r="M102" i="14701" s="1"/>
  <c r="R97" i="14701" a="1"/>
  <c r="R97" i="14701" s="1"/>
  <c r="N101" i="14701" a="1"/>
  <c r="N101" i="14701" s="1"/>
  <c r="V93" i="14701" a="1"/>
  <c r="V93" i="14701" s="1"/>
  <c r="L40" i="14701"/>
  <c r="S96" i="14701" a="1"/>
  <c r="S96" i="14701" s="1"/>
  <c r="L103" i="14701" a="1"/>
  <c r="L103" i="14701" s="1"/>
  <c r="W92" i="14701" a="1"/>
  <c r="W92" i="14701" s="1"/>
  <c r="U94" i="14701" a="1"/>
  <c r="U94" i="14701" s="1"/>
  <c r="O100" i="14701" a="1"/>
  <c r="O100" i="14701" s="1"/>
  <c r="D250" i="14701"/>
  <c r="P247" i="14700" a="1"/>
  <c r="B177" i="14702"/>
  <c r="H177" i="14702"/>
  <c r="I177" i="14702"/>
  <c r="J177" i="14702"/>
  <c r="G177" i="14702"/>
  <c r="D177" i="14702"/>
  <c r="E177" i="14702"/>
  <c r="K177" i="14702"/>
  <c r="F177" i="14702"/>
  <c r="L177" i="14702"/>
  <c r="M177" i="14702"/>
  <c r="C177" i="14702"/>
  <c r="O177" i="14701" s="1"/>
  <c r="W186" i="14700" a="1"/>
  <c r="K196" i="14701"/>
  <c r="J191" i="14702"/>
  <c r="I191" i="14702"/>
  <c r="M191" i="14702"/>
  <c r="Q191" i="14702"/>
  <c r="F191" i="14702"/>
  <c r="K191" i="14702"/>
  <c r="O191" i="14702"/>
  <c r="G191" i="14702"/>
  <c r="N191" i="14702"/>
  <c r="H191" i="14702"/>
  <c r="P191" i="14702"/>
  <c r="L191" i="14702"/>
  <c r="M189" i="14702"/>
  <c r="R189" i="14702"/>
  <c r="Q189" i="14702"/>
  <c r="L189" i="14702"/>
  <c r="N189" i="14702"/>
  <c r="H189" i="14702"/>
  <c r="O189" i="14702"/>
  <c r="I189" i="14702"/>
  <c r="K189" i="14702"/>
  <c r="S189" i="14702"/>
  <c r="P189" i="14702"/>
  <c r="J189" i="14702"/>
  <c r="P175" i="14700" a="1"/>
  <c r="D178" i="14701"/>
  <c r="N177" i="14700"/>
  <c r="N178" i="14700" s="1"/>
  <c r="B178" i="14701"/>
  <c r="S244" i="14700" a="1"/>
  <c r="G250" i="14701"/>
  <c r="E42" i="14622"/>
  <c r="B87" i="14701"/>
  <c r="O130" i="14702"/>
  <c r="X130" i="14702"/>
  <c r="T130" i="14702"/>
  <c r="S130" i="14702"/>
  <c r="W130" i="14702"/>
  <c r="M130" i="14702"/>
  <c r="R130" i="14702"/>
  <c r="Q130" i="14702"/>
  <c r="V130" i="14702"/>
  <c r="U130" i="14702"/>
  <c r="P130" i="14702"/>
  <c r="N130" i="14702"/>
  <c r="K209" i="14702"/>
  <c r="N209" i="14702"/>
  <c r="I209" i="14702"/>
  <c r="H209" i="14702"/>
  <c r="M209" i="14702"/>
  <c r="F209" i="14702"/>
  <c r="Q209" i="14702"/>
  <c r="O209" i="14702"/>
  <c r="G209" i="14702"/>
  <c r="P209" i="14702"/>
  <c r="L209" i="14702"/>
  <c r="J209" i="14702"/>
  <c r="L178" i="14701"/>
  <c r="X167" i="14700" a="1"/>
  <c r="T80" i="14700"/>
  <c r="T84" i="14700"/>
  <c r="T83" i="14700"/>
  <c r="T79" i="14700"/>
  <c r="T81" i="14700"/>
  <c r="T82" i="14700"/>
  <c r="T78" i="14700"/>
  <c r="O156" i="14702"/>
  <c r="G156" i="14702"/>
  <c r="F156" i="14702"/>
  <c r="L156" i="14702"/>
  <c r="J156" i="14702"/>
  <c r="M156" i="14702"/>
  <c r="K156" i="14702"/>
  <c r="H156" i="14702"/>
  <c r="N156" i="14702"/>
  <c r="I156" i="14702"/>
  <c r="E156" i="14702"/>
  <c r="P156" i="14702"/>
  <c r="L116" i="14702"/>
  <c r="K116" i="14702"/>
  <c r="I116" i="14702"/>
  <c r="J116" i="14702"/>
  <c r="T116" i="14702"/>
  <c r="O116" i="14702"/>
  <c r="M116" i="14702"/>
  <c r="S116" i="14702"/>
  <c r="R116" i="14702"/>
  <c r="Q116" i="14702"/>
  <c r="N116" i="14702"/>
  <c r="P116" i="14702"/>
  <c r="S79" i="14701" a="1"/>
  <c r="G85" i="14702"/>
  <c r="U77" i="14701" a="1"/>
  <c r="I85" i="14702"/>
  <c r="T224" i="14702"/>
  <c r="K224" i="14702"/>
  <c r="N224" i="14702"/>
  <c r="L224" i="14702"/>
  <c r="P224" i="14702"/>
  <c r="M224" i="14702"/>
  <c r="J224" i="14702"/>
  <c r="S224" i="14702"/>
  <c r="Q224" i="14702"/>
  <c r="O224" i="14702"/>
  <c r="I224" i="14702"/>
  <c r="R224" i="14702"/>
  <c r="W150" i="14700" a="1"/>
  <c r="K160" i="14701"/>
  <c r="M196" i="14701"/>
  <c r="Y184" i="14700" a="1"/>
  <c r="K249" i="14702"/>
  <c r="I249" i="14702"/>
  <c r="F249" i="14702"/>
  <c r="M249" i="14702"/>
  <c r="G249" i="14702"/>
  <c r="J249" i="14702"/>
  <c r="C249" i="14702"/>
  <c r="O249" i="14701" s="1"/>
  <c r="E249" i="14702"/>
  <c r="B249" i="14702"/>
  <c r="D249" i="14702"/>
  <c r="H249" i="14702"/>
  <c r="L249" i="14702"/>
  <c r="G124" i="14701"/>
  <c r="S118" i="14700" a="1"/>
  <c r="B196" i="14701"/>
  <c r="N195" i="14700"/>
  <c r="N196" i="14700" s="1"/>
  <c r="M171" i="14702"/>
  <c r="S171" i="14702"/>
  <c r="Q171" i="14702"/>
  <c r="K171" i="14702"/>
  <c r="J171" i="14702"/>
  <c r="O171" i="14702"/>
  <c r="R171" i="14702"/>
  <c r="I171" i="14702"/>
  <c r="P171" i="14702"/>
  <c r="L171" i="14702"/>
  <c r="H171" i="14702"/>
  <c r="N171" i="14702"/>
  <c r="R185" i="14702"/>
  <c r="U185" i="14702"/>
  <c r="S185" i="14702"/>
  <c r="V185" i="14702"/>
  <c r="L185" i="14702"/>
  <c r="T185" i="14702"/>
  <c r="Q185" i="14702"/>
  <c r="P185" i="14702"/>
  <c r="N185" i="14702"/>
  <c r="W185" i="14702"/>
  <c r="M185" i="14702"/>
  <c r="O185" i="14702"/>
  <c r="J187" i="14702"/>
  <c r="K187" i="14702"/>
  <c r="T187" i="14702"/>
  <c r="M187" i="14702"/>
  <c r="S187" i="14702"/>
  <c r="N187" i="14702"/>
  <c r="P187" i="14702"/>
  <c r="L187" i="14702"/>
  <c r="U187" i="14702"/>
  <c r="O187" i="14702"/>
  <c r="R187" i="14702"/>
  <c r="Q187" i="14702"/>
  <c r="C232" i="14701"/>
  <c r="O230" i="14700"/>
  <c r="O232" i="14700" s="1"/>
  <c r="C142" i="14701"/>
  <c r="O140" i="14700"/>
  <c r="O142" i="14700" s="1"/>
  <c r="Q246" i="14700" a="1"/>
  <c r="E250" i="14701"/>
  <c r="K133" i="14702"/>
  <c r="S133" i="14702"/>
  <c r="N133" i="14702"/>
  <c r="O133" i="14702"/>
  <c r="T133" i="14702"/>
  <c r="J133" i="14702"/>
  <c r="U133" i="14702"/>
  <c r="L133" i="14702"/>
  <c r="M133" i="14702"/>
  <c r="R133" i="14702"/>
  <c r="Q133" i="14702"/>
  <c r="P133" i="14702"/>
  <c r="V203" i="14702"/>
  <c r="P203" i="14702"/>
  <c r="S203" i="14702"/>
  <c r="T203" i="14702"/>
  <c r="O203" i="14702"/>
  <c r="Q203" i="14702"/>
  <c r="L203" i="14702"/>
  <c r="R203" i="14702"/>
  <c r="U203" i="14702"/>
  <c r="W203" i="14702"/>
  <c r="N203" i="14702"/>
  <c r="M203" i="14702"/>
  <c r="V241" i="14700" a="1"/>
  <c r="J250" i="14701"/>
  <c r="I196" i="14701"/>
  <c r="U188" i="14700" a="1"/>
  <c r="I153" i="14702"/>
  <c r="N153" i="14702"/>
  <c r="O153" i="14702"/>
  <c r="M153" i="14702"/>
  <c r="J153" i="14702"/>
  <c r="P153" i="14702"/>
  <c r="R153" i="14702"/>
  <c r="S153" i="14702"/>
  <c r="L153" i="14702"/>
  <c r="K153" i="14702"/>
  <c r="H153" i="14702"/>
  <c r="Q153" i="14702"/>
  <c r="T225" i="14700" a="1"/>
  <c r="H232" i="14701"/>
  <c r="H34" i="14702"/>
  <c r="F38" i="14702"/>
  <c r="F35" i="14702"/>
  <c r="B36" i="14702"/>
  <c r="K35" i="14702"/>
  <c r="H39" i="14702"/>
  <c r="E34" i="14702"/>
  <c r="M37" i="14702"/>
  <c r="F36" i="14702"/>
  <c r="G35" i="14702"/>
  <c r="K38" i="14702"/>
  <c r="M35" i="14702"/>
  <c r="G32" i="14702"/>
  <c r="G39" i="14702"/>
  <c r="B34" i="14702"/>
  <c r="J32" i="14702"/>
  <c r="I39" i="14702"/>
  <c r="F33" i="14702"/>
  <c r="H37" i="14702"/>
  <c r="L35" i="14702"/>
  <c r="I33" i="14702"/>
  <c r="C39" i="14702"/>
  <c r="C33" i="14702"/>
  <c r="D32" i="14702"/>
  <c r="J35" i="14702"/>
  <c r="H38" i="14702"/>
  <c r="M32" i="14702"/>
  <c r="C37" i="14702"/>
  <c r="I34" i="14702"/>
  <c r="I36" i="14702"/>
  <c r="F39" i="14702"/>
  <c r="D36" i="14702"/>
  <c r="L39" i="14702"/>
  <c r="L36" i="14702"/>
  <c r="G37" i="14702"/>
  <c r="E33" i="14702"/>
  <c r="G33" i="14702"/>
  <c r="K37" i="14702"/>
  <c r="B35" i="14702"/>
  <c r="J37" i="14702"/>
  <c r="C32" i="14702"/>
  <c r="H35" i="14702"/>
  <c r="C34" i="14702"/>
  <c r="E36" i="14702"/>
  <c r="B38" i="14702"/>
  <c r="B33" i="14702"/>
  <c r="J39" i="14702"/>
  <c r="F34" i="14702"/>
  <c r="M39" i="14702"/>
  <c r="M36" i="14702"/>
  <c r="L33" i="14702"/>
  <c r="C36" i="14702"/>
  <c r="H36" i="14702"/>
  <c r="E32" i="14702"/>
  <c r="F37" i="14702"/>
  <c r="L37" i="14702"/>
  <c r="K39" i="14702"/>
  <c r="M33" i="14702"/>
  <c r="C38" i="14702"/>
  <c r="D38" i="14702"/>
  <c r="E37" i="14702"/>
  <c r="C35" i="14702"/>
  <c r="I38" i="14702"/>
  <c r="H32" i="14702"/>
  <c r="L32" i="14702"/>
  <c r="L38" i="14702"/>
  <c r="F32" i="14702"/>
  <c r="D37" i="14702"/>
  <c r="I32" i="14702"/>
  <c r="L34" i="14702"/>
  <c r="K36" i="14702"/>
  <c r="D35" i="14702"/>
  <c r="K32" i="14702"/>
  <c r="I37" i="14702"/>
  <c r="J34" i="14702"/>
  <c r="I35" i="14702"/>
  <c r="B39" i="14702"/>
  <c r="J36" i="14702"/>
  <c r="K33" i="14702"/>
  <c r="K34" i="14702"/>
  <c r="D34" i="14702"/>
  <c r="J38" i="14702"/>
  <c r="M34" i="14702"/>
  <c r="G34" i="14702"/>
  <c r="D39" i="14702"/>
  <c r="D33" i="14702"/>
  <c r="M38" i="14702"/>
  <c r="E38" i="14702"/>
  <c r="E35" i="14702"/>
  <c r="G38" i="14702"/>
  <c r="G36" i="14702"/>
  <c r="B32" i="14702"/>
  <c r="B37" i="14702"/>
  <c r="H33" i="14702"/>
  <c r="E39" i="14702"/>
  <c r="J33" i="14702"/>
  <c r="Y73" i="14701" a="1"/>
  <c r="M85" i="14702"/>
  <c r="E120" i="14702"/>
  <c r="L120" i="14702"/>
  <c r="H120" i="14702"/>
  <c r="K120" i="14702"/>
  <c r="I120" i="14702"/>
  <c r="J120" i="14702"/>
  <c r="P120" i="14702"/>
  <c r="N120" i="14702"/>
  <c r="F120" i="14702"/>
  <c r="G120" i="14702"/>
  <c r="O120" i="14702"/>
  <c r="M120" i="14702"/>
  <c r="R119" i="14700" a="1"/>
  <c r="F124" i="14701"/>
  <c r="B250" i="14701"/>
  <c r="N249" i="14700"/>
  <c r="N250" i="14700" s="1"/>
  <c r="O223" i="14702"/>
  <c r="Q223" i="14702"/>
  <c r="L223" i="14702"/>
  <c r="P223" i="14702"/>
  <c r="U223" i="14702"/>
  <c r="S223" i="14702"/>
  <c r="J223" i="14702"/>
  <c r="M223" i="14702"/>
  <c r="K223" i="14702"/>
  <c r="R223" i="14702"/>
  <c r="N223" i="14702"/>
  <c r="T223" i="14702"/>
  <c r="Y148" i="14700" a="1"/>
  <c r="M160" i="14701"/>
  <c r="R245" i="14700" a="1"/>
  <c r="F250" i="14701"/>
  <c r="Q237" i="14702"/>
  <c r="S237" i="14702"/>
  <c r="O237" i="14702"/>
  <c r="Y237" i="14702"/>
  <c r="T237" i="14702"/>
  <c r="V237" i="14702"/>
  <c r="U237" i="14702"/>
  <c r="X237" i="14702"/>
  <c r="W237" i="14702"/>
  <c r="P237" i="14702"/>
  <c r="N237" i="14702"/>
  <c r="R237" i="14702"/>
  <c r="D214" i="14701"/>
  <c r="P211" i="14700" a="1"/>
  <c r="U82" i="14700"/>
  <c r="U83" i="14700"/>
  <c r="U79" i="14700"/>
  <c r="U84" i="14700"/>
  <c r="U78" i="14700"/>
  <c r="U77" i="14700"/>
  <c r="U81" i="14700"/>
  <c r="U80" i="14700"/>
  <c r="N38" i="14701"/>
  <c r="J232" i="14701"/>
  <c r="V223" i="14700" a="1"/>
  <c r="X221" i="14700" a="1"/>
  <c r="L232" i="14701"/>
  <c r="V165" i="14702"/>
  <c r="N165" i="14702"/>
  <c r="U165" i="14702"/>
  <c r="W165" i="14702"/>
  <c r="T165" i="14702"/>
  <c r="Y165" i="14702"/>
  <c r="P165" i="14702"/>
  <c r="O165" i="14702"/>
  <c r="S165" i="14702"/>
  <c r="Q165" i="14702"/>
  <c r="X165" i="14702"/>
  <c r="R165" i="14702"/>
  <c r="O248" i="14700"/>
  <c r="O250" i="14700" s="1"/>
  <c r="C250" i="14701"/>
  <c r="K134" i="14702"/>
  <c r="S134" i="14702"/>
  <c r="T134" i="14702"/>
  <c r="Q134" i="14702"/>
  <c r="N134" i="14702"/>
  <c r="M134" i="14702"/>
  <c r="L134" i="14702"/>
  <c r="R134" i="14702"/>
  <c r="I134" i="14702"/>
  <c r="P134" i="14702"/>
  <c r="O134" i="14702"/>
  <c r="J134" i="14702"/>
  <c r="M210" i="14702"/>
  <c r="E210" i="14702"/>
  <c r="L210" i="14702"/>
  <c r="P210" i="14702"/>
  <c r="H210" i="14702"/>
  <c r="F210" i="14702"/>
  <c r="O210" i="14702"/>
  <c r="K210" i="14702"/>
  <c r="J210" i="14702"/>
  <c r="G210" i="14702"/>
  <c r="N210" i="14702"/>
  <c r="I210" i="14702"/>
  <c r="M149" i="14702"/>
  <c r="O149" i="14702"/>
  <c r="V149" i="14702"/>
  <c r="T149" i="14702"/>
  <c r="L149" i="14702"/>
  <c r="N149" i="14702"/>
  <c r="P149" i="14702"/>
  <c r="Q149" i="14702"/>
  <c r="W149" i="14702"/>
  <c r="S149" i="14702"/>
  <c r="U149" i="14702"/>
  <c r="R149" i="14702"/>
  <c r="M250" i="14701"/>
  <c r="Y238" i="14700" a="1"/>
  <c r="K85" i="14702"/>
  <c r="W75" i="14701" a="1"/>
  <c r="N122" i="14702"/>
  <c r="G122" i="14702"/>
  <c r="M122" i="14702"/>
  <c r="C122" i="14702"/>
  <c r="K122" i="14702"/>
  <c r="H122" i="14702"/>
  <c r="F122" i="14702"/>
  <c r="J122" i="14702"/>
  <c r="L122" i="14702"/>
  <c r="D122" i="14702"/>
  <c r="I122" i="14702"/>
  <c r="E122" i="14702"/>
  <c r="P112" i="14702"/>
  <c r="T112" i="14702"/>
  <c r="N112" i="14702"/>
  <c r="W112" i="14702"/>
  <c r="V112" i="14702"/>
  <c r="O112" i="14702"/>
  <c r="S112" i="14702"/>
  <c r="Q112" i="14702"/>
  <c r="U112" i="14702"/>
  <c r="M112" i="14702"/>
  <c r="X112" i="14702"/>
  <c r="R112" i="14702"/>
  <c r="E160" i="14701"/>
  <c r="Q156" i="14700" a="1"/>
  <c r="M232" i="14701"/>
  <c r="Y220" i="14700" a="1"/>
  <c r="P219" i="14702"/>
  <c r="W219" i="14702"/>
  <c r="T219" i="14702"/>
  <c r="R219" i="14702"/>
  <c r="Y219" i="14702"/>
  <c r="O219" i="14702"/>
  <c r="S219" i="14702"/>
  <c r="N219" i="14702"/>
  <c r="U219" i="14702"/>
  <c r="X219" i="14702"/>
  <c r="Q219" i="14702"/>
  <c r="V219" i="14702"/>
  <c r="N240" i="14702"/>
  <c r="Q240" i="14702"/>
  <c r="M240" i="14702"/>
  <c r="S240" i="14702"/>
  <c r="P240" i="14702"/>
  <c r="R240" i="14702"/>
  <c r="V240" i="14702"/>
  <c r="K240" i="14702"/>
  <c r="O240" i="14702"/>
  <c r="L240" i="14702"/>
  <c r="T240" i="14702"/>
  <c r="U240" i="14702"/>
  <c r="K232" i="14701"/>
  <c r="W222" i="14700" a="1"/>
  <c r="R191" i="14700" a="1"/>
  <c r="F196" i="14701"/>
  <c r="G138" i="14702"/>
  <c r="N138" i="14702"/>
  <c r="M138" i="14702"/>
  <c r="H138" i="14702"/>
  <c r="F138" i="14702"/>
  <c r="J138" i="14702"/>
  <c r="I138" i="14702"/>
  <c r="P138" i="14702"/>
  <c r="K138" i="14702"/>
  <c r="E138" i="14702"/>
  <c r="L138" i="14702"/>
  <c r="O138" i="14702"/>
  <c r="P204" i="14702"/>
  <c r="Q204" i="14702"/>
  <c r="U204" i="14702"/>
  <c r="L204" i="14702"/>
  <c r="T204" i="14702"/>
  <c r="K204" i="14702"/>
  <c r="O204" i="14702"/>
  <c r="S204" i="14702"/>
  <c r="M204" i="14702"/>
  <c r="R204" i="14702"/>
  <c r="N204" i="14702"/>
  <c r="V204" i="14702"/>
  <c r="Y83" i="14700"/>
  <c r="Y76" i="14700"/>
  <c r="Y78" i="14700"/>
  <c r="Y84" i="14700"/>
  <c r="Y77" i="14700"/>
  <c r="Y81" i="14700"/>
  <c r="Y75" i="14700"/>
  <c r="Y73" i="14700"/>
  <c r="Y79" i="14700"/>
  <c r="Y82" i="14700"/>
  <c r="Y80" i="14700"/>
  <c r="Y74" i="14700"/>
  <c r="M142" i="14701"/>
  <c r="Y130" i="14700" a="1"/>
  <c r="T207" i="14700" a="1"/>
  <c r="H214" i="14701"/>
  <c r="S172" i="14700" a="1"/>
  <c r="G178" i="14701"/>
  <c r="W114" i="14700" a="1"/>
  <c r="K124" i="14701"/>
  <c r="V133" i="14700" a="1"/>
  <c r="J142" i="14701"/>
  <c r="B9" i="14671" a="1"/>
  <c r="N28" i="14702"/>
  <c r="G13" i="14657" s="1"/>
  <c r="E85" i="14702"/>
  <c r="Q81" i="14701" a="1"/>
  <c r="C9" i="14670"/>
  <c r="K9" i="14670"/>
  <c r="G9" i="14670"/>
  <c r="M9" i="14670"/>
  <c r="H9" i="14670"/>
  <c r="B9" i="14670"/>
  <c r="D9" i="14670"/>
  <c r="L9" i="14670"/>
  <c r="E9" i="14670"/>
  <c r="J9" i="14670"/>
  <c r="I9" i="14670"/>
  <c r="F9" i="14670"/>
  <c r="K226" i="14702"/>
  <c r="J226" i="14702"/>
  <c r="L226" i="14702"/>
  <c r="P226" i="14702"/>
  <c r="O226" i="14702"/>
  <c r="G226" i="14702"/>
  <c r="M226" i="14702"/>
  <c r="R226" i="14702"/>
  <c r="Q226" i="14702"/>
  <c r="H226" i="14702"/>
  <c r="N226" i="14702"/>
  <c r="I226" i="14702"/>
  <c r="N245" i="14702"/>
  <c r="G245" i="14702"/>
  <c r="L245" i="14702"/>
  <c r="F245" i="14702"/>
  <c r="I245" i="14702"/>
  <c r="J245" i="14702"/>
  <c r="O245" i="14702"/>
  <c r="H245" i="14702"/>
  <c r="Q245" i="14702"/>
  <c r="M245" i="14702"/>
  <c r="K245" i="14702"/>
  <c r="P245" i="14702"/>
  <c r="W82" i="14700"/>
  <c r="W80" i="14700"/>
  <c r="W75" i="14700"/>
  <c r="W76" i="14700"/>
  <c r="W81" i="14700"/>
  <c r="W84" i="14700"/>
  <c r="W83" i="14700"/>
  <c r="W78" i="14700"/>
  <c r="W79" i="14700"/>
  <c r="W77" i="14700"/>
  <c r="J196" i="14701"/>
  <c r="V187" i="14700" a="1"/>
  <c r="W240" i="14700" a="1"/>
  <c r="K250" i="14701"/>
  <c r="D160" i="14701"/>
  <c r="P157" i="14700" a="1"/>
  <c r="J98" i="14701" a="1"/>
  <c r="J98" i="14701" s="1"/>
  <c r="M95" i="14701" a="1"/>
  <c r="M95" i="14701" s="1"/>
  <c r="O93" i="14701" a="1"/>
  <c r="O93" i="14701" s="1"/>
  <c r="E103" i="14701" a="1"/>
  <c r="E103" i="14701" s="1"/>
  <c r="K97" i="14701" a="1"/>
  <c r="K97" i="14701" s="1"/>
  <c r="L96" i="14701" a="1"/>
  <c r="L96" i="14701" s="1"/>
  <c r="F102" i="14701" a="1"/>
  <c r="F102" i="14701" s="1"/>
  <c r="E40" i="14701"/>
  <c r="G101" i="14701" a="1"/>
  <c r="G101" i="14701" s="1"/>
  <c r="I99" i="14701" a="1"/>
  <c r="I99" i="14701" s="1"/>
  <c r="N94" i="14701" a="1"/>
  <c r="N94" i="14701" s="1"/>
  <c r="Q91" i="14701" a="1"/>
  <c r="Q91" i="14701" s="1"/>
  <c r="H100" i="14701" a="1"/>
  <c r="H100" i="14701" s="1"/>
  <c r="P92" i="14701" a="1"/>
  <c r="P92" i="14701" s="1"/>
  <c r="O174" i="14702"/>
  <c r="N174" i="14702"/>
  <c r="J174" i="14702"/>
  <c r="P174" i="14702"/>
  <c r="L174" i="14702"/>
  <c r="K174" i="14702"/>
  <c r="H174" i="14702"/>
  <c r="E174" i="14702"/>
  <c r="M174" i="14702"/>
  <c r="I174" i="14702"/>
  <c r="F174" i="14702"/>
  <c r="G174" i="14702"/>
  <c r="M192" i="14702"/>
  <c r="P192" i="14702"/>
  <c r="J192" i="14702"/>
  <c r="L192" i="14702"/>
  <c r="K192" i="14702"/>
  <c r="N192" i="14702"/>
  <c r="I192" i="14702"/>
  <c r="E192" i="14702"/>
  <c r="G192" i="14702"/>
  <c r="H192" i="14702"/>
  <c r="O192" i="14702"/>
  <c r="F192" i="14702"/>
  <c r="I214" i="14701"/>
  <c r="U206" i="14700" a="1"/>
  <c r="B141" i="14702"/>
  <c r="G141" i="14702"/>
  <c r="H141" i="14702"/>
  <c r="I141" i="14702"/>
  <c r="K141" i="14702"/>
  <c r="M141" i="14702"/>
  <c r="C141" i="14702"/>
  <c r="O141" i="14701" s="1"/>
  <c r="D141" i="14702"/>
  <c r="L141" i="14702"/>
  <c r="E141" i="14702"/>
  <c r="J141" i="14702"/>
  <c r="F141" i="14702"/>
  <c r="N201" i="14702"/>
  <c r="R201" i="14702"/>
  <c r="P201" i="14702"/>
  <c r="T201" i="14702"/>
  <c r="O201" i="14702"/>
  <c r="Y201" i="14702"/>
  <c r="U201" i="14702"/>
  <c r="X201" i="14702"/>
  <c r="Q201" i="14702"/>
  <c r="W201" i="14702"/>
  <c r="S201" i="14702"/>
  <c r="V201" i="14702"/>
  <c r="E214" i="14701"/>
  <c r="Q210" i="14700" a="1"/>
  <c r="P229" i="14700" a="1"/>
  <c r="D232" i="14701"/>
  <c r="J155" i="14702"/>
  <c r="O155" i="14702"/>
  <c r="K155" i="14702"/>
  <c r="M155" i="14702"/>
  <c r="I155" i="14702"/>
  <c r="N155" i="14702"/>
  <c r="H155" i="14702"/>
  <c r="L155" i="14702"/>
  <c r="Q155" i="14702"/>
  <c r="G155" i="14702"/>
  <c r="P155" i="14702"/>
  <c r="F155" i="14702"/>
  <c r="X74" i="14701" a="1"/>
  <c r="L85" i="14702"/>
  <c r="K121" i="14702"/>
  <c r="G121" i="14702"/>
  <c r="J121" i="14702"/>
  <c r="F121" i="14702"/>
  <c r="D121" i="14702"/>
  <c r="I121" i="14702"/>
  <c r="O121" i="14702"/>
  <c r="E121" i="14702"/>
  <c r="N121" i="14702"/>
  <c r="M121" i="14702"/>
  <c r="L121" i="14702"/>
  <c r="H121" i="14702"/>
  <c r="F229" i="14702"/>
  <c r="K229" i="14702"/>
  <c r="D229" i="14702"/>
  <c r="G229" i="14702"/>
  <c r="L229" i="14702"/>
  <c r="N229" i="14702"/>
  <c r="J229" i="14702"/>
  <c r="E229" i="14702"/>
  <c r="I229" i="14702"/>
  <c r="H229" i="14702"/>
  <c r="O229" i="14702"/>
  <c r="M229" i="14702"/>
  <c r="Q241" i="14702"/>
  <c r="U241" i="14702"/>
  <c r="O241" i="14702"/>
  <c r="N241" i="14702"/>
  <c r="K241" i="14702"/>
  <c r="R241" i="14702"/>
  <c r="J241" i="14702"/>
  <c r="M241" i="14702"/>
  <c r="P241" i="14702"/>
  <c r="S241" i="14702"/>
  <c r="T241" i="14702"/>
  <c r="L241" i="14702"/>
  <c r="R227" i="14700" a="1"/>
  <c r="F232" i="14701"/>
  <c r="W132" i="14700" a="1"/>
  <c r="K142" i="14701"/>
  <c r="T171" i="14700" a="1"/>
  <c r="H178" i="14701"/>
  <c r="N37" i="14701"/>
  <c r="J96" i="14701" a="1"/>
  <c r="J96" i="14701" s="1"/>
  <c r="E101" i="14701" a="1"/>
  <c r="E101" i="14701" s="1"/>
  <c r="I97" i="14701" a="1"/>
  <c r="I97" i="14701" s="1"/>
  <c r="C103" i="14701" a="1"/>
  <c r="C103" i="14701" s="1"/>
  <c r="O103" i="14700" s="1"/>
  <c r="G99" i="14701" a="1"/>
  <c r="G99" i="14701" s="1"/>
  <c r="F100" i="14701" a="1"/>
  <c r="F100" i="14701" s="1"/>
  <c r="C40" i="14701"/>
  <c r="H98" i="14701" a="1"/>
  <c r="H98" i="14701" s="1"/>
  <c r="L94" i="14701" a="1"/>
  <c r="L94" i="14701" s="1"/>
  <c r="M93" i="14701" a="1"/>
  <c r="M93" i="14701" s="1"/>
  <c r="O91" i="14701" a="1"/>
  <c r="O91" i="14701" s="1"/>
  <c r="D102" i="14701" a="1"/>
  <c r="D102" i="14701" s="1"/>
  <c r="N92" i="14701" a="1"/>
  <c r="N92" i="14701" s="1"/>
  <c r="K95" i="14701" a="1"/>
  <c r="K95" i="14701" s="1"/>
  <c r="L97" i="14701" a="1"/>
  <c r="L97" i="14701" s="1"/>
  <c r="J99" i="14701" a="1"/>
  <c r="J99" i="14701" s="1"/>
  <c r="N95" i="14701" a="1"/>
  <c r="N95" i="14701" s="1"/>
  <c r="Q92" i="14701" a="1"/>
  <c r="Q92" i="14701" s="1"/>
  <c r="F40" i="14701"/>
  <c r="I100" i="14701" a="1"/>
  <c r="I100" i="14701" s="1"/>
  <c r="H101" i="14701" a="1"/>
  <c r="H101" i="14701" s="1"/>
  <c r="R91" i="14701" a="1"/>
  <c r="R91" i="14701" s="1"/>
  <c r="K98" i="14701" a="1"/>
  <c r="K98" i="14701" s="1"/>
  <c r="M96" i="14701" a="1"/>
  <c r="M96" i="14701" s="1"/>
  <c r="F103" i="14701" a="1"/>
  <c r="F103" i="14701" s="1"/>
  <c r="P93" i="14701" a="1"/>
  <c r="P93" i="14701" s="1"/>
  <c r="G102" i="14701" a="1"/>
  <c r="G102" i="14701" s="1"/>
  <c r="O94" i="14701" a="1"/>
  <c r="O94" i="14701" s="1"/>
  <c r="P84" i="14700"/>
  <c r="P82" i="14700"/>
  <c r="P83" i="14700"/>
  <c r="S166" i="14702"/>
  <c r="M166" i="14702"/>
  <c r="X166" i="14702"/>
  <c r="R166" i="14702"/>
  <c r="P166" i="14702"/>
  <c r="T166" i="14702"/>
  <c r="N166" i="14702"/>
  <c r="Q166" i="14702"/>
  <c r="W166" i="14702"/>
  <c r="V166" i="14702"/>
  <c r="O166" i="14702"/>
  <c r="U166" i="14702"/>
  <c r="I232" i="14701"/>
  <c r="U224" i="14700" a="1"/>
  <c r="X184" i="14702"/>
  <c r="W184" i="14702"/>
  <c r="N184" i="14702"/>
  <c r="V184" i="14702"/>
  <c r="R184" i="14702"/>
  <c r="O184" i="14702"/>
  <c r="M184" i="14702"/>
  <c r="S184" i="14702"/>
  <c r="P184" i="14702"/>
  <c r="Q184" i="14702"/>
  <c r="T184" i="14702"/>
  <c r="U184" i="14702"/>
  <c r="X113" i="14700" a="1"/>
  <c r="L124" i="14701"/>
  <c r="Q81" i="14700"/>
  <c r="Q83" i="14700"/>
  <c r="Q82" i="14700"/>
  <c r="Q84" i="14700"/>
  <c r="J135" i="14702"/>
  <c r="P135" i="14702"/>
  <c r="O135" i="14702"/>
  <c r="H135" i="14702"/>
  <c r="L135" i="14702"/>
  <c r="K135" i="14702"/>
  <c r="N135" i="14702"/>
  <c r="I135" i="14702"/>
  <c r="Q135" i="14702"/>
  <c r="R135" i="14702"/>
  <c r="M135" i="14702"/>
  <c r="S135" i="14702"/>
  <c r="L213" i="14702"/>
  <c r="I213" i="14702"/>
  <c r="F213" i="14702"/>
  <c r="D213" i="14702"/>
  <c r="K213" i="14702"/>
  <c r="M213" i="14702"/>
  <c r="B213" i="14702"/>
  <c r="H213" i="14702"/>
  <c r="G213" i="14702"/>
  <c r="C213" i="14702"/>
  <c r="O213" i="14701" s="1"/>
  <c r="J213" i="14702"/>
  <c r="E213" i="14702"/>
  <c r="E157" i="14702"/>
  <c r="J157" i="14702"/>
  <c r="L157" i="14702"/>
  <c r="G157" i="14702"/>
  <c r="K157" i="14702"/>
  <c r="N157" i="14702"/>
  <c r="D157" i="14702"/>
  <c r="I157" i="14702"/>
  <c r="F157" i="14702"/>
  <c r="H157" i="14702"/>
  <c r="O157" i="14702"/>
  <c r="M157" i="14702"/>
  <c r="I124" i="14701"/>
  <c r="U116" i="14700" a="1"/>
  <c r="I34" i="14683" a="1"/>
  <c r="E92" i="14643" a="1"/>
  <c r="F85" i="14702"/>
  <c r="R80" i="14701" a="1"/>
  <c r="H196" i="14701"/>
  <c r="T189" i="14700" a="1"/>
  <c r="Q225" i="14702"/>
  <c r="S225" i="14702"/>
  <c r="P225" i="14702"/>
  <c r="J225" i="14702"/>
  <c r="K225" i="14702"/>
  <c r="N225" i="14702"/>
  <c r="H225" i="14702"/>
  <c r="O225" i="14702"/>
  <c r="I225" i="14702"/>
  <c r="L225" i="14702"/>
  <c r="M225" i="14702"/>
  <c r="R225" i="14702"/>
  <c r="S208" i="14700" a="1"/>
  <c r="G214" i="14701"/>
  <c r="Q138" i="14700" a="1"/>
  <c r="E142" i="14701"/>
  <c r="O246" i="14702"/>
  <c r="K246" i="14702"/>
  <c r="L246" i="14702"/>
  <c r="E246" i="14702"/>
  <c r="M246" i="14702"/>
  <c r="I246" i="14702"/>
  <c r="H246" i="14702"/>
  <c r="P246" i="14702"/>
  <c r="J246" i="14702"/>
  <c r="F246" i="14702"/>
  <c r="N246" i="14702"/>
  <c r="G246" i="14702"/>
  <c r="B142" i="14701"/>
  <c r="N141" i="14700"/>
  <c r="N142" i="14700" s="1"/>
  <c r="Q160" i="14698"/>
  <c r="X249" i="14702"/>
  <c r="X115" i="14702"/>
  <c r="S247" i="14702"/>
  <c r="W103" i="14698"/>
  <c r="W99" i="14698"/>
  <c r="W98" i="14698"/>
  <c r="W101" i="14698"/>
  <c r="W100" i="14698"/>
  <c r="W97" i="14698"/>
  <c r="W96" i="14698"/>
  <c r="W95" i="14698"/>
  <c r="W94" i="14698"/>
  <c r="W102" i="14698"/>
  <c r="S173" i="14702"/>
  <c r="R158" i="14702"/>
  <c r="V141" i="14702"/>
  <c r="Q142" i="14698"/>
  <c r="R247" i="14702"/>
  <c r="W213" i="14702"/>
  <c r="W210" i="14702"/>
  <c r="W209" i="14702"/>
  <c r="W207" i="14702"/>
  <c r="W211" i="14702"/>
  <c r="W208" i="14702"/>
  <c r="U206" i="14702"/>
  <c r="U207" i="14702"/>
  <c r="U209" i="14702"/>
  <c r="U210" i="14702"/>
  <c r="U211" i="14702"/>
  <c r="Q139" i="14702"/>
  <c r="Q141" i="14702"/>
  <c r="Q140" i="14702"/>
  <c r="Q138" i="14702"/>
  <c r="S136" i="14702"/>
  <c r="S141" i="14702"/>
  <c r="V120" i="14702"/>
  <c r="P212" i="14702"/>
  <c r="P213" i="14702"/>
  <c r="P211" i="14702"/>
  <c r="B29" i="14682"/>
  <c r="B31" i="14682"/>
  <c r="B33" i="14682"/>
  <c r="B35" i="14682"/>
  <c r="B37" i="14682"/>
  <c r="B39" i="14682"/>
  <c r="B41" i="14682"/>
  <c r="B43" i="14682"/>
  <c r="B45" i="14682"/>
  <c r="B47" i="14682"/>
  <c r="B49" i="14682"/>
  <c r="B30" i="14682"/>
  <c r="B32" i="14682"/>
  <c r="B34" i="14682"/>
  <c r="B36" i="14682"/>
  <c r="B38" i="14682"/>
  <c r="B40" i="14682"/>
  <c r="B42" i="14682"/>
  <c r="B44" i="14682"/>
  <c r="B46" i="14682"/>
  <c r="B48" i="14682"/>
  <c r="B50" i="14682"/>
  <c r="V28" i="14655"/>
  <c r="J58" i="14624"/>
  <c r="K14" i="14625" s="1"/>
  <c r="F48" i="14648"/>
  <c r="K58" i="14624"/>
  <c r="L14" i="14625" s="1"/>
  <c r="G58" i="14624"/>
  <c r="H14" i="14625" s="1"/>
  <c r="I58" i="14624"/>
  <c r="J14" i="14625" s="1"/>
  <c r="D58" i="14624"/>
  <c r="E14" i="14625" s="1"/>
  <c r="K48" i="14648"/>
  <c r="M48" i="14648"/>
  <c r="G48" i="14648"/>
  <c r="I48" i="14648"/>
  <c r="D48" i="14648"/>
  <c r="M6" i="14628"/>
  <c r="E6" i="14628"/>
  <c r="D6" i="14628"/>
  <c r="F6" i="14628"/>
  <c r="I6" i="14628"/>
  <c r="K6" i="14628"/>
  <c r="N48" i="14648"/>
  <c r="H48" i="14648"/>
  <c r="E48" i="14648"/>
  <c r="L48" i="14648"/>
  <c r="C48" i="14648"/>
  <c r="L6" i="14628"/>
  <c r="G6" i="14628"/>
  <c r="J6" i="14628"/>
  <c r="N6" i="14628"/>
  <c r="C6" i="14628"/>
  <c r="L58" i="14624"/>
  <c r="M14" i="14625" s="1"/>
  <c r="M58" i="14624"/>
  <c r="N14" i="14625" s="1"/>
  <c r="F58" i="14624"/>
  <c r="G14" i="14625" s="1"/>
  <c r="H58" i="14624"/>
  <c r="I14" i="14625" s="1"/>
  <c r="B58" i="14624"/>
  <c r="C14" i="14625" s="1"/>
  <c r="C58" i="14624"/>
  <c r="D14" i="14625" s="1"/>
  <c r="M28" i="14678"/>
  <c r="B40" i="14669" a="1"/>
  <c r="F40" i="14669" s="1"/>
  <c r="G9" i="14657"/>
  <c r="F28" i="14678"/>
  <c r="L28" i="14678"/>
  <c r="K28" i="14678"/>
  <c r="G28" i="14678"/>
  <c r="O33" i="14675"/>
  <c r="O34" i="14675"/>
  <c r="O32" i="14675"/>
  <c r="H28" i="14678"/>
  <c r="E5" i="14671"/>
  <c r="J5" i="14671"/>
  <c r="K5" i="14671"/>
  <c r="C5" i="14671"/>
  <c r="G5" i="14671"/>
  <c r="M5" i="14671"/>
  <c r="F5" i="14671"/>
  <c r="B5" i="14671"/>
  <c r="L5" i="14671"/>
  <c r="H5" i="14671"/>
  <c r="D5" i="14671"/>
  <c r="I5" i="14671"/>
  <c r="C93" i="14643"/>
  <c r="C95" i="14643"/>
  <c r="C99" i="14643"/>
  <c r="C92" i="14643"/>
  <c r="C97" i="14643"/>
  <c r="C94" i="14643"/>
  <c r="C98" i="14643"/>
  <c r="C96" i="14643"/>
  <c r="I25" i="14683"/>
  <c r="I26" i="14683"/>
  <c r="I21" i="14683"/>
  <c r="I20" i="14683"/>
  <c r="I23" i="14683"/>
  <c r="I24" i="14683"/>
  <c r="I19" i="14683"/>
  <c r="I22" i="14683"/>
  <c r="D85" i="14643"/>
  <c r="D82" i="14643"/>
  <c r="D79" i="14643"/>
  <c r="G14" i="14643"/>
  <c r="D80" i="14643"/>
  <c r="D83" i="14643"/>
  <c r="D86" i="14643"/>
  <c r="D84" i="14643"/>
  <c r="D81" i="14643"/>
  <c r="J6" i="14617"/>
  <c r="J5" i="14617"/>
  <c r="F26" i="14679"/>
  <c r="F25" i="14679"/>
  <c r="H19" i="14675" a="1"/>
  <c r="H19" i="14675" s="1"/>
  <c r="H39" i="14675"/>
  <c r="O37" i="14675"/>
  <c r="O35" i="14675"/>
  <c r="J19" i="14675" a="1"/>
  <c r="J19" i="14675" s="1"/>
  <c r="J39" i="14675"/>
  <c r="F19" i="14675" a="1"/>
  <c r="F19" i="14675" s="1"/>
  <c r="F39" i="14675"/>
  <c r="I19" i="14675" a="1"/>
  <c r="I19" i="14675" s="1"/>
  <c r="I39" i="14675"/>
  <c r="L39" i="14675"/>
  <c r="L19" i="14675" a="1"/>
  <c r="L19" i="14675" s="1"/>
  <c r="O31" i="14675"/>
  <c r="C19" i="14675" a="1"/>
  <c r="C19" i="14675" s="1"/>
  <c r="C39" i="14675"/>
  <c r="E22" i="14679" a="1"/>
  <c r="E22" i="14679" s="1"/>
  <c r="C20" i="14679" a="1"/>
  <c r="C20" i="14679" s="1"/>
  <c r="D21" i="14679" a="1"/>
  <c r="D21" i="14679" s="1"/>
  <c r="H25" i="14679" a="1"/>
  <c r="H25" i="14679" s="1"/>
  <c r="G24" i="14679" a="1"/>
  <c r="G24" i="14679" s="1"/>
  <c r="F23" i="14679" a="1"/>
  <c r="F23" i="14679" s="1"/>
  <c r="I26" i="14679" a="1"/>
  <c r="I26" i="14679" s="1"/>
  <c r="C15" i="14679"/>
  <c r="N14" i="14679"/>
  <c r="F22" i="14679" a="1"/>
  <c r="F22" i="14679" s="1"/>
  <c r="I25" i="14679" a="1"/>
  <c r="I25" i="14679" s="1"/>
  <c r="J26" i="14679" a="1"/>
  <c r="J26" i="14679" s="1"/>
  <c r="D15" i="14679"/>
  <c r="G23" i="14679" a="1"/>
  <c r="G23" i="14679" s="1"/>
  <c r="D20" i="14679" a="1"/>
  <c r="D20" i="14679" s="1"/>
  <c r="H24" i="14679" a="1"/>
  <c r="H24" i="14679" s="1"/>
  <c r="E21" i="14679" a="1"/>
  <c r="E21" i="14679" s="1"/>
  <c r="N10" i="14679"/>
  <c r="L22" i="14679" a="1"/>
  <c r="L22" i="14679" s="1"/>
  <c r="P26" i="14679" a="1"/>
  <c r="P26" i="14679" s="1"/>
  <c r="K21" i="14679" a="1"/>
  <c r="K21" i="14679" s="1"/>
  <c r="N24" i="14679" a="1"/>
  <c r="N24" i="14679" s="1"/>
  <c r="J20" i="14679" a="1"/>
  <c r="J20" i="14679" s="1"/>
  <c r="O25" i="14679" a="1"/>
  <c r="O25" i="14679" s="1"/>
  <c r="J15" i="14679"/>
  <c r="M23" i="14679" a="1"/>
  <c r="M23" i="14679" s="1"/>
  <c r="N12" i="14679"/>
  <c r="M21" i="14679" a="1"/>
  <c r="M21" i="14679" s="1"/>
  <c r="L15" i="14679"/>
  <c r="P24" i="14679" a="1"/>
  <c r="P24" i="14679" s="1"/>
  <c r="R26" i="14679" a="1"/>
  <c r="R26" i="14679" s="1"/>
  <c r="N22" i="14679" a="1"/>
  <c r="N22" i="14679" s="1"/>
  <c r="L20" i="14679" a="1"/>
  <c r="L20" i="14679" s="1"/>
  <c r="O23" i="14679" a="1"/>
  <c r="O23" i="14679" s="1"/>
  <c r="Q25" i="14679" a="1"/>
  <c r="Q25" i="14679" s="1"/>
  <c r="E20" i="14679" a="1"/>
  <c r="E20" i="14679" s="1"/>
  <c r="J25" i="14679" a="1"/>
  <c r="J25" i="14679" s="1"/>
  <c r="F21" i="14679" a="1"/>
  <c r="F21" i="14679" s="1"/>
  <c r="G22" i="14679" a="1"/>
  <c r="G22" i="14679" s="1"/>
  <c r="H23" i="14679" a="1"/>
  <c r="H23" i="14679" s="1"/>
  <c r="K26" i="14679" a="1"/>
  <c r="K26" i="14679" s="1"/>
  <c r="I24" i="14679" a="1"/>
  <c r="I24" i="14679" s="1"/>
  <c r="E15" i="14679"/>
  <c r="I15" i="14679"/>
  <c r="J21" i="14679" a="1"/>
  <c r="J21" i="14679" s="1"/>
  <c r="K22" i="14679" a="1"/>
  <c r="K22" i="14679" s="1"/>
  <c r="N25" i="14679" a="1"/>
  <c r="N25" i="14679" s="1"/>
  <c r="I20" i="14679" a="1"/>
  <c r="I20" i="14679" s="1"/>
  <c r="L23" i="14679" a="1"/>
  <c r="L23" i="14679" s="1"/>
  <c r="O26" i="14679" a="1"/>
  <c r="O26" i="14679" s="1"/>
  <c r="M24" i="14679" a="1"/>
  <c r="M24" i="14679" s="1"/>
  <c r="N11" i="14679"/>
  <c r="Q24" i="14679" a="1"/>
  <c r="Q24" i="14679" s="1"/>
  <c r="S26" i="14679" a="1"/>
  <c r="S26" i="14679" s="1"/>
  <c r="S28" i="14679" s="1"/>
  <c r="M20" i="14679" a="1"/>
  <c r="M20" i="14679" s="1"/>
  <c r="P23" i="14679" a="1"/>
  <c r="P23" i="14679" s="1"/>
  <c r="N21" i="14679" a="1"/>
  <c r="N21" i="14679" s="1"/>
  <c r="R25" i="14679" a="1"/>
  <c r="R25" i="14679" s="1"/>
  <c r="O22" i="14679" a="1"/>
  <c r="O22" i="14679" s="1"/>
  <c r="M15" i="14679"/>
  <c r="M41" i="14674"/>
  <c r="M42" i="14674" s="1"/>
  <c r="L41" i="14674"/>
  <c r="L42" i="14674" s="1"/>
  <c r="N41" i="14674"/>
  <c r="N42" i="14674" s="1"/>
  <c r="J41" i="14674"/>
  <c r="J42" i="14674" s="1"/>
  <c r="K41" i="14674"/>
  <c r="K42" i="14674" s="1"/>
  <c r="C41" i="14674"/>
  <c r="I41" i="14674"/>
  <c r="I42" i="14674" s="1"/>
  <c r="G41" i="14674"/>
  <c r="G42" i="14674" s="1"/>
  <c r="H41" i="14674"/>
  <c r="H42" i="14674" s="1"/>
  <c r="E41" i="14674"/>
  <c r="E42" i="14674" s="1"/>
  <c r="D41" i="14674"/>
  <c r="D42" i="14674" s="1"/>
  <c r="F41" i="14674"/>
  <c r="F42" i="14674" s="1"/>
  <c r="I28" i="14678"/>
  <c r="J28" i="14678"/>
  <c r="B24" i="14679"/>
  <c r="B22" i="14679"/>
  <c r="B23" i="14679"/>
  <c r="B21" i="14679"/>
  <c r="B26" i="14679"/>
  <c r="B25" i="14679"/>
  <c r="C22" i="14679"/>
  <c r="C24" i="14679"/>
  <c r="C23" i="14679"/>
  <c r="C25" i="14679"/>
  <c r="C26" i="14679"/>
  <c r="C32" i="14669"/>
  <c r="M35" i="14669"/>
  <c r="H38" i="14669"/>
  <c r="D33" i="14669"/>
  <c r="I36" i="14669"/>
  <c r="K32" i="14669"/>
  <c r="D39" i="14669"/>
  <c r="E35" i="14669"/>
  <c r="G37" i="14669"/>
  <c r="M38" i="14669"/>
  <c r="J35" i="14669"/>
  <c r="C34" i="14669"/>
  <c r="D35" i="14669"/>
  <c r="M32" i="14669"/>
  <c r="G33" i="14669"/>
  <c r="D36" i="14669"/>
  <c r="L34" i="14669"/>
  <c r="H33" i="14669"/>
  <c r="F35" i="14669"/>
  <c r="M34" i="14669"/>
  <c r="K38" i="14669"/>
  <c r="C35" i="14669"/>
  <c r="J37" i="14669"/>
  <c r="I34" i="14669"/>
  <c r="L35" i="14669"/>
  <c r="F38" i="14669"/>
  <c r="B32" i="14669"/>
  <c r="J36" i="14669"/>
  <c r="J38" i="14669"/>
  <c r="B38" i="14669"/>
  <c r="E39" i="14669"/>
  <c r="H32" i="14669"/>
  <c r="I35" i="14669"/>
  <c r="H34" i="14669"/>
  <c r="E38" i="14669"/>
  <c r="E34" i="14669"/>
  <c r="K33" i="14669"/>
  <c r="M39" i="14669"/>
  <c r="J39" i="14669"/>
  <c r="L38" i="14669"/>
  <c r="C38" i="14669"/>
  <c r="E33" i="14669"/>
  <c r="L32" i="14669"/>
  <c r="B37" i="14669"/>
  <c r="M36" i="14669"/>
  <c r="C39" i="14669"/>
  <c r="J33" i="14669"/>
  <c r="I38" i="14669"/>
  <c r="D34" i="14669"/>
  <c r="E32" i="14669"/>
  <c r="K34" i="14669"/>
  <c r="B34" i="14669"/>
  <c r="G32" i="14669"/>
  <c r="J34" i="14669"/>
  <c r="F37" i="14669"/>
  <c r="G34" i="14669"/>
  <c r="E37" i="14669"/>
  <c r="M33" i="14669"/>
  <c r="G38" i="14669"/>
  <c r="I32" i="14669"/>
  <c r="K37" i="14669"/>
  <c r="C37" i="14669"/>
  <c r="H36" i="14669"/>
  <c r="H39" i="14669"/>
  <c r="F36" i="14669"/>
  <c r="F33" i="14669"/>
  <c r="F39" i="14669"/>
  <c r="M37" i="14669"/>
  <c r="D32" i="14669"/>
  <c r="I37" i="14669"/>
  <c r="B39" i="14669"/>
  <c r="K39" i="14669"/>
  <c r="H35" i="14669"/>
  <c r="J32" i="14669"/>
  <c r="F34" i="14669"/>
  <c r="I33" i="14669"/>
  <c r="G35" i="14669"/>
  <c r="L33" i="14669"/>
  <c r="B33" i="14669"/>
  <c r="K35" i="14669"/>
  <c r="I39" i="14669"/>
  <c r="F32" i="14669"/>
  <c r="D38" i="14669"/>
  <c r="H37" i="14669"/>
  <c r="L36" i="14669"/>
  <c r="K36" i="14669"/>
  <c r="D37" i="14669"/>
  <c r="C36" i="14669"/>
  <c r="C33" i="14669"/>
  <c r="E36" i="14669"/>
  <c r="G39" i="14669"/>
  <c r="L39" i="14669"/>
  <c r="B36" i="14669"/>
  <c r="L37" i="14669"/>
  <c r="G36" i="14669"/>
  <c r="B35" i="14669"/>
  <c r="H19" i="14683" a="1"/>
  <c r="L8" i="14707"/>
  <c r="W24" i="14655" s="1"/>
  <c r="L7" i="14707"/>
  <c r="E7" i="14670"/>
  <c r="L7" i="14670"/>
  <c r="M7" i="14670"/>
  <c r="C7" i="14670"/>
  <c r="I7" i="14670"/>
  <c r="K7" i="14670"/>
  <c r="G7" i="14670"/>
  <c r="J7" i="14670"/>
  <c r="B7" i="14670"/>
  <c r="H7" i="14670"/>
  <c r="F7" i="14670"/>
  <c r="D7" i="14670"/>
  <c r="D23" i="14679"/>
  <c r="D26" i="14679"/>
  <c r="D25" i="14679"/>
  <c r="D24" i="14679"/>
  <c r="G19" i="14675" a="1"/>
  <c r="G19" i="14675" s="1"/>
  <c r="G39" i="14675"/>
  <c r="D39" i="14675"/>
  <c r="D19" i="14675" a="1"/>
  <c r="D19" i="14675" s="1"/>
  <c r="N19" i="14675" a="1"/>
  <c r="N19" i="14675" s="1"/>
  <c r="N39" i="14675"/>
  <c r="M19" i="14675" a="1"/>
  <c r="M19" i="14675" s="1"/>
  <c r="M39" i="14675"/>
  <c r="K19" i="14675" a="1"/>
  <c r="K19" i="14675" s="1"/>
  <c r="K39" i="14675"/>
  <c r="E19" i="14675" a="1"/>
  <c r="E19" i="14675" s="1"/>
  <c r="E39" i="14675"/>
  <c r="O36" i="14675"/>
  <c r="O38" i="14675"/>
  <c r="N13" i="14679"/>
  <c r="N9" i="14679"/>
  <c r="H21" i="14679" a="1"/>
  <c r="H21" i="14679" s="1"/>
  <c r="L25" i="14679" a="1"/>
  <c r="L25" i="14679" s="1"/>
  <c r="M26" i="14679" a="1"/>
  <c r="M26" i="14679" s="1"/>
  <c r="G15" i="14679"/>
  <c r="K24" i="14679" a="1"/>
  <c r="K24" i="14679" s="1"/>
  <c r="I22" i="14679" a="1"/>
  <c r="I22" i="14679" s="1"/>
  <c r="J23" i="14679" a="1"/>
  <c r="J23" i="14679" s="1"/>
  <c r="G20" i="14679" a="1"/>
  <c r="G20" i="14679" s="1"/>
  <c r="B20" i="14679" a="1"/>
  <c r="B20" i="14679" s="1"/>
  <c r="E23" i="14679" a="1"/>
  <c r="E23" i="14679" s="1"/>
  <c r="C21" i="14679" a="1"/>
  <c r="C21" i="14679" s="1"/>
  <c r="G25" i="14679" a="1"/>
  <c r="G25" i="14679" s="1"/>
  <c r="F24" i="14679" a="1"/>
  <c r="F24" i="14679" s="1"/>
  <c r="H26" i="14679" a="1"/>
  <c r="H26" i="14679" s="1"/>
  <c r="B15" i="14679"/>
  <c r="D22" i="14679" a="1"/>
  <c r="D22" i="14679" s="1"/>
  <c r="N7" i="14679"/>
  <c r="K25" i="14679" a="1"/>
  <c r="K25" i="14679" s="1"/>
  <c r="H22" i="14679" a="1"/>
  <c r="H22" i="14679" s="1"/>
  <c r="I23" i="14679" a="1"/>
  <c r="I23" i="14679" s="1"/>
  <c r="F20" i="14679" a="1"/>
  <c r="F20" i="14679" s="1"/>
  <c r="G21" i="14679" a="1"/>
  <c r="G21" i="14679" s="1"/>
  <c r="L26" i="14679" a="1"/>
  <c r="L26" i="14679" s="1"/>
  <c r="F15" i="14679"/>
  <c r="J24" i="14679" a="1"/>
  <c r="J24" i="14679" s="1"/>
  <c r="N8" i="14679"/>
  <c r="L24" i="14679" a="1"/>
  <c r="L24" i="14679" s="1"/>
  <c r="M25" i="14679" a="1"/>
  <c r="M25" i="14679" s="1"/>
  <c r="H15" i="14679"/>
  <c r="H20" i="14679" a="1"/>
  <c r="H20" i="14679" s="1"/>
  <c r="J22" i="14679" a="1"/>
  <c r="J22" i="14679" s="1"/>
  <c r="N26" i="14679" a="1"/>
  <c r="N26" i="14679" s="1"/>
  <c r="I21" i="14679" a="1"/>
  <c r="I21" i="14679" s="1"/>
  <c r="K23" i="14679" a="1"/>
  <c r="K23" i="14679" s="1"/>
  <c r="P25" i="14679" a="1"/>
  <c r="P25" i="14679" s="1"/>
  <c r="N23" i="14679" a="1"/>
  <c r="N23" i="14679" s="1"/>
  <c r="K15" i="14679"/>
  <c r="Q26" i="14679" a="1"/>
  <c r="Q26" i="14679" s="1"/>
  <c r="L21" i="14679" a="1"/>
  <c r="L21" i="14679" s="1"/>
  <c r="K20" i="14679" a="1"/>
  <c r="K20" i="14679" s="1"/>
  <c r="O24" i="14679" a="1"/>
  <c r="O24" i="14679" s="1"/>
  <c r="M22" i="14679" a="1"/>
  <c r="M22" i="14679" s="1"/>
  <c r="E23" i="4128"/>
  <c r="S30" i="14678"/>
  <c r="E26" i="14679"/>
  <c r="E24" i="14679"/>
  <c r="E25" i="14679"/>
  <c r="N58" i="14624"/>
  <c r="O33" i="14624" s="1" a="1"/>
  <c r="D8" i="14643"/>
  <c r="D10" i="14643" s="1"/>
  <c r="C35" i="14623"/>
  <c r="J35" i="14623"/>
  <c r="I38" i="14623"/>
  <c r="L37" i="14623"/>
  <c r="F39" i="14623"/>
  <c r="I41" i="14623"/>
  <c r="E37" i="14623"/>
  <c r="B41" i="14623"/>
  <c r="I36" i="14623"/>
  <c r="M38" i="14623"/>
  <c r="G40" i="14623"/>
  <c r="E41" i="14623"/>
  <c r="F42" i="14623"/>
  <c r="E39" i="14623"/>
  <c r="L42" i="14623"/>
  <c r="G35" i="14623"/>
  <c r="B38" i="14623"/>
  <c r="E42" i="14623"/>
  <c r="C5" i="14628" a="1"/>
  <c r="J5" i="14628" s="1"/>
  <c r="F36" i="14623"/>
  <c r="D40" i="14623"/>
  <c r="J39" i="14623"/>
  <c r="B37" i="14623"/>
  <c r="K41" i="14623"/>
  <c r="C41" i="14623"/>
  <c r="N67" i="14703"/>
  <c r="C36" i="14623"/>
  <c r="J41" i="14623"/>
  <c r="B35" i="14623"/>
  <c r="G38" i="14623"/>
  <c r="H41" i="14623"/>
  <c r="I39" i="14623"/>
  <c r="C38" i="14623"/>
  <c r="D35" i="14623"/>
  <c r="M41" i="14623"/>
  <c r="C40" i="14623"/>
  <c r="D36" i="14623"/>
  <c r="H36" i="14623"/>
  <c r="F38" i="14623"/>
  <c r="H42" i="14623"/>
  <c r="D41" i="14623"/>
  <c r="B40" i="14623"/>
  <c r="E38" i="14623"/>
  <c r="D42" i="14623"/>
  <c r="K37" i="14623"/>
  <c r="B36" i="14623"/>
  <c r="D39" i="14623"/>
  <c r="K42" i="14623"/>
  <c r="E40" i="14623"/>
  <c r="F41" i="14623"/>
  <c r="C42" i="14623"/>
  <c r="M39" i="14623"/>
  <c r="D37" i="14623"/>
  <c r="J42" i="14623"/>
  <c r="F35" i="14623"/>
  <c r="M35" i="14623"/>
  <c r="I37" i="14623"/>
  <c r="J38" i="14623"/>
  <c r="L38" i="14623"/>
  <c r="G41" i="14623"/>
  <c r="E35" i="14623"/>
  <c r="F40" i="14623"/>
  <c r="B42" i="14623"/>
  <c r="J37" i="14623"/>
  <c r="G39" i="14623"/>
  <c r="K40" i="14623"/>
  <c r="C39" i="14623"/>
  <c r="M37" i="14623"/>
  <c r="D38" i="14623"/>
  <c r="M36" i="14623"/>
  <c r="L40" i="14623"/>
  <c r="F37" i="14623"/>
  <c r="H35" i="14623"/>
  <c r="J40" i="14623"/>
  <c r="L39" i="14623"/>
  <c r="G37" i="14623"/>
  <c r="J36" i="14623"/>
  <c r="G42" i="14623"/>
  <c r="H39" i="14623"/>
  <c r="L41" i="14623"/>
  <c r="M42" i="14623"/>
  <c r="K35" i="14623"/>
  <c r="K38" i="14623"/>
  <c r="E36" i="14623"/>
  <c r="G36" i="14623"/>
  <c r="I40" i="14623"/>
  <c r="B39" i="14623"/>
  <c r="M40" i="14623"/>
  <c r="H37" i="14623"/>
  <c r="I42" i="14623"/>
  <c r="K39" i="14623"/>
  <c r="C37" i="14623"/>
  <c r="L36" i="14623"/>
  <c r="I35" i="14623"/>
  <c r="H40" i="14623"/>
  <c r="H38" i="14623"/>
  <c r="L35" i="14623"/>
  <c r="B146" i="14703" a="1"/>
  <c r="B110" i="14703" a="1"/>
  <c r="B90" i="14703" a="1"/>
  <c r="B236" i="14703" a="1"/>
  <c r="B128" i="14703" a="1"/>
  <c r="B164" i="14703" a="1"/>
  <c r="B182" i="14703" a="1"/>
  <c r="B200" i="14703" a="1"/>
  <c r="B218" i="14703" a="1"/>
  <c r="N19" i="14678" a="1"/>
  <c r="B47" i="14679" a="1"/>
  <c r="N19" i="14623" a="1"/>
  <c r="K1" i="14704"/>
  <c r="A58" i="14694"/>
  <c r="A54" i="14695"/>
  <c r="E69" i="14653"/>
  <c r="A59" i="14692"/>
  <c r="B128" i="14700" a="1"/>
  <c r="B164" i="14700" a="1"/>
  <c r="B146" i="14700" a="1"/>
  <c r="B200" i="14700" a="1"/>
  <c r="B218" i="14700" a="1"/>
  <c r="B110" i="14700" a="1"/>
  <c r="B182" i="14700" a="1"/>
  <c r="B90" i="14700" a="1"/>
  <c r="B236" i="14700" a="1"/>
  <c r="N19" i="14632" a="1"/>
  <c r="N19" i="14638" a="1"/>
  <c r="Q46" i="14678"/>
  <c r="R57" i="14678" s="1"/>
  <c r="R30" i="14678"/>
  <c r="B110" i="14698" a="1"/>
  <c r="B128" i="14698" a="1"/>
  <c r="B236" i="14698" a="1"/>
  <c r="B164" i="14698" a="1"/>
  <c r="B182" i="14698" a="1"/>
  <c r="B200" i="14698" a="1"/>
  <c r="B218" i="14698" a="1"/>
  <c r="B90" i="14698" a="1"/>
  <c r="B146" i="14698" a="1"/>
  <c r="G5" i="14661"/>
  <c r="H5" i="14661"/>
  <c r="D5" i="14661"/>
  <c r="E5" i="14661"/>
  <c r="F5" i="14661"/>
  <c r="B128" i="14704" a="1"/>
  <c r="B146" i="14704" a="1"/>
  <c r="B90" i="14704" a="1"/>
  <c r="B182" i="14704" a="1"/>
  <c r="B200" i="14704" a="1"/>
  <c r="B218" i="14704" a="1"/>
  <c r="B236" i="14704" a="1"/>
  <c r="B110" i="14704" a="1"/>
  <c r="B164" i="14704" a="1"/>
  <c r="Q46" i="14679"/>
  <c r="R57" i="14679" s="1"/>
  <c r="R30" i="14679"/>
  <c r="E77" i="14665"/>
  <c r="C77" i="14665"/>
  <c r="D77" i="14665"/>
  <c r="F77" i="14665"/>
  <c r="B218" i="14702" a="1"/>
  <c r="B236" i="14702" a="1"/>
  <c r="B164" i="14702" a="1"/>
  <c r="B182" i="14702" a="1"/>
  <c r="B128" i="14702" a="1"/>
  <c r="B200" i="14702" a="1"/>
  <c r="B110" i="14702" a="1"/>
  <c r="B146" i="14702" a="1"/>
  <c r="B90" i="14702" a="1"/>
  <c r="B200" i="14701" a="1"/>
  <c r="B218" i="14701" a="1"/>
  <c r="B236" i="14701" a="1"/>
  <c r="B182" i="14701" a="1"/>
  <c r="B90" i="14701" a="1"/>
  <c r="B128" i="14701" a="1"/>
  <c r="B146" i="14701" a="1"/>
  <c r="B164" i="14701" a="1"/>
  <c r="B110" i="14701" a="1"/>
  <c r="G48" i="14645"/>
  <c r="B48" i="14645"/>
  <c r="I48" i="14645"/>
  <c r="D48" i="14645"/>
  <c r="F48" i="14645"/>
  <c r="H48" i="14645"/>
  <c r="N48" i="14645"/>
  <c r="J48" i="14645"/>
  <c r="M48" i="14645"/>
  <c r="C48" i="14645"/>
  <c r="L48" i="14645"/>
  <c r="K48" i="14645"/>
  <c r="E48" i="14645"/>
  <c r="D43" i="14622" a="1"/>
  <c r="D43" i="14622" s="1"/>
  <c r="J15" i="14667"/>
  <c r="E16" i="4128" s="1"/>
  <c r="X27" i="14655"/>
  <c r="J13" i="14706"/>
  <c r="U171" i="14702" l="1"/>
  <c r="P178" i="14698"/>
  <c r="U173" i="14702"/>
  <c r="U212" i="14702"/>
  <c r="W205" i="14702"/>
  <c r="U208" i="14702"/>
  <c r="W206" i="14702"/>
  <c r="W212" i="14702"/>
  <c r="V96" i="14698"/>
  <c r="I7" i="14676"/>
  <c r="R124" i="14698"/>
  <c r="T100" i="14698"/>
  <c r="B10" i="14671"/>
  <c r="Q250" i="14698"/>
  <c r="V121" i="14702"/>
  <c r="Y157" i="14702"/>
  <c r="R173" i="14702"/>
  <c r="U103" i="14698"/>
  <c r="R194" i="14702"/>
  <c r="X194" i="14702"/>
  <c r="H5" i="14617"/>
  <c r="X207" i="14702"/>
  <c r="H7" i="14617"/>
  <c r="T230" i="14702"/>
  <c r="F7" i="14676"/>
  <c r="N7" i="14676"/>
  <c r="G7" i="14676"/>
  <c r="F42" i="14683"/>
  <c r="Y93" i="14698"/>
  <c r="D7" i="14676"/>
  <c r="E56" i="14683"/>
  <c r="Y101" i="14698"/>
  <c r="C7" i="14676"/>
  <c r="V134" i="14702"/>
  <c r="Y94" i="14698"/>
  <c r="V137" i="14702"/>
  <c r="U242" i="14702"/>
  <c r="R245" i="14702"/>
  <c r="J7" i="14676"/>
  <c r="R192" i="14702"/>
  <c r="H7" i="14676"/>
  <c r="X206" i="14702"/>
  <c r="X212" i="14702"/>
  <c r="V213" i="14702"/>
  <c r="T227" i="14702"/>
  <c r="P231" i="14702"/>
  <c r="K7" i="14676"/>
  <c r="X213" i="14702"/>
  <c r="V211" i="14702"/>
  <c r="T231" i="14702"/>
  <c r="P230" i="14702"/>
  <c r="S119" i="14702"/>
  <c r="L7" i="14676"/>
  <c r="M7" i="14676"/>
  <c r="T210" i="14702"/>
  <c r="V210" i="14702"/>
  <c r="S121" i="14702"/>
  <c r="U134" i="14702"/>
  <c r="T213" i="14702"/>
  <c r="S122" i="14702"/>
  <c r="U139" i="14702"/>
  <c r="T209" i="14702"/>
  <c r="T99" i="14698"/>
  <c r="T247" i="14702"/>
  <c r="W150" i="14702"/>
  <c r="V139" i="14702"/>
  <c r="F39" i="14683"/>
  <c r="V140" i="14702"/>
  <c r="F36" i="14683"/>
  <c r="Q193" i="14702"/>
  <c r="F38" i="14683"/>
  <c r="Y97" i="14698"/>
  <c r="Q192" i="14702"/>
  <c r="F34" i="14683"/>
  <c r="Y194" i="14702"/>
  <c r="Y95" i="14698"/>
  <c r="Q194" i="14702"/>
  <c r="F35" i="14683"/>
  <c r="S137" i="14702"/>
  <c r="Y189" i="14702"/>
  <c r="Y103" i="14698"/>
  <c r="F37" i="14683"/>
  <c r="S139" i="14702"/>
  <c r="Y184" i="14702"/>
  <c r="R248" i="14702"/>
  <c r="Y98" i="14698"/>
  <c r="F41" i="14683"/>
  <c r="S140" i="14702"/>
  <c r="R246" i="14702"/>
  <c r="V133" i="14702"/>
  <c r="Y96" i="14698"/>
  <c r="V136" i="14702"/>
  <c r="Y100" i="14698"/>
  <c r="V103" i="14698"/>
  <c r="X156" i="14702"/>
  <c r="V95" i="14698"/>
  <c r="X149" i="14702"/>
  <c r="P157" i="14702"/>
  <c r="C6" i="14641"/>
  <c r="E6" i="14641"/>
  <c r="Q120" i="14702"/>
  <c r="I6" i="14641"/>
  <c r="S196" i="14698"/>
  <c r="Y102" i="14698"/>
  <c r="P142" i="14698"/>
  <c r="E49" i="14683"/>
  <c r="E50" i="14683"/>
  <c r="E53" i="14683"/>
  <c r="E52" i="14683"/>
  <c r="C28" i="14678"/>
  <c r="E54" i="14683"/>
  <c r="R160" i="14698"/>
  <c r="E51" i="14683"/>
  <c r="R142" i="14698"/>
  <c r="P122" i="14702"/>
  <c r="D28" i="14678"/>
  <c r="Y202" i="14702"/>
  <c r="W132" i="14702"/>
  <c r="N42" i="14645"/>
  <c r="R212" i="14702"/>
  <c r="S31" i="14678"/>
  <c r="M53" i="14645" s="1"/>
  <c r="V122" i="14702"/>
  <c r="X192" i="14702"/>
  <c r="P195" i="14702"/>
  <c r="Y152" i="14702"/>
  <c r="Q156" i="14702"/>
  <c r="U100" i="14698"/>
  <c r="S174" i="14702"/>
  <c r="R175" i="14702"/>
  <c r="J22" i="14707"/>
  <c r="V123" i="14702"/>
  <c r="X188" i="14702"/>
  <c r="Y153" i="14702"/>
  <c r="U96" i="14698"/>
  <c r="T248" i="14702"/>
  <c r="S177" i="14702"/>
  <c r="R177" i="14702"/>
  <c r="V119" i="14702"/>
  <c r="Y158" i="14702"/>
  <c r="S172" i="14702"/>
  <c r="R174" i="14702"/>
  <c r="P102" i="14698"/>
  <c r="S175" i="14702"/>
  <c r="P248" i="14702"/>
  <c r="W123" i="14702"/>
  <c r="P247" i="14702"/>
  <c r="W116" i="14702"/>
  <c r="U99" i="14698"/>
  <c r="V116" i="14702"/>
  <c r="W120" i="14702"/>
  <c r="U102" i="14698"/>
  <c r="T193" i="14702"/>
  <c r="Q232" i="14698"/>
  <c r="R250" i="14698"/>
  <c r="W250" i="14698"/>
  <c r="V214" i="14698"/>
  <c r="W118" i="14702"/>
  <c r="U152" i="14702"/>
  <c r="V117" i="14702"/>
  <c r="W122" i="14702"/>
  <c r="Q157" i="14702"/>
  <c r="U98" i="14698"/>
  <c r="T122" i="14702"/>
  <c r="R123" i="14702"/>
  <c r="V115" i="14702"/>
  <c r="X195" i="14702"/>
  <c r="P193" i="14702"/>
  <c r="Q158" i="14702"/>
  <c r="U101" i="14698"/>
  <c r="T118" i="14702"/>
  <c r="T123" i="14702"/>
  <c r="X190" i="14702"/>
  <c r="Y151" i="14702"/>
  <c r="X214" i="14698"/>
  <c r="S210" i="14702"/>
  <c r="T173" i="14702"/>
  <c r="T171" i="14702"/>
  <c r="Y167" i="14702"/>
  <c r="S213" i="14702"/>
  <c r="Y173" i="14702"/>
  <c r="S209" i="14702"/>
  <c r="Y170" i="14702"/>
  <c r="S208" i="14702"/>
  <c r="V104" i="14704"/>
  <c r="R232" i="14698"/>
  <c r="W176" i="14702"/>
  <c r="W140" i="14702"/>
  <c r="W135" i="14702"/>
  <c r="Q102" i="14698"/>
  <c r="G74" i="14643"/>
  <c r="I73" i="14643" s="1"/>
  <c r="W133" i="14702"/>
  <c r="P177" i="14702"/>
  <c r="W139" i="14702"/>
  <c r="Q103" i="14698"/>
  <c r="F67" i="14643"/>
  <c r="W134" i="14702"/>
  <c r="Q101" i="14698"/>
  <c r="V172" i="14702"/>
  <c r="V171" i="14702"/>
  <c r="X99" i="14698"/>
  <c r="X101" i="14698"/>
  <c r="P250" i="14698"/>
  <c r="S250" i="14698"/>
  <c r="Q196" i="14698"/>
  <c r="U250" i="14698"/>
  <c r="X203" i="14702"/>
  <c r="T207" i="14702"/>
  <c r="V169" i="14702"/>
  <c r="V208" i="14702"/>
  <c r="T228" i="14702"/>
  <c r="R191" i="14702"/>
  <c r="X98" i="14698"/>
  <c r="S123" i="14702"/>
  <c r="T102" i="14698"/>
  <c r="X100" i="14698"/>
  <c r="T98" i="14698"/>
  <c r="V205" i="14702"/>
  <c r="T226" i="14702"/>
  <c r="X102" i="14698"/>
  <c r="T103" i="14698"/>
  <c r="X150" i="14702"/>
  <c r="U141" i="14702"/>
  <c r="X94" i="14698"/>
  <c r="X204" i="14702"/>
  <c r="T97" i="14698"/>
  <c r="U136" i="14702"/>
  <c r="X210" i="14702"/>
  <c r="V177" i="14702"/>
  <c r="V97" i="14698"/>
  <c r="U140" i="14702"/>
  <c r="X208" i="14702"/>
  <c r="V174" i="14702"/>
  <c r="V212" i="14702"/>
  <c r="X93" i="14698"/>
  <c r="U135" i="14702"/>
  <c r="X209" i="14702"/>
  <c r="T212" i="14702"/>
  <c r="V173" i="14702"/>
  <c r="V207" i="14702"/>
  <c r="X97" i="14698"/>
  <c r="U138" i="14702"/>
  <c r="X211" i="14702"/>
  <c r="T211" i="14702"/>
  <c r="V170" i="14702"/>
  <c r="V206" i="14702"/>
  <c r="T225" i="14702"/>
  <c r="R195" i="14702"/>
  <c r="X96" i="14698"/>
  <c r="S120" i="14702"/>
  <c r="Y85" i="14702"/>
  <c r="V176" i="14702"/>
  <c r="U174" i="14702"/>
  <c r="X95" i="14698"/>
  <c r="P160" i="14698"/>
  <c r="Y169" i="14702"/>
  <c r="F69" i="14643"/>
  <c r="Y172" i="14702"/>
  <c r="V178" i="14698"/>
  <c r="S211" i="14702"/>
  <c r="M6" i="14641"/>
  <c r="W226" i="14702"/>
  <c r="Q212" i="14702"/>
  <c r="J6" i="14641"/>
  <c r="H6" i="14641"/>
  <c r="E28" i="14678"/>
  <c r="N6" i="14641"/>
  <c r="W169" i="14702"/>
  <c r="X135" i="14702"/>
  <c r="Q123" i="14702"/>
  <c r="K6" i="14641"/>
  <c r="X138" i="14702"/>
  <c r="Q121" i="14702"/>
  <c r="X141" i="14702"/>
  <c r="Y243" i="14702"/>
  <c r="Y241" i="14702"/>
  <c r="L6" i="14641"/>
  <c r="Y244" i="14702"/>
  <c r="F6" i="14641"/>
  <c r="V225" i="14702"/>
  <c r="Q211" i="14702"/>
  <c r="W225" i="14702"/>
  <c r="Q210" i="14702"/>
  <c r="D6" i="14641"/>
  <c r="W227" i="14702"/>
  <c r="U249" i="14702"/>
  <c r="V243" i="14702"/>
  <c r="U245" i="14702"/>
  <c r="V249" i="14702"/>
  <c r="Q124" i="14698"/>
  <c r="S99" i="14698"/>
  <c r="U243" i="14702"/>
  <c r="V244" i="14702"/>
  <c r="S101" i="14698"/>
  <c r="U247" i="14702"/>
  <c r="V241" i="14702"/>
  <c r="Y177" i="14702"/>
  <c r="P121" i="14702"/>
  <c r="R209" i="14702"/>
  <c r="W136" i="14702"/>
  <c r="Y168" i="14702"/>
  <c r="W168" i="14702"/>
  <c r="F66" i="14643"/>
  <c r="Y171" i="14702"/>
  <c r="W177" i="14702"/>
  <c r="T174" i="14702"/>
  <c r="F70" i="14643"/>
  <c r="F71" i="14643"/>
  <c r="Y174" i="14702"/>
  <c r="T177" i="14702"/>
  <c r="W137" i="14702"/>
  <c r="Y166" i="14702"/>
  <c r="C11" i="14639" a="1"/>
  <c r="K11" i="14639" s="1"/>
  <c r="W175" i="14702"/>
  <c r="T176" i="14702"/>
  <c r="V188" i="14702"/>
  <c r="F73" i="14643"/>
  <c r="W173" i="14702"/>
  <c r="W141" i="14702"/>
  <c r="Y175" i="14702"/>
  <c r="P175" i="14702"/>
  <c r="W171" i="14702"/>
  <c r="T175" i="14702"/>
  <c r="Y135" i="14702"/>
  <c r="F68" i="14643"/>
  <c r="W170" i="14702"/>
  <c r="R211" i="14702"/>
  <c r="U214" i="14698"/>
  <c r="S248" i="14702"/>
  <c r="X117" i="14702"/>
  <c r="X239" i="14702"/>
  <c r="X123" i="14702"/>
  <c r="X243" i="14702"/>
  <c r="X244" i="14702"/>
  <c r="P196" i="14698"/>
  <c r="X247" i="14702"/>
  <c r="X245" i="14702"/>
  <c r="X116" i="14702"/>
  <c r="S249" i="14702"/>
  <c r="X118" i="14702"/>
  <c r="S246" i="14702"/>
  <c r="X120" i="14702"/>
  <c r="X122" i="14702"/>
  <c r="S244" i="14702"/>
  <c r="X119" i="14702"/>
  <c r="X114" i="14702"/>
  <c r="X242" i="14702"/>
  <c r="U155" i="14702"/>
  <c r="W121" i="14702"/>
  <c r="X185" i="14702"/>
  <c r="Y148" i="14702"/>
  <c r="V98" i="14698"/>
  <c r="X157" i="14702"/>
  <c r="U156" i="14702"/>
  <c r="W114" i="14702"/>
  <c r="U177" i="14702"/>
  <c r="X187" i="14702"/>
  <c r="Y150" i="14702"/>
  <c r="V102" i="14698"/>
  <c r="T117" i="14702"/>
  <c r="X159" i="14702"/>
  <c r="W119" i="14702"/>
  <c r="U175" i="14702"/>
  <c r="X186" i="14702"/>
  <c r="P158" i="14702"/>
  <c r="Y154" i="14702"/>
  <c r="V100" i="14698"/>
  <c r="T119" i="14702"/>
  <c r="W115" i="14702"/>
  <c r="U172" i="14702"/>
  <c r="X191" i="14702"/>
  <c r="Y159" i="14702"/>
  <c r="V101" i="14698"/>
  <c r="T249" i="14702"/>
  <c r="T121" i="14702"/>
  <c r="T190" i="14702"/>
  <c r="U176" i="14702"/>
  <c r="Y155" i="14702"/>
  <c r="T245" i="14702"/>
  <c r="T195" i="14702"/>
  <c r="U154" i="14702"/>
  <c r="X189" i="14702"/>
  <c r="Y149" i="14702"/>
  <c r="T243" i="14702"/>
  <c r="X153" i="14702"/>
  <c r="T191" i="14702"/>
  <c r="U159" i="14702"/>
  <c r="X158" i="14702"/>
  <c r="V187" i="14702"/>
  <c r="T157" i="14702"/>
  <c r="R122" i="14702"/>
  <c r="Y136" i="14702"/>
  <c r="Y139" i="14702"/>
  <c r="P139" i="14702"/>
  <c r="V193" i="14702"/>
  <c r="W154" i="14702"/>
  <c r="Y138" i="14702"/>
  <c r="P140" i="14702"/>
  <c r="X226" i="14702"/>
  <c r="V190" i="14702"/>
  <c r="X177" i="14702"/>
  <c r="X155" i="14702"/>
  <c r="X168" i="14702"/>
  <c r="X151" i="14702"/>
  <c r="X152" i="14702"/>
  <c r="Q85" i="14702"/>
  <c r="S178" i="14698"/>
  <c r="P214" i="14698"/>
  <c r="Y232" i="14698"/>
  <c r="W196" i="14698"/>
  <c r="P101" i="14698"/>
  <c r="R119" i="14702"/>
  <c r="V192" i="14702"/>
  <c r="Y137" i="14702"/>
  <c r="V191" i="14702"/>
  <c r="W155" i="14702"/>
  <c r="Y130" i="14702"/>
  <c r="U123" i="14702"/>
  <c r="X227" i="14702"/>
  <c r="Y140" i="14702"/>
  <c r="X230" i="14702"/>
  <c r="Y131" i="14702"/>
  <c r="T158" i="14702"/>
  <c r="V194" i="14702"/>
  <c r="Y141" i="14702"/>
  <c r="T153" i="14702"/>
  <c r="Y133" i="14702"/>
  <c r="R121" i="14702"/>
  <c r="V189" i="14702"/>
  <c r="Y132" i="14702"/>
  <c r="X104" i="14704"/>
  <c r="T85" i="14702"/>
  <c r="P85" i="14702"/>
  <c r="S227" i="14702"/>
  <c r="G69" i="14643"/>
  <c r="V250" i="14698"/>
  <c r="W124" i="14698"/>
  <c r="P124" i="14698"/>
  <c r="V155" i="14702"/>
  <c r="X241" i="14702"/>
  <c r="S160" i="14698"/>
  <c r="X113" i="14702"/>
  <c r="X246" i="14702"/>
  <c r="S214" i="14698"/>
  <c r="U224" i="14702"/>
  <c r="S102" i="14698"/>
  <c r="U248" i="14702"/>
  <c r="Y115" i="14702"/>
  <c r="V245" i="14702"/>
  <c r="S100" i="14698"/>
  <c r="V248" i="14702"/>
  <c r="T139" i="14702"/>
  <c r="U246" i="14702"/>
  <c r="V246" i="14702"/>
  <c r="S98" i="14698"/>
  <c r="V247" i="14702"/>
  <c r="T141" i="14702"/>
  <c r="W243" i="14702"/>
  <c r="T160" i="14698"/>
  <c r="T140" i="14702"/>
  <c r="S157" i="14702"/>
  <c r="R137" i="14702"/>
  <c r="R99" i="14698"/>
  <c r="T135" i="14702"/>
  <c r="W190" i="14702"/>
  <c r="T137" i="14702"/>
  <c r="T136" i="14702"/>
  <c r="Y220" i="14702"/>
  <c r="T246" i="14702"/>
  <c r="T194" i="14702"/>
  <c r="U157" i="14702"/>
  <c r="T189" i="14702"/>
  <c r="U153" i="14702"/>
  <c r="T250" i="14698"/>
  <c r="X240" i="14702"/>
  <c r="S104" i="14704"/>
  <c r="Q100" i="14702" a="1"/>
  <c r="Q101" i="14702" s="1"/>
  <c r="V124" i="14698"/>
  <c r="Q214" i="14698"/>
  <c r="S142" i="14698"/>
  <c r="S232" i="14698"/>
  <c r="Y142" i="14698"/>
  <c r="T124" i="14698"/>
  <c r="T232" i="14698"/>
  <c r="R196" i="14698"/>
  <c r="T214" i="14698"/>
  <c r="W142" i="14698"/>
  <c r="U160" i="14698"/>
  <c r="Y209" i="14702"/>
  <c r="V152" i="14702"/>
  <c r="U230" i="14702"/>
  <c r="Q176" i="14702"/>
  <c r="Y207" i="14702"/>
  <c r="U192" i="14702"/>
  <c r="S231" i="14702"/>
  <c r="V158" i="14702"/>
  <c r="U229" i="14702"/>
  <c r="N103" i="14702"/>
  <c r="Q174" i="14702"/>
  <c r="Y208" i="14702"/>
  <c r="U190" i="14702"/>
  <c r="V157" i="14702"/>
  <c r="U227" i="14702"/>
  <c r="G70" i="14643"/>
  <c r="Y211" i="14702"/>
  <c r="U194" i="14702"/>
  <c r="S226" i="14702"/>
  <c r="S229" i="14702"/>
  <c r="V159" i="14702"/>
  <c r="U231" i="14702"/>
  <c r="Q175" i="14702"/>
  <c r="Y206" i="14702"/>
  <c r="S228" i="14702"/>
  <c r="V151" i="14702"/>
  <c r="U228" i="14702"/>
  <c r="G68" i="14643"/>
  <c r="Y213" i="14702"/>
  <c r="Q248" i="14702"/>
  <c r="V153" i="14702"/>
  <c r="G72" i="14643"/>
  <c r="Y210" i="14702"/>
  <c r="U195" i="14702"/>
  <c r="Q246" i="14702"/>
  <c r="G71" i="14643"/>
  <c r="Q247" i="14702"/>
  <c r="G67" i="14643"/>
  <c r="Y212" i="14702"/>
  <c r="U188" i="14702"/>
  <c r="G66" i="14643"/>
  <c r="Y205" i="14702"/>
  <c r="U193" i="14702"/>
  <c r="E104" i="14704"/>
  <c r="V154" i="14702"/>
  <c r="U226" i="14702"/>
  <c r="Y204" i="14702"/>
  <c r="U191" i="14702"/>
  <c r="U96" i="14702" a="1"/>
  <c r="U98" i="14702" s="1"/>
  <c r="W160" i="14698"/>
  <c r="V196" i="14698"/>
  <c r="T178" i="14698"/>
  <c r="U232" i="14698"/>
  <c r="V232" i="14698"/>
  <c r="V142" i="14698"/>
  <c r="U85" i="14702"/>
  <c r="C104" i="14704"/>
  <c r="U120" i="14702"/>
  <c r="X231" i="14702"/>
  <c r="W151" i="14702"/>
  <c r="T155" i="14702"/>
  <c r="I104" i="14704"/>
  <c r="S85" i="14702"/>
  <c r="W156" i="14702"/>
  <c r="T154" i="14702"/>
  <c r="X229" i="14702"/>
  <c r="W159" i="14702"/>
  <c r="T156" i="14702"/>
  <c r="U119" i="14702"/>
  <c r="X224" i="14702"/>
  <c r="R230" i="14702"/>
  <c r="W153" i="14702"/>
  <c r="U121" i="14702"/>
  <c r="V135" i="14702"/>
  <c r="X222" i="14702"/>
  <c r="R229" i="14702"/>
  <c r="W152" i="14702"/>
  <c r="Y92" i="14698"/>
  <c r="U118" i="14702"/>
  <c r="X225" i="14702"/>
  <c r="R231" i="14702"/>
  <c r="W158" i="14702"/>
  <c r="U122" i="14702"/>
  <c r="X221" i="14702"/>
  <c r="R228" i="14702"/>
  <c r="U116" i="14702"/>
  <c r="X223" i="14702"/>
  <c r="W174" i="14702"/>
  <c r="R213" i="14702"/>
  <c r="T104" i="14704"/>
  <c r="N40" i="14704"/>
  <c r="Y178" i="14698"/>
  <c r="G104" i="14704"/>
  <c r="R85" i="14702"/>
  <c r="B47" i="14704" a="1"/>
  <c r="C47" i="14704" s="1"/>
  <c r="V160" i="14698"/>
  <c r="U124" i="14698"/>
  <c r="B106" i="14700"/>
  <c r="X142" i="14698"/>
  <c r="X124" i="14698"/>
  <c r="W232" i="14698"/>
  <c r="X250" i="14698"/>
  <c r="R214" i="14698"/>
  <c r="T196" i="14698"/>
  <c r="X232" i="14698"/>
  <c r="S124" i="14698"/>
  <c r="B215" i="14704" a="1"/>
  <c r="Q215" i="14704" s="1"/>
  <c r="P232" i="14698"/>
  <c r="T142" i="14698"/>
  <c r="D104" i="14704"/>
  <c r="Y250" i="14698"/>
  <c r="W245" i="14702"/>
  <c r="Q230" i="14702"/>
  <c r="R138" i="14702"/>
  <c r="W191" i="14702"/>
  <c r="Y188" i="14702"/>
  <c r="S156" i="14702"/>
  <c r="Y226" i="14702"/>
  <c r="W104" i="14704"/>
  <c r="Q228" i="14702"/>
  <c r="R139" i="14702"/>
  <c r="W187" i="14702"/>
  <c r="Y193" i="14702"/>
  <c r="S155" i="14702"/>
  <c r="R155" i="14702"/>
  <c r="Y224" i="14702"/>
  <c r="B51" i="14704" a="1"/>
  <c r="E51" i="14704" s="1"/>
  <c r="Q229" i="14702"/>
  <c r="R141" i="14702"/>
  <c r="W186" i="14702"/>
  <c r="Y187" i="14702"/>
  <c r="W240" i="14702"/>
  <c r="S159" i="14702"/>
  <c r="R156" i="14702"/>
  <c r="Y229" i="14702"/>
  <c r="S98" i="14702" a="1"/>
  <c r="S98" i="14702" s="1"/>
  <c r="Y186" i="14702"/>
  <c r="W242" i="14702"/>
  <c r="S158" i="14702"/>
  <c r="P101" i="14702" a="1"/>
  <c r="P102" i="14702" s="1"/>
  <c r="R157" i="14702"/>
  <c r="Y231" i="14702"/>
  <c r="W188" i="14702"/>
  <c r="Y195" i="14702"/>
  <c r="W249" i="14702"/>
  <c r="S192" i="14702"/>
  <c r="Y221" i="14702"/>
  <c r="Q178" i="14698"/>
  <c r="W192" i="14702"/>
  <c r="W246" i="14702"/>
  <c r="S190" i="14702"/>
  <c r="Y225" i="14702"/>
  <c r="R103" i="14698"/>
  <c r="W194" i="14702"/>
  <c r="Y192" i="14702"/>
  <c r="W247" i="14702"/>
  <c r="S193" i="14702"/>
  <c r="Y223" i="14702"/>
  <c r="R100" i="14698"/>
  <c r="W189" i="14702"/>
  <c r="Y190" i="14702"/>
  <c r="W244" i="14702"/>
  <c r="S195" i="14702"/>
  <c r="Y222" i="14702"/>
  <c r="R102" i="14698"/>
  <c r="W195" i="14702"/>
  <c r="Y191" i="14702"/>
  <c r="W241" i="14702"/>
  <c r="S191" i="14702"/>
  <c r="Y228" i="14702"/>
  <c r="Y227" i="14702"/>
  <c r="W94" i="14702" a="1"/>
  <c r="W98" i="14702" s="1"/>
  <c r="V95" i="14702" a="1"/>
  <c r="V101" i="14702" s="1"/>
  <c r="M104" i="14704"/>
  <c r="U104" i="14704"/>
  <c r="B50" i="14704" a="1"/>
  <c r="D50" i="14704" s="1"/>
  <c r="R99" i="14702" a="1"/>
  <c r="R101" i="14702" s="1"/>
  <c r="X196" i="14698"/>
  <c r="U142" i="14698"/>
  <c r="W85" i="14702"/>
  <c r="B143" i="14704" a="1"/>
  <c r="X143" i="14704" s="1"/>
  <c r="Y160" i="14698"/>
  <c r="P104" i="14704"/>
  <c r="W214" i="14698"/>
  <c r="X178" i="14698"/>
  <c r="B46" i="14704" a="1"/>
  <c r="K46" i="14704" s="1"/>
  <c r="X160" i="14698"/>
  <c r="Y214" i="14698"/>
  <c r="V223" i="14702"/>
  <c r="W224" i="14702"/>
  <c r="B125" i="14704" a="1"/>
  <c r="L125" i="14704" s="1"/>
  <c r="K104" i="14704"/>
  <c r="Y246" i="14702"/>
  <c r="X175" i="14702"/>
  <c r="V229" i="14702"/>
  <c r="W228" i="14702"/>
  <c r="X137" i="14702"/>
  <c r="Y239" i="14702"/>
  <c r="X173" i="14702"/>
  <c r="W231" i="14702"/>
  <c r="X134" i="14702"/>
  <c r="Y249" i="14702"/>
  <c r="X167" i="14702"/>
  <c r="V226" i="14702"/>
  <c r="W222" i="14702"/>
  <c r="X133" i="14702"/>
  <c r="Y238" i="14702"/>
  <c r="X176" i="14702"/>
  <c r="V230" i="14702"/>
  <c r="W230" i="14702"/>
  <c r="X136" i="14702"/>
  <c r="Y247" i="14702"/>
  <c r="X172" i="14702"/>
  <c r="V224" i="14702"/>
  <c r="F104" i="14704"/>
  <c r="X132" i="14702"/>
  <c r="Y240" i="14702"/>
  <c r="X169" i="14702"/>
  <c r="V231" i="14702"/>
  <c r="X131" i="14702"/>
  <c r="Y242" i="14702"/>
  <c r="X170" i="14702"/>
  <c r="Y92" i="14702" a="1"/>
  <c r="Y103" i="14702" s="1"/>
  <c r="L104" i="14704"/>
  <c r="B49" i="14704" a="1"/>
  <c r="H49" i="14704" s="1"/>
  <c r="B197" i="14704" a="1"/>
  <c r="H197" i="14704" s="1"/>
  <c r="U178" i="14698"/>
  <c r="O104" i="14704"/>
  <c r="T97" i="14702" a="1"/>
  <c r="T101" i="14702" s="1"/>
  <c r="X85" i="14702"/>
  <c r="B161" i="14704" a="1"/>
  <c r="E161" i="14704" s="1"/>
  <c r="B179" i="14704" a="1"/>
  <c r="T179" i="14704" s="1"/>
  <c r="B48" i="14704" a="1"/>
  <c r="K48" i="14704" s="1"/>
  <c r="J104" i="14704"/>
  <c r="B233" i="14704" a="1"/>
  <c r="U233" i="14704" s="1"/>
  <c r="Y196" i="14698"/>
  <c r="Y124" i="14698"/>
  <c r="B53" i="14704" a="1"/>
  <c r="B53" i="14704" s="1"/>
  <c r="U196" i="14698"/>
  <c r="V85" i="14702"/>
  <c r="V228" i="14702"/>
  <c r="W223" i="14702"/>
  <c r="X140" i="14702"/>
  <c r="Y245" i="14702"/>
  <c r="X171" i="14702"/>
  <c r="Y122" i="14702"/>
  <c r="B52" i="14704" a="1"/>
  <c r="C52" i="14704" s="1"/>
  <c r="Y116" i="14702"/>
  <c r="Y123" i="14702"/>
  <c r="Y119" i="14702"/>
  <c r="Y121" i="14702"/>
  <c r="Y118" i="14702"/>
  <c r="Y117" i="14702"/>
  <c r="Y113" i="14702"/>
  <c r="Y112" i="14702"/>
  <c r="H104" i="14704"/>
  <c r="Y120" i="14702"/>
  <c r="B55" i="14704"/>
  <c r="Q104" i="14704"/>
  <c r="R104" i="14704"/>
  <c r="X93" i="14702" a="1"/>
  <c r="X97" i="14702" s="1"/>
  <c r="N104" i="14704"/>
  <c r="W178" i="14698"/>
  <c r="R178" i="14698"/>
  <c r="B251" i="14704" a="1"/>
  <c r="X251" i="14704" s="1"/>
  <c r="O85" i="14700"/>
  <c r="O124" i="14702"/>
  <c r="N196" i="14702"/>
  <c r="O196" i="14702"/>
  <c r="O214" i="14702"/>
  <c r="O232" i="14702"/>
  <c r="O160" i="14702"/>
  <c r="N232" i="14702"/>
  <c r="N178" i="14702"/>
  <c r="N142" i="14702"/>
  <c r="N160" i="14702"/>
  <c r="N214" i="14702"/>
  <c r="O250" i="14702"/>
  <c r="O142" i="14702"/>
  <c r="N124" i="14702"/>
  <c r="S85" i="14700"/>
  <c r="O178" i="14702"/>
  <c r="N250" i="14702"/>
  <c r="Q141" i="14700"/>
  <c r="Q138" i="14700"/>
  <c r="Q140" i="14700"/>
  <c r="Q139" i="14700"/>
  <c r="P231" i="14700"/>
  <c r="P230" i="14700"/>
  <c r="P229" i="14700"/>
  <c r="N39" i="14702"/>
  <c r="T95" i="14702" a="1"/>
  <c r="T95" i="14702" s="1"/>
  <c r="P99" i="14702" a="1"/>
  <c r="P99" i="14702" s="1"/>
  <c r="X91" i="14702" a="1"/>
  <c r="X91" i="14702" s="1"/>
  <c r="L103" i="14702" a="1"/>
  <c r="L103" i="14702" s="1"/>
  <c r="R97" i="14702" a="1"/>
  <c r="R97" i="14702" s="1"/>
  <c r="O100" i="14702" a="1"/>
  <c r="O100" i="14702" s="1"/>
  <c r="L40" i="14702"/>
  <c r="W92" i="14702" a="1"/>
  <c r="W92" i="14702" s="1"/>
  <c r="M102" i="14702" a="1"/>
  <c r="M102" i="14702" s="1"/>
  <c r="Q98" i="14702" a="1"/>
  <c r="Q98" i="14702" s="1"/>
  <c r="V93" i="14702" a="1"/>
  <c r="V93" i="14702" s="1"/>
  <c r="U94" i="14702" a="1"/>
  <c r="U94" i="14702" s="1"/>
  <c r="N101" i="14702" a="1"/>
  <c r="N101" i="14702" s="1"/>
  <c r="S96" i="14702" a="1"/>
  <c r="S96" i="14702" s="1"/>
  <c r="G99" i="14702" a="1"/>
  <c r="G99" i="14702" s="1"/>
  <c r="C103" i="14702" a="1"/>
  <c r="C103" i="14702" s="1"/>
  <c r="O103" i="14701" s="1"/>
  <c r="M93" i="14702" a="1"/>
  <c r="M93" i="14702" s="1"/>
  <c r="D102" i="14702" a="1"/>
  <c r="D102" i="14702" s="1"/>
  <c r="L94" i="14702" a="1"/>
  <c r="L94" i="14702" s="1"/>
  <c r="E101" i="14702" a="1"/>
  <c r="E101" i="14702" s="1"/>
  <c r="F100" i="14702" a="1"/>
  <c r="F100" i="14702" s="1"/>
  <c r="J96" i="14702" a="1"/>
  <c r="J96" i="14702" s="1"/>
  <c r="O91" i="14702" a="1"/>
  <c r="O91" i="14702" s="1"/>
  <c r="I97" i="14702" a="1"/>
  <c r="I97" i="14702" s="1"/>
  <c r="C40" i="14702"/>
  <c r="K95" i="14702" a="1"/>
  <c r="K95" i="14702" s="1"/>
  <c r="H98" i="14702" a="1"/>
  <c r="H98" i="14702" s="1"/>
  <c r="N92" i="14702" a="1"/>
  <c r="N92" i="14702" s="1"/>
  <c r="Q249" i="14700"/>
  <c r="Q247" i="14700"/>
  <c r="Q248" i="14700"/>
  <c r="Q246" i="14700"/>
  <c r="L196" i="14702"/>
  <c r="X185" i="14701" a="1"/>
  <c r="N249" i="14701"/>
  <c r="N250" i="14701" s="1"/>
  <c r="B250" i="14702"/>
  <c r="W150" i="14700"/>
  <c r="W159" i="14700"/>
  <c r="W154" i="14700"/>
  <c r="W156" i="14700"/>
  <c r="W153" i="14700"/>
  <c r="W152" i="14700"/>
  <c r="W155" i="14700"/>
  <c r="W151" i="14700"/>
  <c r="W158" i="14700"/>
  <c r="W157" i="14700"/>
  <c r="X175" i="14700"/>
  <c r="X177" i="14700"/>
  <c r="X176" i="14700"/>
  <c r="X174" i="14700"/>
  <c r="X173" i="14700"/>
  <c r="X167" i="14700"/>
  <c r="X170" i="14700"/>
  <c r="X168" i="14700"/>
  <c r="X171" i="14700"/>
  <c r="X172" i="14700"/>
  <c r="X169" i="14700"/>
  <c r="P247" i="14700"/>
  <c r="P248" i="14700"/>
  <c r="P249" i="14700"/>
  <c r="L250" i="14702"/>
  <c r="X239" i="14701" a="1"/>
  <c r="P141" i="14700"/>
  <c r="P139" i="14700"/>
  <c r="P140" i="14700"/>
  <c r="G196" i="14702"/>
  <c r="S190" i="14701" a="1"/>
  <c r="N40" i="14701"/>
  <c r="K160" i="14702"/>
  <c r="W150" i="14701" a="1"/>
  <c r="C142" i="14702"/>
  <c r="O140" i="14701"/>
  <c r="O142" i="14701" s="1"/>
  <c r="D178" i="14702"/>
  <c r="P175" i="14701" a="1"/>
  <c r="Q212" i="14700"/>
  <c r="Q213" i="14700"/>
  <c r="Q211" i="14700"/>
  <c r="Q210" i="14700"/>
  <c r="S212" i="14700"/>
  <c r="S210" i="14700"/>
  <c r="S209" i="14700"/>
  <c r="S208" i="14700"/>
  <c r="S211" i="14700"/>
  <c r="S213" i="14700"/>
  <c r="Q85" i="14700"/>
  <c r="J250" i="14702"/>
  <c r="V241" i="14701" a="1"/>
  <c r="N141" i="14701"/>
  <c r="N142" i="14701" s="1"/>
  <c r="B142" i="14702"/>
  <c r="G9" i="14671"/>
  <c r="C9" i="14671"/>
  <c r="F9" i="14671"/>
  <c r="E9" i="14671"/>
  <c r="L9" i="14671"/>
  <c r="M9" i="14671"/>
  <c r="J9" i="14671"/>
  <c r="D9" i="14671"/>
  <c r="K9" i="14671"/>
  <c r="B9" i="14671"/>
  <c r="H9" i="14671"/>
  <c r="I9" i="14671"/>
  <c r="R191" i="14700"/>
  <c r="R194" i="14700"/>
  <c r="R192" i="14700"/>
  <c r="R193" i="14700"/>
  <c r="R195" i="14700"/>
  <c r="R120" i="14700"/>
  <c r="R123" i="14700"/>
  <c r="R119" i="14700"/>
  <c r="R121" i="14700"/>
  <c r="R122" i="14700"/>
  <c r="E124" i="14702"/>
  <c r="Q120" i="14701" a="1"/>
  <c r="N35" i="14702"/>
  <c r="P100" i="14702" a="1"/>
  <c r="P100" i="14702" s="1"/>
  <c r="R98" i="14702" a="1"/>
  <c r="R98" i="14702" s="1"/>
  <c r="S97" i="14702" a="1"/>
  <c r="S97" i="14702" s="1"/>
  <c r="M40" i="14702"/>
  <c r="Y91" i="14702" a="1"/>
  <c r="Y91" i="14702" s="1"/>
  <c r="U95" i="14702" a="1"/>
  <c r="U95" i="14702" s="1"/>
  <c r="Q99" i="14702" a="1"/>
  <c r="Q99" i="14702" s="1"/>
  <c r="M103" i="14702" a="1"/>
  <c r="M103" i="14702" s="1"/>
  <c r="N102" i="14702" a="1"/>
  <c r="N102" i="14702" s="1"/>
  <c r="V94" i="14702" a="1"/>
  <c r="V94" i="14702" s="1"/>
  <c r="X92" i="14702" a="1"/>
  <c r="X92" i="14702" s="1"/>
  <c r="T96" i="14702" a="1"/>
  <c r="T96" i="14702" s="1"/>
  <c r="W93" i="14702" a="1"/>
  <c r="W93" i="14702" s="1"/>
  <c r="O101" i="14702" a="1"/>
  <c r="O101" i="14702" s="1"/>
  <c r="N34" i="14702"/>
  <c r="U224" i="14701" a="1"/>
  <c r="I232" i="14702"/>
  <c r="U77" i="14701"/>
  <c r="U83" i="14701"/>
  <c r="U84" i="14701"/>
  <c r="U82" i="14701"/>
  <c r="U81" i="14701"/>
  <c r="U79" i="14701"/>
  <c r="U78" i="14701"/>
  <c r="U80" i="14701"/>
  <c r="U116" i="14701" a="1"/>
  <c r="I124" i="14702"/>
  <c r="B55" i="14701"/>
  <c r="O248" i="14701"/>
  <c r="O250" i="14701" s="1"/>
  <c r="C250" i="14702"/>
  <c r="Q100" i="14700" a="1"/>
  <c r="E104" i="14701"/>
  <c r="F124" i="14702"/>
  <c r="R119" i="14701" a="1"/>
  <c r="S172" i="14701" a="1"/>
  <c r="G178" i="14702"/>
  <c r="I196" i="14702"/>
  <c r="U188" i="14701" a="1"/>
  <c r="X167" i="14701" a="1"/>
  <c r="L178" i="14702"/>
  <c r="W222" i="14701" a="1"/>
  <c r="K232" i="14702"/>
  <c r="O84" i="14701"/>
  <c r="O83" i="14701"/>
  <c r="X211" i="14700"/>
  <c r="X209" i="14700"/>
  <c r="X204" i="14700"/>
  <c r="X210" i="14700"/>
  <c r="X208" i="14700"/>
  <c r="X207" i="14700"/>
  <c r="X213" i="14700"/>
  <c r="X203" i="14700"/>
  <c r="X206" i="14700"/>
  <c r="X212" i="14700"/>
  <c r="X205" i="14700"/>
  <c r="U177" i="14700"/>
  <c r="U176" i="14700"/>
  <c r="U175" i="14700"/>
  <c r="U172" i="14700"/>
  <c r="U171" i="14700"/>
  <c r="U173" i="14700"/>
  <c r="U170" i="14700"/>
  <c r="U174" i="14700"/>
  <c r="T194" i="14700"/>
  <c r="T193" i="14700"/>
  <c r="T192" i="14700"/>
  <c r="T190" i="14700"/>
  <c r="T191" i="14700"/>
  <c r="T195" i="14700"/>
  <c r="T189" i="14700"/>
  <c r="U210" i="14700"/>
  <c r="U211" i="14700"/>
  <c r="U213" i="14700"/>
  <c r="U209" i="14700"/>
  <c r="U207" i="14700"/>
  <c r="U212" i="14700"/>
  <c r="U208" i="14700"/>
  <c r="U206" i="14700"/>
  <c r="Q138" i="14701" a="1"/>
  <c r="E142" i="14702"/>
  <c r="W222" i="14700"/>
  <c r="W228" i="14700"/>
  <c r="W229" i="14700"/>
  <c r="W225" i="14700"/>
  <c r="W231" i="14700"/>
  <c r="W227" i="14700"/>
  <c r="W226" i="14700"/>
  <c r="W223" i="14700"/>
  <c r="W224" i="14700"/>
  <c r="W230" i="14700"/>
  <c r="Y173" i="14700"/>
  <c r="Y172" i="14700"/>
  <c r="Y176" i="14700"/>
  <c r="Y175" i="14700"/>
  <c r="Y170" i="14700"/>
  <c r="Y167" i="14700"/>
  <c r="Y168" i="14700"/>
  <c r="Y169" i="14700"/>
  <c r="Y166" i="14700"/>
  <c r="Y177" i="14700"/>
  <c r="Y171" i="14700"/>
  <c r="Y174" i="14700"/>
  <c r="Q121" i="14700"/>
  <c r="Q120" i="14700"/>
  <c r="Q122" i="14700"/>
  <c r="Q123" i="14700"/>
  <c r="V79" i="14701"/>
  <c r="V81" i="14701"/>
  <c r="V78" i="14701"/>
  <c r="V77" i="14701"/>
  <c r="V76" i="14701"/>
  <c r="V80" i="14701"/>
  <c r="V82" i="14701"/>
  <c r="V84" i="14701"/>
  <c r="V83" i="14701"/>
  <c r="U152" i="14700"/>
  <c r="U157" i="14700"/>
  <c r="U153" i="14700"/>
  <c r="U154" i="14700"/>
  <c r="U156" i="14700"/>
  <c r="U155" i="14700"/>
  <c r="U159" i="14700"/>
  <c r="U158" i="14700"/>
  <c r="I214" i="14702"/>
  <c r="U206" i="14701" a="1"/>
  <c r="K142" i="14702"/>
  <c r="W132" i="14701" a="1"/>
  <c r="V211" i="14700"/>
  <c r="V206" i="14700"/>
  <c r="V210" i="14700"/>
  <c r="V212" i="14700"/>
  <c r="V208" i="14700"/>
  <c r="V207" i="14700"/>
  <c r="V205" i="14700"/>
  <c r="V213" i="14700"/>
  <c r="V209" i="14700"/>
  <c r="Y119" i="14700"/>
  <c r="Y120" i="14700"/>
  <c r="Y115" i="14700"/>
  <c r="Y114" i="14700"/>
  <c r="Y112" i="14700"/>
  <c r="Y113" i="14700"/>
  <c r="Y122" i="14700"/>
  <c r="Y123" i="14700"/>
  <c r="Y117" i="14700"/>
  <c r="Y118" i="14700"/>
  <c r="Y116" i="14700"/>
  <c r="Y121" i="14700"/>
  <c r="D160" i="14702"/>
  <c r="P157" i="14701" a="1"/>
  <c r="B214" i="14702"/>
  <c r="N213" i="14701"/>
  <c r="N214" i="14701" s="1"/>
  <c r="X120" i="14700"/>
  <c r="X117" i="14700"/>
  <c r="X121" i="14700"/>
  <c r="X115" i="14700"/>
  <c r="X122" i="14700"/>
  <c r="X113" i="14700"/>
  <c r="X116" i="14700"/>
  <c r="X118" i="14700"/>
  <c r="X114" i="14700"/>
  <c r="X119" i="14700"/>
  <c r="X123" i="14700"/>
  <c r="T172" i="14700"/>
  <c r="T173" i="14700"/>
  <c r="T174" i="14700"/>
  <c r="T176" i="14700"/>
  <c r="T175" i="14700"/>
  <c r="T177" i="14700"/>
  <c r="T171" i="14700"/>
  <c r="D124" i="14702"/>
  <c r="P121" i="14701" a="1"/>
  <c r="V137" i="14700"/>
  <c r="V141" i="14700"/>
  <c r="V136" i="14700"/>
  <c r="V140" i="14700"/>
  <c r="V138" i="14700"/>
  <c r="V133" i="14700"/>
  <c r="V135" i="14700"/>
  <c r="V139" i="14700"/>
  <c r="V134" i="14700"/>
  <c r="I142" i="14702"/>
  <c r="U134" i="14701" a="1"/>
  <c r="X230" i="14700"/>
  <c r="X221" i="14700"/>
  <c r="X225" i="14700"/>
  <c r="X231" i="14700"/>
  <c r="X227" i="14700"/>
  <c r="X224" i="14700"/>
  <c r="X228" i="14700"/>
  <c r="X226" i="14700"/>
  <c r="X229" i="14700"/>
  <c r="X222" i="14700"/>
  <c r="X223" i="14700"/>
  <c r="J232" i="14702"/>
  <c r="V223" i="14701" a="1"/>
  <c r="Y76" i="14701"/>
  <c r="Y82" i="14701"/>
  <c r="Y84" i="14701"/>
  <c r="Y79" i="14701"/>
  <c r="Y75" i="14701"/>
  <c r="Y74" i="14701"/>
  <c r="Y80" i="14701"/>
  <c r="Y78" i="14701"/>
  <c r="Y73" i="14701"/>
  <c r="Y77" i="14701"/>
  <c r="Y83" i="14701"/>
  <c r="Y81" i="14701"/>
  <c r="T94" i="14702" a="1"/>
  <c r="T94" i="14702" s="1"/>
  <c r="L102" i="14702" a="1"/>
  <c r="L102" i="14702" s="1"/>
  <c r="P98" i="14702" a="1"/>
  <c r="P98" i="14702" s="1"/>
  <c r="K103" i="14702" a="1"/>
  <c r="K103" i="14702" s="1"/>
  <c r="S95" i="14702" a="1"/>
  <c r="S95" i="14702" s="1"/>
  <c r="W91" i="14702" a="1"/>
  <c r="W91" i="14702" s="1"/>
  <c r="R96" i="14702" a="1"/>
  <c r="R96" i="14702" s="1"/>
  <c r="M101" i="14702" a="1"/>
  <c r="M101" i="14702" s="1"/>
  <c r="V92" i="14702" a="1"/>
  <c r="V92" i="14702" s="1"/>
  <c r="K40" i="14702"/>
  <c r="O99" i="14702" a="1"/>
  <c r="O99" i="14702" s="1"/>
  <c r="Q97" i="14702" a="1"/>
  <c r="Q97" i="14702" s="1"/>
  <c r="N100" i="14702" a="1"/>
  <c r="N100" i="14702" s="1"/>
  <c r="U93" i="14702" a="1"/>
  <c r="U93" i="14702" s="1"/>
  <c r="K99" i="14702" a="1"/>
  <c r="K99" i="14702" s="1"/>
  <c r="J100" i="14702" a="1"/>
  <c r="J100" i="14702" s="1"/>
  <c r="R92" i="14702" a="1"/>
  <c r="R92" i="14702" s="1"/>
  <c r="O95" i="14702" a="1"/>
  <c r="O95" i="14702" s="1"/>
  <c r="I101" i="14702" a="1"/>
  <c r="I101" i="14702" s="1"/>
  <c r="H102" i="14702" a="1"/>
  <c r="H102" i="14702" s="1"/>
  <c r="P94" i="14702" a="1"/>
  <c r="P94" i="14702" s="1"/>
  <c r="Q93" i="14702" a="1"/>
  <c r="Q93" i="14702" s="1"/>
  <c r="L98" i="14702" a="1"/>
  <c r="L98" i="14702" s="1"/>
  <c r="N96" i="14702" a="1"/>
  <c r="N96" i="14702" s="1"/>
  <c r="M97" i="14702" a="1"/>
  <c r="M97" i="14702" s="1"/>
  <c r="G103" i="14702" a="1"/>
  <c r="G103" i="14702" s="1"/>
  <c r="G40" i="14702"/>
  <c r="S91" i="14702" a="1"/>
  <c r="S91" i="14702" s="1"/>
  <c r="L214" i="14702"/>
  <c r="X203" i="14701" a="1"/>
  <c r="V187" i="14701" a="1"/>
  <c r="J196" i="14702"/>
  <c r="S81" i="14701"/>
  <c r="S80" i="14701"/>
  <c r="S83" i="14701"/>
  <c r="S79" i="14701"/>
  <c r="S82" i="14701"/>
  <c r="S84" i="14701"/>
  <c r="T189" i="14701" a="1"/>
  <c r="H196" i="14702"/>
  <c r="S191" i="14700"/>
  <c r="S192" i="14700"/>
  <c r="S194" i="14700"/>
  <c r="S193" i="14700"/>
  <c r="S195" i="14700"/>
  <c r="S190" i="14700"/>
  <c r="U247" i="14700"/>
  <c r="U246" i="14700"/>
  <c r="U242" i="14700"/>
  <c r="U248" i="14700"/>
  <c r="U245" i="14700"/>
  <c r="U243" i="14700"/>
  <c r="U249" i="14700"/>
  <c r="U244" i="14700"/>
  <c r="O212" i="14701"/>
  <c r="O214" i="14701" s="1"/>
  <c r="C214" i="14702"/>
  <c r="J104" i="14701"/>
  <c r="V95" i="14700" a="1"/>
  <c r="T137" i="14700"/>
  <c r="T136" i="14700"/>
  <c r="T140" i="14700"/>
  <c r="T139" i="14700"/>
  <c r="T138" i="14700"/>
  <c r="T141" i="14700"/>
  <c r="T135" i="14700"/>
  <c r="R227" i="14701" a="1"/>
  <c r="F232" i="14702"/>
  <c r="D214" i="14702"/>
  <c r="P211" i="14701" a="1"/>
  <c r="Y213" i="14700"/>
  <c r="Y205" i="14700"/>
  <c r="Y202" i="14700"/>
  <c r="Y208" i="14700"/>
  <c r="Y207" i="14700"/>
  <c r="Y206" i="14700"/>
  <c r="Y211" i="14700"/>
  <c r="Y209" i="14700"/>
  <c r="Y203" i="14700"/>
  <c r="Y212" i="14700"/>
  <c r="Y204" i="14700"/>
  <c r="Y210" i="14700"/>
  <c r="W186" i="14701" a="1"/>
  <c r="K196" i="14702"/>
  <c r="C232" i="14702"/>
  <c r="O230" i="14701"/>
  <c r="O232" i="14701" s="1"/>
  <c r="S208" i="14701" a="1"/>
  <c r="G214" i="14702"/>
  <c r="E87" i="14643"/>
  <c r="G79" i="14643" a="1"/>
  <c r="X131" i="14701" a="1"/>
  <c r="L142" i="14702"/>
  <c r="T121" i="14700"/>
  <c r="T117" i="14700"/>
  <c r="T120" i="14700"/>
  <c r="T119" i="14700"/>
  <c r="T118" i="14700"/>
  <c r="T122" i="14700"/>
  <c r="T123" i="14700"/>
  <c r="R82" i="14701"/>
  <c r="R81" i="14701"/>
  <c r="R80" i="14701"/>
  <c r="R84" i="14701"/>
  <c r="R83" i="14701"/>
  <c r="U229" i="14700"/>
  <c r="U231" i="14700"/>
  <c r="U226" i="14700"/>
  <c r="U224" i="14700"/>
  <c r="U225" i="14700"/>
  <c r="U230" i="14700"/>
  <c r="U227" i="14700"/>
  <c r="U228" i="14700"/>
  <c r="M178" i="14702"/>
  <c r="Y166" i="14701" a="1"/>
  <c r="G232" i="14702"/>
  <c r="S226" i="14701" a="1"/>
  <c r="N9" i="14670"/>
  <c r="Y85" i="14700"/>
  <c r="Y230" i="14700"/>
  <c r="Y226" i="14700"/>
  <c r="Y223" i="14700"/>
  <c r="Y227" i="14700"/>
  <c r="Y231" i="14700"/>
  <c r="Y224" i="14700"/>
  <c r="Y229" i="14700"/>
  <c r="Y221" i="14700"/>
  <c r="Y220" i="14700"/>
  <c r="Y228" i="14700"/>
  <c r="Y225" i="14700"/>
  <c r="Y222" i="14700"/>
  <c r="C124" i="14702"/>
  <c r="O122" i="14701"/>
  <c r="O124" i="14701" s="1"/>
  <c r="V226" i="14700"/>
  <c r="V230" i="14700"/>
  <c r="V227" i="14700"/>
  <c r="V228" i="14700"/>
  <c r="V225" i="14700"/>
  <c r="V231" i="14700"/>
  <c r="V223" i="14700"/>
  <c r="V224" i="14700"/>
  <c r="V229" i="14700"/>
  <c r="P211" i="14700"/>
  <c r="P212" i="14700"/>
  <c r="P213" i="14700"/>
  <c r="J97" i="14702" a="1"/>
  <c r="J97" i="14702" s="1"/>
  <c r="F101" i="14702" a="1"/>
  <c r="F101" i="14702" s="1"/>
  <c r="H99" i="14702" a="1"/>
  <c r="H99" i="14702" s="1"/>
  <c r="N93" i="14702" a="1"/>
  <c r="N93" i="14702" s="1"/>
  <c r="G100" i="14702" a="1"/>
  <c r="G100" i="14702" s="1"/>
  <c r="P91" i="14702" a="1"/>
  <c r="P91" i="14702" s="1"/>
  <c r="I98" i="14702" a="1"/>
  <c r="I98" i="14702" s="1"/>
  <c r="D103" i="14702" a="1"/>
  <c r="D103" i="14702" s="1"/>
  <c r="M94" i="14702" a="1"/>
  <c r="M94" i="14702" s="1"/>
  <c r="E102" i="14702" a="1"/>
  <c r="E102" i="14702" s="1"/>
  <c r="O92" i="14702" a="1"/>
  <c r="O92" i="14702" s="1"/>
  <c r="K96" i="14702" a="1"/>
  <c r="K96" i="14702" s="1"/>
  <c r="D40" i="14702"/>
  <c r="L95" i="14702" a="1"/>
  <c r="L95" i="14702" s="1"/>
  <c r="J142" i="14702"/>
  <c r="V133" i="14701" a="1"/>
  <c r="T85" i="14700"/>
  <c r="S248" i="14700"/>
  <c r="S246" i="14700"/>
  <c r="S249" i="14700"/>
  <c r="S244" i="14700"/>
  <c r="S245" i="14700"/>
  <c r="S247" i="14700"/>
  <c r="F196" i="14702"/>
  <c r="R191" i="14701" a="1"/>
  <c r="P82" i="14701"/>
  <c r="P84" i="14701"/>
  <c r="P83" i="14701"/>
  <c r="R138" i="14700"/>
  <c r="R141" i="14700"/>
  <c r="R137" i="14700"/>
  <c r="R139" i="14700"/>
  <c r="R140" i="14700"/>
  <c r="F104" i="14701"/>
  <c r="R99" i="14700" a="1"/>
  <c r="Y220" i="14701" a="1"/>
  <c r="M232" i="14702"/>
  <c r="Y238" i="14701" a="1"/>
  <c r="M250" i="14702"/>
  <c r="V152" i="14700"/>
  <c r="V159" i="14700"/>
  <c r="V151" i="14700"/>
  <c r="V154" i="14700"/>
  <c r="V158" i="14700"/>
  <c r="V155" i="14700"/>
  <c r="V156" i="14700"/>
  <c r="V153" i="14700"/>
  <c r="V157" i="14700"/>
  <c r="N36" i="14702"/>
  <c r="B87" i="14702"/>
  <c r="F42" i="14622"/>
  <c r="Y202" i="14701" a="1"/>
  <c r="M214" i="14702"/>
  <c r="W135" i="14700"/>
  <c r="W140" i="14700"/>
  <c r="W134" i="14700"/>
  <c r="W136" i="14700"/>
  <c r="W138" i="14700"/>
  <c r="W133" i="14700"/>
  <c r="W132" i="14700"/>
  <c r="W137" i="14700"/>
  <c r="W141" i="14700"/>
  <c r="W139" i="14700"/>
  <c r="D232" i="14702"/>
  <c r="P229" i="14701" a="1"/>
  <c r="W116" i="14700"/>
  <c r="W121" i="14700"/>
  <c r="W118" i="14700"/>
  <c r="W122" i="14700"/>
  <c r="W119" i="14700"/>
  <c r="W117" i="14700"/>
  <c r="W123" i="14700"/>
  <c r="W120" i="14700"/>
  <c r="W115" i="14700"/>
  <c r="W114" i="14700"/>
  <c r="T225" i="14700"/>
  <c r="T231" i="14700"/>
  <c r="T227" i="14700"/>
  <c r="T226" i="14700"/>
  <c r="T228" i="14700"/>
  <c r="T229" i="14700"/>
  <c r="T230" i="14700"/>
  <c r="T171" i="14701" a="1"/>
  <c r="H178" i="14702"/>
  <c r="Q156" i="14701" a="1"/>
  <c r="E160" i="14702"/>
  <c r="P247" i="14701" a="1"/>
  <c r="D250" i="14702"/>
  <c r="W94" i="14700" a="1"/>
  <c r="K104" i="14701"/>
  <c r="S244" i="14701" a="1"/>
  <c r="G250" i="14702"/>
  <c r="T249" i="14700"/>
  <c r="T246" i="14700"/>
  <c r="T247" i="14700"/>
  <c r="T245" i="14700"/>
  <c r="T243" i="14700"/>
  <c r="T244" i="14700"/>
  <c r="T248" i="14700"/>
  <c r="J124" i="14702"/>
  <c r="V115" i="14701" a="1"/>
  <c r="S136" i="14701" a="1"/>
  <c r="G142" i="14702"/>
  <c r="P195" i="14700"/>
  <c r="P194" i="14700"/>
  <c r="P193" i="14700"/>
  <c r="I250" i="14702"/>
  <c r="U242" i="14701" a="1"/>
  <c r="N195" i="14701"/>
  <c r="N196" i="14701" s="1"/>
  <c r="B196" i="14702"/>
  <c r="R157" i="14700"/>
  <c r="R159" i="14700"/>
  <c r="R155" i="14700"/>
  <c r="R158" i="14700"/>
  <c r="R156" i="14700"/>
  <c r="X185" i="14700"/>
  <c r="X187" i="14700"/>
  <c r="X186" i="14700"/>
  <c r="X191" i="14700"/>
  <c r="X194" i="14700"/>
  <c r="X193" i="14700"/>
  <c r="X190" i="14700"/>
  <c r="X189" i="14700"/>
  <c r="X192" i="14700"/>
  <c r="X188" i="14700"/>
  <c r="X195" i="14700"/>
  <c r="H40" i="14702"/>
  <c r="N97" i="14702" a="1"/>
  <c r="N97" i="14702" s="1"/>
  <c r="S92" i="14702" a="1"/>
  <c r="S92" i="14702" s="1"/>
  <c r="O96" i="14702" a="1"/>
  <c r="O96" i="14702" s="1"/>
  <c r="Q94" i="14702" a="1"/>
  <c r="Q94" i="14702" s="1"/>
  <c r="H103" i="14702" a="1"/>
  <c r="H103" i="14702" s="1"/>
  <c r="R93" i="14702" a="1"/>
  <c r="R93" i="14702" s="1"/>
  <c r="J101" i="14702" a="1"/>
  <c r="J101" i="14702" s="1"/>
  <c r="P95" i="14702" a="1"/>
  <c r="P95" i="14702" s="1"/>
  <c r="M98" i="14702" a="1"/>
  <c r="M98" i="14702" s="1"/>
  <c r="I102" i="14702" a="1"/>
  <c r="I102" i="14702" s="1"/>
  <c r="K100" i="14702" a="1"/>
  <c r="K100" i="14702" s="1"/>
  <c r="L99" i="14702" a="1"/>
  <c r="L99" i="14702" s="1"/>
  <c r="T91" i="14702" a="1"/>
  <c r="T91" i="14702" s="1"/>
  <c r="P97" i="14702" a="1"/>
  <c r="P97" i="14702" s="1"/>
  <c r="J103" i="14702" a="1"/>
  <c r="J103" i="14702" s="1"/>
  <c r="S94" i="14702" a="1"/>
  <c r="S94" i="14702" s="1"/>
  <c r="U92" i="14702" a="1"/>
  <c r="U92" i="14702" s="1"/>
  <c r="K102" i="14702" a="1"/>
  <c r="K102" i="14702" s="1"/>
  <c r="M100" i="14702" a="1"/>
  <c r="M100" i="14702" s="1"/>
  <c r="R95" i="14702" a="1"/>
  <c r="R95" i="14702" s="1"/>
  <c r="T93" i="14702" a="1"/>
  <c r="T93" i="14702" s="1"/>
  <c r="Q96" i="14702" a="1"/>
  <c r="Q96" i="14702" s="1"/>
  <c r="V91" i="14702" a="1"/>
  <c r="V91" i="14702" s="1"/>
  <c r="L101" i="14702" a="1"/>
  <c r="L101" i="14702" s="1"/>
  <c r="N99" i="14702" a="1"/>
  <c r="N99" i="14702" s="1"/>
  <c r="J40" i="14702"/>
  <c r="O98" i="14702" a="1"/>
  <c r="O98" i="14702" s="1"/>
  <c r="E250" i="14702"/>
  <c r="Q246" i="14701" a="1"/>
  <c r="E99" i="14643"/>
  <c r="E97" i="14643"/>
  <c r="E96" i="14643"/>
  <c r="E93" i="14643"/>
  <c r="E98" i="14643"/>
  <c r="E94" i="14643"/>
  <c r="E95" i="14643"/>
  <c r="E92" i="14643"/>
  <c r="T135" i="14701" a="1"/>
  <c r="H142" i="14702"/>
  <c r="P157" i="14700"/>
  <c r="P158" i="14700"/>
  <c r="P159" i="14700"/>
  <c r="R245" i="14701" a="1"/>
  <c r="F250" i="14702"/>
  <c r="W204" i="14701" a="1"/>
  <c r="K214" i="14702"/>
  <c r="Q156" i="14700"/>
  <c r="Q158" i="14700"/>
  <c r="Q157" i="14700"/>
  <c r="Q159" i="14700"/>
  <c r="N33" i="14702"/>
  <c r="U191" i="14700"/>
  <c r="U192" i="14700"/>
  <c r="U190" i="14700"/>
  <c r="U189" i="14700"/>
  <c r="U194" i="14700"/>
  <c r="U193" i="14700"/>
  <c r="U195" i="14700"/>
  <c r="U188" i="14700"/>
  <c r="S123" i="14700"/>
  <c r="S119" i="14700"/>
  <c r="S120" i="14700"/>
  <c r="S118" i="14700"/>
  <c r="S121" i="14700"/>
  <c r="S122" i="14700"/>
  <c r="I160" i="14702"/>
  <c r="U152" i="14701" a="1"/>
  <c r="V85" i="14700"/>
  <c r="N123" i="14701"/>
  <c r="N124" i="14701" s="1"/>
  <c r="B124" i="14702"/>
  <c r="P101" i="14700" a="1"/>
  <c r="D104" i="14701"/>
  <c r="N159" i="14701"/>
  <c r="N160" i="14701" s="1"/>
  <c r="B160" i="14702"/>
  <c r="D142" i="14702"/>
  <c r="P139" i="14701" a="1"/>
  <c r="V119" i="14700"/>
  <c r="V123" i="14700"/>
  <c r="V121" i="14700"/>
  <c r="V117" i="14700"/>
  <c r="V118" i="14700"/>
  <c r="V115" i="14700"/>
  <c r="V116" i="14700"/>
  <c r="V122" i="14700"/>
  <c r="V120" i="14700"/>
  <c r="V175" i="14700"/>
  <c r="V174" i="14700"/>
  <c r="V173" i="14700"/>
  <c r="V176" i="14700"/>
  <c r="V177" i="14700"/>
  <c r="V171" i="14700"/>
  <c r="V172" i="14700"/>
  <c r="V169" i="14700"/>
  <c r="V170" i="14700"/>
  <c r="C196" i="14702"/>
  <c r="O194" i="14701"/>
  <c r="O196" i="14701" s="1"/>
  <c r="S159" i="14700"/>
  <c r="S155" i="14700"/>
  <c r="S158" i="14700"/>
  <c r="S157" i="14700"/>
  <c r="S154" i="14700"/>
  <c r="S156" i="14700"/>
  <c r="Q176" i="14700"/>
  <c r="Q175" i="14700"/>
  <c r="Q177" i="14700"/>
  <c r="Q174" i="14700"/>
  <c r="C178" i="14702"/>
  <c r="O176" i="14701"/>
  <c r="O178" i="14701" s="1"/>
  <c r="G124" i="14702"/>
  <c r="S118" i="14701" a="1"/>
  <c r="K178" i="14702"/>
  <c r="W168" i="14701" a="1"/>
  <c r="H232" i="14702"/>
  <c r="T225" i="14701" a="1"/>
  <c r="I34" i="14683"/>
  <c r="I39" i="14683"/>
  <c r="I40" i="14683"/>
  <c r="I35" i="14683"/>
  <c r="I36" i="14683"/>
  <c r="I41" i="14683"/>
  <c r="I38" i="14683"/>
  <c r="I37" i="14683"/>
  <c r="P85" i="14700"/>
  <c r="R227" i="14700"/>
  <c r="R230" i="14700"/>
  <c r="R229" i="14700"/>
  <c r="R231" i="14700"/>
  <c r="R228" i="14700"/>
  <c r="W85" i="14700"/>
  <c r="S175" i="14700"/>
  <c r="S174" i="14700"/>
  <c r="S176" i="14700"/>
  <c r="S172" i="14700"/>
  <c r="S177" i="14700"/>
  <c r="S173" i="14700"/>
  <c r="L160" i="14702"/>
  <c r="X149" i="14701" a="1"/>
  <c r="R246" i="14700"/>
  <c r="R248" i="14700"/>
  <c r="R247" i="14700"/>
  <c r="R249" i="14700"/>
  <c r="R245" i="14700"/>
  <c r="N37" i="14702"/>
  <c r="R94" i="14702" a="1"/>
  <c r="R94" i="14702" s="1"/>
  <c r="I40" i="14702"/>
  <c r="Q95" i="14702" a="1"/>
  <c r="Q95" i="14702" s="1"/>
  <c r="I103" i="14702" a="1"/>
  <c r="I103" i="14702" s="1"/>
  <c r="U91" i="14702" a="1"/>
  <c r="U91" i="14702" s="1"/>
  <c r="P96" i="14702" a="1"/>
  <c r="P96" i="14702" s="1"/>
  <c r="J102" i="14702" a="1"/>
  <c r="J102" i="14702" s="1"/>
  <c r="T92" i="14702" a="1"/>
  <c r="T92" i="14702" s="1"/>
  <c r="L100" i="14702" a="1"/>
  <c r="L100" i="14702" s="1"/>
  <c r="N98" i="14702" a="1"/>
  <c r="N98" i="14702" s="1"/>
  <c r="K101" i="14702" a="1"/>
  <c r="K101" i="14702" s="1"/>
  <c r="O97" i="14702" a="1"/>
  <c r="O97" i="14702" s="1"/>
  <c r="S93" i="14702" a="1"/>
  <c r="S93" i="14702" s="1"/>
  <c r="M99" i="14702" a="1"/>
  <c r="M99" i="14702" s="1"/>
  <c r="N38" i="14702"/>
  <c r="T153" i="14701" a="1"/>
  <c r="H160" i="14702"/>
  <c r="R209" i="14701" a="1"/>
  <c r="F214" i="14702"/>
  <c r="Y130" i="14701" a="1"/>
  <c r="M142" i="14702"/>
  <c r="Q228" i="14701" a="1"/>
  <c r="E232" i="14702"/>
  <c r="V205" i="14701" a="1"/>
  <c r="J214" i="14702"/>
  <c r="Q194" i="14700"/>
  <c r="Q192" i="14700"/>
  <c r="Q193" i="14700"/>
  <c r="Q195" i="14700"/>
  <c r="I178" i="14702"/>
  <c r="U170" i="14701" a="1"/>
  <c r="B104" i="14701"/>
  <c r="N103" i="14700"/>
  <c r="N104" i="14700" s="1"/>
  <c r="H250" i="14702"/>
  <c r="T243" i="14701" a="1"/>
  <c r="C160" i="14702"/>
  <c r="O158" i="14701"/>
  <c r="O160" i="14701" s="1"/>
  <c r="U120" i="14700"/>
  <c r="U118" i="14700"/>
  <c r="U116" i="14700"/>
  <c r="U123" i="14700"/>
  <c r="U121" i="14700"/>
  <c r="U117" i="14700"/>
  <c r="U122" i="14700"/>
  <c r="U119" i="14700"/>
  <c r="E196" i="14702"/>
  <c r="Q192" i="14701" a="1"/>
  <c r="E178" i="14702"/>
  <c r="Q174" i="14701" a="1"/>
  <c r="W240" i="14701" a="1"/>
  <c r="K250" i="14702"/>
  <c r="W81" i="14701"/>
  <c r="W79" i="14701"/>
  <c r="W82" i="14701"/>
  <c r="W78" i="14701"/>
  <c r="W83" i="14701"/>
  <c r="W84" i="14701"/>
  <c r="W75" i="14701"/>
  <c r="W80" i="14701"/>
  <c r="W77" i="14701"/>
  <c r="W76" i="14701"/>
  <c r="I96" i="14702" a="1"/>
  <c r="I96" i="14702" s="1"/>
  <c r="K94" i="14702" a="1"/>
  <c r="K94" i="14702" s="1"/>
  <c r="F99" i="14702" a="1"/>
  <c r="F99" i="14702" s="1"/>
  <c r="J95" i="14702" a="1"/>
  <c r="J95" i="14702" s="1"/>
  <c r="E100" i="14702" a="1"/>
  <c r="E100" i="14702" s="1"/>
  <c r="C102" i="14702" a="1"/>
  <c r="C102" i="14702" s="1"/>
  <c r="D101" i="14702" a="1"/>
  <c r="D101" i="14702" s="1"/>
  <c r="G98" i="14702" a="1"/>
  <c r="G98" i="14702" s="1"/>
  <c r="N91" i="14702" a="1"/>
  <c r="N91" i="14702" s="1"/>
  <c r="B40" i="14702"/>
  <c r="M92" i="14702" a="1"/>
  <c r="M92" i="14702" s="1"/>
  <c r="B103" i="14702" a="1"/>
  <c r="B103" i="14702" s="1"/>
  <c r="N32" i="14702"/>
  <c r="H97" i="14702" a="1"/>
  <c r="H97" i="14702" s="1"/>
  <c r="L93" i="14702" a="1"/>
  <c r="L93" i="14702" s="1"/>
  <c r="Y188" i="14700"/>
  <c r="Y189" i="14700"/>
  <c r="Y187" i="14700"/>
  <c r="Y185" i="14700"/>
  <c r="Y192" i="14700"/>
  <c r="Y194" i="14700"/>
  <c r="Y184" i="14700"/>
  <c r="Y193" i="14700"/>
  <c r="Y195" i="14700"/>
  <c r="Y190" i="14700"/>
  <c r="Y186" i="14700"/>
  <c r="Y191" i="14700"/>
  <c r="P177" i="14700"/>
  <c r="P175" i="14700"/>
  <c r="P176" i="14700"/>
  <c r="R85" i="14700"/>
  <c r="T97" i="14700" a="1"/>
  <c r="H104" i="14701"/>
  <c r="U96" i="14700" a="1"/>
  <c r="I104" i="14701"/>
  <c r="R210" i="14700"/>
  <c r="R213" i="14700"/>
  <c r="R212" i="14700"/>
  <c r="R209" i="14700"/>
  <c r="R211" i="14700"/>
  <c r="T207" i="14701" a="1"/>
  <c r="H214" i="14702"/>
  <c r="L124" i="14702"/>
  <c r="X113" i="14701" a="1"/>
  <c r="Q229" i="14700"/>
  <c r="Q228" i="14700"/>
  <c r="Q231" i="14700"/>
  <c r="Q230" i="14700"/>
  <c r="X85" i="14700"/>
  <c r="L104" i="14701"/>
  <c r="X93" i="14700" a="1"/>
  <c r="S136" i="14700"/>
  <c r="S139" i="14700"/>
  <c r="S138" i="14700"/>
  <c r="S140" i="14700"/>
  <c r="S141" i="14700"/>
  <c r="S137" i="14700"/>
  <c r="M196" i="14702"/>
  <c r="Y184" i="14701" a="1"/>
  <c r="X77" i="14701"/>
  <c r="X75" i="14701"/>
  <c r="X82" i="14701"/>
  <c r="X78" i="14701"/>
  <c r="X79" i="14701"/>
  <c r="X84" i="14701"/>
  <c r="X81" i="14701"/>
  <c r="X80" i="14701"/>
  <c r="X76" i="14701"/>
  <c r="X83" i="14701"/>
  <c r="X74" i="14701"/>
  <c r="W242" i="14700"/>
  <c r="W245" i="14700"/>
  <c r="W249" i="14700"/>
  <c r="W247" i="14700"/>
  <c r="W243" i="14700"/>
  <c r="W248" i="14700"/>
  <c r="W241" i="14700"/>
  <c r="W246" i="14700"/>
  <c r="W244" i="14700"/>
  <c r="W240" i="14700"/>
  <c r="T210" i="14700"/>
  <c r="T209" i="14700"/>
  <c r="T208" i="14700"/>
  <c r="T207" i="14700"/>
  <c r="T213" i="14700"/>
  <c r="T211" i="14700"/>
  <c r="T212" i="14700"/>
  <c r="Y156" i="14700"/>
  <c r="Y153" i="14700"/>
  <c r="Y159" i="14700"/>
  <c r="Y149" i="14700"/>
  <c r="Y155" i="14700"/>
  <c r="Y148" i="14700"/>
  <c r="Y154" i="14700"/>
  <c r="Y151" i="14700"/>
  <c r="Y157" i="14700"/>
  <c r="Y152" i="14700"/>
  <c r="Y158" i="14700"/>
  <c r="Y150" i="14700"/>
  <c r="P93" i="14702" a="1"/>
  <c r="P93" i="14702" s="1"/>
  <c r="R91" i="14702" a="1"/>
  <c r="R91" i="14702" s="1"/>
  <c r="M96" i="14702" a="1"/>
  <c r="M96" i="14702" s="1"/>
  <c r="K98" i="14702" a="1"/>
  <c r="K98" i="14702" s="1"/>
  <c r="N95" i="14702" a="1"/>
  <c r="N95" i="14702" s="1"/>
  <c r="F103" i="14702" a="1"/>
  <c r="F103" i="14702" s="1"/>
  <c r="J99" i="14702" a="1"/>
  <c r="J99" i="14702" s="1"/>
  <c r="Q92" i="14702" a="1"/>
  <c r="Q92" i="14702" s="1"/>
  <c r="I100" i="14702" a="1"/>
  <c r="I100" i="14702" s="1"/>
  <c r="G102" i="14702" a="1"/>
  <c r="G102" i="14702" s="1"/>
  <c r="L97" i="14702" a="1"/>
  <c r="L97" i="14702" s="1"/>
  <c r="H101" i="14702" a="1"/>
  <c r="H101" i="14702" s="1"/>
  <c r="O94" i="14702" a="1"/>
  <c r="O94" i="14702" s="1"/>
  <c r="F40" i="14702"/>
  <c r="V248" i="14700"/>
  <c r="V249" i="14700"/>
  <c r="V245" i="14700"/>
  <c r="V243" i="14700"/>
  <c r="V247" i="14700"/>
  <c r="V244" i="14700"/>
  <c r="V246" i="14700"/>
  <c r="V242" i="14700"/>
  <c r="V241" i="14700"/>
  <c r="V151" i="14701" a="1"/>
  <c r="J160" i="14702"/>
  <c r="T156" i="14700"/>
  <c r="T153" i="14700"/>
  <c r="T154" i="14700"/>
  <c r="T159" i="14700"/>
  <c r="T155" i="14700"/>
  <c r="T158" i="14700"/>
  <c r="T157" i="14700"/>
  <c r="Y92" i="14700" a="1"/>
  <c r="M104" i="14701"/>
  <c r="G42" i="14683"/>
  <c r="H34" i="14683" s="1" a="1"/>
  <c r="H41" i="14683" s="1"/>
  <c r="G49" i="14683" a="1"/>
  <c r="F142" i="14702"/>
  <c r="R137" i="14701" a="1"/>
  <c r="L232" i="14702"/>
  <c r="X221" i="14701" a="1"/>
  <c r="W114" i="14701" a="1"/>
  <c r="K124" i="14702"/>
  <c r="P121" i="14700"/>
  <c r="P123" i="14700"/>
  <c r="P122" i="14700"/>
  <c r="S229" i="14700"/>
  <c r="S227" i="14700"/>
  <c r="S230" i="14700"/>
  <c r="S231" i="14700"/>
  <c r="S226" i="14700"/>
  <c r="S228" i="14700"/>
  <c r="W170" i="14700"/>
  <c r="W176" i="14700"/>
  <c r="W171" i="14700"/>
  <c r="W177" i="14700"/>
  <c r="W174" i="14700"/>
  <c r="W173" i="14700"/>
  <c r="W172" i="14700"/>
  <c r="W169" i="14700"/>
  <c r="W168" i="14700"/>
  <c r="W175" i="14700"/>
  <c r="X241" i="14700"/>
  <c r="X240" i="14700"/>
  <c r="X243" i="14700"/>
  <c r="X244" i="14700"/>
  <c r="X239" i="14700"/>
  <c r="X247" i="14700"/>
  <c r="X249" i="14700"/>
  <c r="X245" i="14700"/>
  <c r="X248" i="14700"/>
  <c r="X242" i="14700"/>
  <c r="X246" i="14700"/>
  <c r="G160" i="14702"/>
  <c r="S154" i="14701" a="1"/>
  <c r="T117" i="14701" a="1"/>
  <c r="H124" i="14702"/>
  <c r="P193" i="14701" a="1"/>
  <c r="D196" i="14702"/>
  <c r="T81" i="14701"/>
  <c r="T80" i="14701"/>
  <c r="T78" i="14701"/>
  <c r="T84" i="14701"/>
  <c r="T79" i="14701"/>
  <c r="T82" i="14701"/>
  <c r="T83" i="14701"/>
  <c r="R155" i="14701" a="1"/>
  <c r="F160" i="14702"/>
  <c r="V189" i="14700"/>
  <c r="V193" i="14700"/>
  <c r="V191" i="14700"/>
  <c r="V188" i="14700"/>
  <c r="V190" i="14700"/>
  <c r="V187" i="14700"/>
  <c r="V195" i="14700"/>
  <c r="V194" i="14700"/>
  <c r="V192" i="14700"/>
  <c r="Q81" i="14701"/>
  <c r="Q82" i="14701"/>
  <c r="Q84" i="14701"/>
  <c r="Q83" i="14701"/>
  <c r="Y139" i="14700"/>
  <c r="Y141" i="14700"/>
  <c r="Y137" i="14700"/>
  <c r="Y130" i="14700"/>
  <c r="Y132" i="14700"/>
  <c r="Y136" i="14700"/>
  <c r="Y135" i="14700"/>
  <c r="Y134" i="14700"/>
  <c r="Y131" i="14700"/>
  <c r="Y138" i="14700"/>
  <c r="Y140" i="14700"/>
  <c r="Y133" i="14700"/>
  <c r="Y112" i="14701" a="1"/>
  <c r="M124" i="14702"/>
  <c r="Y248" i="14700"/>
  <c r="Y239" i="14700"/>
  <c r="Y242" i="14700"/>
  <c r="Y241" i="14700"/>
  <c r="Y240" i="14700"/>
  <c r="Y249" i="14700"/>
  <c r="Y247" i="14700"/>
  <c r="Y245" i="14700"/>
  <c r="Y238" i="14700"/>
  <c r="Y246" i="14700"/>
  <c r="Y244" i="14700"/>
  <c r="Y243" i="14700"/>
  <c r="Q210" i="14701" a="1"/>
  <c r="E214" i="14702"/>
  <c r="U85" i="14700"/>
  <c r="J98" i="14702" a="1"/>
  <c r="J98" i="14702" s="1"/>
  <c r="E40" i="14702"/>
  <c r="H100" i="14702" a="1"/>
  <c r="H100" i="14702" s="1"/>
  <c r="G101" i="14702" a="1"/>
  <c r="G101" i="14702" s="1"/>
  <c r="K97" i="14702" a="1"/>
  <c r="K97" i="14702" s="1"/>
  <c r="I99" i="14702" a="1"/>
  <c r="I99" i="14702" s="1"/>
  <c r="Q91" i="14702" a="1"/>
  <c r="Q91" i="14702" s="1"/>
  <c r="L96" i="14702" a="1"/>
  <c r="L96" i="14702" s="1"/>
  <c r="E103" i="14702" a="1"/>
  <c r="E103" i="14702" s="1"/>
  <c r="O93" i="14702" a="1"/>
  <c r="O93" i="14702" s="1"/>
  <c r="F102" i="14702" a="1"/>
  <c r="F102" i="14702" s="1"/>
  <c r="M95" i="14702" a="1"/>
  <c r="M95" i="14702" s="1"/>
  <c r="N94" i="14702" a="1"/>
  <c r="N94" i="14702" s="1"/>
  <c r="P92" i="14702" a="1"/>
  <c r="P92" i="14702" s="1"/>
  <c r="W189" i="14700"/>
  <c r="W192" i="14700"/>
  <c r="W195" i="14700"/>
  <c r="W193" i="14700"/>
  <c r="W186" i="14700"/>
  <c r="W194" i="14700"/>
  <c r="W190" i="14700"/>
  <c r="W191" i="14700"/>
  <c r="W188" i="14700"/>
  <c r="W187" i="14700"/>
  <c r="B178" i="14702"/>
  <c r="N177" i="14701"/>
  <c r="N178" i="14701" s="1"/>
  <c r="N231" i="14701"/>
  <c r="N232" i="14701" s="1"/>
  <c r="B232" i="14702"/>
  <c r="V169" i="14701" a="1"/>
  <c r="J178" i="14702"/>
  <c r="G104" i="14701"/>
  <c r="S98" i="14700" a="1"/>
  <c r="C104" i="14701"/>
  <c r="O102" i="14700"/>
  <c r="O104" i="14700" s="1"/>
  <c r="U139" i="14700"/>
  <c r="U140" i="14700"/>
  <c r="U135" i="14700"/>
  <c r="U138" i="14700"/>
  <c r="U134" i="14700"/>
  <c r="U136" i="14700"/>
  <c r="U137" i="14700"/>
  <c r="U141" i="14700"/>
  <c r="X136" i="14700"/>
  <c r="X137" i="14700"/>
  <c r="X132" i="14700"/>
  <c r="X139" i="14700"/>
  <c r="X141" i="14700"/>
  <c r="X140" i="14700"/>
  <c r="X135" i="14700"/>
  <c r="X131" i="14700"/>
  <c r="X138" i="14700"/>
  <c r="X133" i="14700"/>
  <c r="X134" i="14700"/>
  <c r="W208" i="14700"/>
  <c r="W204" i="14700"/>
  <c r="W206" i="14700"/>
  <c r="W209" i="14700"/>
  <c r="W212" i="14700"/>
  <c r="W205" i="14700"/>
  <c r="W207" i="14700"/>
  <c r="W211" i="14700"/>
  <c r="W213" i="14700"/>
  <c r="W210" i="14700"/>
  <c r="R173" i="14701" a="1"/>
  <c r="F178" i="14702"/>
  <c r="M160" i="14702"/>
  <c r="Y148" i="14701" a="1"/>
  <c r="X152" i="14700"/>
  <c r="X155" i="14700"/>
  <c r="X153" i="14700"/>
  <c r="X159" i="14700"/>
  <c r="X156" i="14700"/>
  <c r="X158" i="14700"/>
  <c r="X151" i="14700"/>
  <c r="X149" i="14700"/>
  <c r="X150" i="14700"/>
  <c r="X157" i="14700"/>
  <c r="X154" i="14700"/>
  <c r="R174" i="14700"/>
  <c r="R176" i="14700"/>
  <c r="R175" i="14700"/>
  <c r="R177" i="14700"/>
  <c r="R173" i="14700"/>
  <c r="D40" i="14710" a="1"/>
  <c r="D20" i="14710" a="1"/>
  <c r="D5" i="14710" a="1"/>
  <c r="N36" i="14629"/>
  <c r="N53" i="14629"/>
  <c r="P214" i="14702"/>
  <c r="N54" i="14629"/>
  <c r="T100" i="14702"/>
  <c r="T97" i="14702"/>
  <c r="Q102" i="14702"/>
  <c r="U214" i="14702"/>
  <c r="R143" i="14704"/>
  <c r="J143" i="14704"/>
  <c r="Y143" i="14704"/>
  <c r="Q143" i="14704"/>
  <c r="N143" i="14704"/>
  <c r="M143" i="14704"/>
  <c r="T143" i="14704"/>
  <c r="U103" i="14702"/>
  <c r="U96" i="14702"/>
  <c r="U97" i="14702"/>
  <c r="W104" i="14698"/>
  <c r="F251" i="14704"/>
  <c r="W251" i="14704"/>
  <c r="D251" i="14704"/>
  <c r="J251" i="14704"/>
  <c r="Q251" i="14704"/>
  <c r="R251" i="14704"/>
  <c r="B251" i="14704"/>
  <c r="Y251" i="14704"/>
  <c r="Q142" i="14702"/>
  <c r="B51" i="14682"/>
  <c r="O55" i="14624"/>
  <c r="N46" i="14629"/>
  <c r="E60" i="14629"/>
  <c r="K60" i="14629"/>
  <c r="H60" i="14629"/>
  <c r="B60" i="14629"/>
  <c r="G60" i="14629"/>
  <c r="J60" i="14629"/>
  <c r="I60" i="14629"/>
  <c r="F60" i="14629"/>
  <c r="C60" i="14629"/>
  <c r="D60" i="14629"/>
  <c r="L60" i="14629"/>
  <c r="M60" i="14629"/>
  <c r="K55" i="14629"/>
  <c r="H55" i="14629"/>
  <c r="G55" i="14629"/>
  <c r="J55" i="14629"/>
  <c r="E55" i="14629"/>
  <c r="I55" i="14629"/>
  <c r="F55" i="14629"/>
  <c r="C55" i="14629"/>
  <c r="D55" i="14629"/>
  <c r="L55" i="14629"/>
  <c r="M55" i="14629"/>
  <c r="B55" i="14629"/>
  <c r="O34" i="14624"/>
  <c r="O36" i="14624"/>
  <c r="O38" i="14624"/>
  <c r="O40" i="14624"/>
  <c r="O42" i="14624"/>
  <c r="O44" i="14624"/>
  <c r="O46" i="14624"/>
  <c r="O48" i="14624"/>
  <c r="O50" i="14624"/>
  <c r="O52" i="14624"/>
  <c r="O54" i="14624"/>
  <c r="O35" i="14624"/>
  <c r="O39" i="14624"/>
  <c r="O43" i="14624"/>
  <c r="O47" i="14624"/>
  <c r="O51" i="14624"/>
  <c r="O33" i="14624"/>
  <c r="O37" i="14624"/>
  <c r="O41" i="14624"/>
  <c r="O45" i="14624"/>
  <c r="O49" i="14624"/>
  <c r="O53" i="14624"/>
  <c r="N50" i="14629"/>
  <c r="N37" i="14629"/>
  <c r="N41" i="14629"/>
  <c r="N38" i="14629"/>
  <c r="R7" i="14657" a="1"/>
  <c r="R7" i="14657" s="1"/>
  <c r="C31" i="14657" a="1"/>
  <c r="J9" i="14628"/>
  <c r="N45" i="14629"/>
  <c r="N40" i="14629"/>
  <c r="N33" i="14629"/>
  <c r="N34" i="14629"/>
  <c r="N43" i="14629"/>
  <c r="N35" i="14629"/>
  <c r="N47" i="14629"/>
  <c r="N39" i="14629"/>
  <c r="N42" i="14629"/>
  <c r="N48" i="14629"/>
  <c r="O48" i="14648"/>
  <c r="N44" i="14629"/>
  <c r="O6" i="14628"/>
  <c r="K40" i="14669"/>
  <c r="D40" i="14669"/>
  <c r="B40" i="14669"/>
  <c r="G40" i="14669"/>
  <c r="M40" i="14669"/>
  <c r="L40" i="14669"/>
  <c r="C40" i="14669"/>
  <c r="I40" i="14669"/>
  <c r="J40" i="14669"/>
  <c r="F27" i="14679"/>
  <c r="F28" i="14679" s="1"/>
  <c r="H40" i="14669"/>
  <c r="E40" i="14669"/>
  <c r="G11" i="14657"/>
  <c r="R28" i="14679"/>
  <c r="N15" i="14679"/>
  <c r="N35" i="14669"/>
  <c r="L12" i="14706"/>
  <c r="L16" i="14667"/>
  <c r="F23" i="4128" s="1"/>
  <c r="K27" i="14679"/>
  <c r="K28" i="14679" s="1"/>
  <c r="H27" i="14679"/>
  <c r="H28" i="14679" s="1"/>
  <c r="G27" i="14679"/>
  <c r="G28" i="14679" s="1"/>
  <c r="W22" i="14655"/>
  <c r="L14" i="14707"/>
  <c r="L20" i="14707" s="1"/>
  <c r="H21" i="14683"/>
  <c r="H27" i="14683"/>
  <c r="H24" i="14683"/>
  <c r="H25" i="14683"/>
  <c r="H19" i="14683"/>
  <c r="H23" i="14683"/>
  <c r="H20" i="14683"/>
  <c r="H26" i="14683"/>
  <c r="H22" i="14683"/>
  <c r="N36" i="14669"/>
  <c r="N33" i="14669"/>
  <c r="N39" i="14669"/>
  <c r="N32" i="14669"/>
  <c r="O41" i="14674"/>
  <c r="O42" i="14674" s="1"/>
  <c r="C42" i="14675" s="1"/>
  <c r="P28" i="14679"/>
  <c r="I27" i="14679"/>
  <c r="I28" i="14679" s="1"/>
  <c r="E27" i="14679"/>
  <c r="E28" i="14679" s="1"/>
  <c r="C27" i="14679"/>
  <c r="C28" i="14679" s="1"/>
  <c r="O39" i="14675"/>
  <c r="C41" i="14675" a="1"/>
  <c r="J7" i="14617"/>
  <c r="K5" i="14617" s="1" a="1"/>
  <c r="D87" i="14643"/>
  <c r="I27" i="14683"/>
  <c r="J19" i="14683" s="1" a="1"/>
  <c r="B27" i="14679"/>
  <c r="B28" i="14679" s="1"/>
  <c r="N7" i="14670"/>
  <c r="N34" i="14669"/>
  <c r="N37" i="14669"/>
  <c r="N38" i="14669"/>
  <c r="O28" i="14679"/>
  <c r="N28" i="14679"/>
  <c r="M27" i="14679"/>
  <c r="M28" i="14679" s="1"/>
  <c r="Q28" i="14679"/>
  <c r="L27" i="14679"/>
  <c r="L28" i="14679" s="1"/>
  <c r="J27" i="14679"/>
  <c r="J28" i="14679" s="1"/>
  <c r="D27" i="14679"/>
  <c r="D28" i="14679" s="1"/>
  <c r="O19" i="14675"/>
  <c r="F35" i="4128"/>
  <c r="K15" i="14617"/>
  <c r="L5" i="14617"/>
  <c r="C100" i="14643"/>
  <c r="N5" i="14671"/>
  <c r="M5" i="14617" s="1" a="1"/>
  <c r="B7" i="14671" a="1"/>
  <c r="O27" i="14624"/>
  <c r="N49" i="14629"/>
  <c r="B33" i="14636" s="1" a="1"/>
  <c r="N52" i="14629"/>
  <c r="N51" i="14629"/>
  <c r="L5" i="14628"/>
  <c r="L9" i="14628" s="1"/>
  <c r="N5" i="14628"/>
  <c r="N9" i="14628" s="1"/>
  <c r="F48" i="14623" a="1"/>
  <c r="F48" i="14623" s="1"/>
  <c r="K5" i="14628"/>
  <c r="K9" i="14628" s="1"/>
  <c r="M5" i="14628"/>
  <c r="M9" i="14628" s="1"/>
  <c r="F5" i="14628"/>
  <c r="F9" i="14628" s="1"/>
  <c r="E5" i="14628"/>
  <c r="E9" i="14628" s="1"/>
  <c r="I5" i="14628"/>
  <c r="I9" i="14628" s="1"/>
  <c r="G5" i="14628"/>
  <c r="G9" i="14628" s="1"/>
  <c r="C5" i="14628"/>
  <c r="C9" i="14628" s="1"/>
  <c r="H5" i="14628"/>
  <c r="H9" i="14628" s="1"/>
  <c r="D5" i="14628"/>
  <c r="D9" i="14628" s="1"/>
  <c r="Q54" i="14623" a="1"/>
  <c r="Q54" i="14623" s="1"/>
  <c r="D49" i="14623" a="1"/>
  <c r="D49" i="14623" s="1"/>
  <c r="L48" i="14623" a="1"/>
  <c r="L48" i="14623" s="1"/>
  <c r="J53" i="14623" a="1"/>
  <c r="J53" i="14623" s="1"/>
  <c r="L51" i="14623" a="1"/>
  <c r="L51" i="14623" s="1"/>
  <c r="M51" i="14623" a="1"/>
  <c r="M51" i="14623" s="1"/>
  <c r="C49" i="14623" a="1"/>
  <c r="C49" i="14623" s="1"/>
  <c r="N38" i="14623"/>
  <c r="M52" i="14623" a="1"/>
  <c r="M52" i="14623" s="1"/>
  <c r="O51" i="14623" a="1"/>
  <c r="O51" i="14623" s="1"/>
  <c r="K52" i="14623" a="1"/>
  <c r="K52" i="14623" s="1"/>
  <c r="D43" i="14623"/>
  <c r="N53" i="14623" a="1"/>
  <c r="N53" i="14623" s="1"/>
  <c r="P53" i="14623" a="1"/>
  <c r="P53" i="14623" s="1"/>
  <c r="K53" i="14623" a="1"/>
  <c r="K53" i="14623" s="1"/>
  <c r="K49" i="14623" a="1"/>
  <c r="K49" i="14623" s="1"/>
  <c r="O50" i="14623" a="1"/>
  <c r="O50" i="14623" s="1"/>
  <c r="E49" i="14623" a="1"/>
  <c r="E49" i="14623" s="1"/>
  <c r="E48" i="14623" a="1"/>
  <c r="E48" i="14623" s="1"/>
  <c r="K51" i="14623" a="1"/>
  <c r="K51" i="14623" s="1"/>
  <c r="F51" i="14623" a="1"/>
  <c r="F51" i="14623" s="1"/>
  <c r="E51" i="14623" a="1"/>
  <c r="E51" i="14623" s="1"/>
  <c r="K50" i="14623" a="1"/>
  <c r="K50" i="14623" s="1"/>
  <c r="F49" i="14623" a="1"/>
  <c r="F49" i="14623" s="1"/>
  <c r="N37" i="14623"/>
  <c r="R53" i="14623" a="1"/>
  <c r="R53" i="14623" s="1"/>
  <c r="L54" i="14623" a="1"/>
  <c r="L54" i="14623" s="1"/>
  <c r="L52" i="14623" a="1"/>
  <c r="L52" i="14623" s="1"/>
  <c r="I48" i="14623" a="1"/>
  <c r="I48" i="14623" s="1"/>
  <c r="M48" i="14623" a="1"/>
  <c r="M48" i="14623" s="1"/>
  <c r="G52" i="14623" a="1"/>
  <c r="G52" i="14623" s="1"/>
  <c r="N41" i="14623"/>
  <c r="O54" i="14623" a="1"/>
  <c r="O54" i="14623" s="1"/>
  <c r="K43" i="14623"/>
  <c r="L53" i="14623" a="1"/>
  <c r="L53" i="14623" s="1"/>
  <c r="O53" i="14623" a="1"/>
  <c r="O53" i="14623" s="1"/>
  <c r="N39" i="14623"/>
  <c r="N42" i="14623"/>
  <c r="D50" i="14623" a="1"/>
  <c r="D50" i="14623" s="1"/>
  <c r="N40" i="14623"/>
  <c r="G51" i="14623" a="1"/>
  <c r="G51" i="14623" s="1"/>
  <c r="J49" i="14623" a="1"/>
  <c r="J49" i="14623" s="1"/>
  <c r="O52" i="14623" a="1"/>
  <c r="O52" i="14623" s="1"/>
  <c r="H48" i="14623" a="1"/>
  <c r="H48" i="14623" s="1"/>
  <c r="I52" i="14623" a="1"/>
  <c r="I52" i="14623" s="1"/>
  <c r="S54" i="14623" a="1"/>
  <c r="S54" i="14623" s="1"/>
  <c r="S55" i="14623" s="1"/>
  <c r="K48" i="14623" a="1"/>
  <c r="K48" i="14623" s="1"/>
  <c r="G53" i="14623" a="1"/>
  <c r="G53" i="14623" s="1"/>
  <c r="L43" i="14623"/>
  <c r="I43" i="14623"/>
  <c r="F52" i="14623" a="1"/>
  <c r="F52" i="14623" s="1"/>
  <c r="H49" i="14623" a="1"/>
  <c r="H49" i="14623" s="1"/>
  <c r="H51" i="14623" a="1"/>
  <c r="H51" i="14623" s="1"/>
  <c r="Q53" i="14623" a="1"/>
  <c r="Q53" i="14623" s="1"/>
  <c r="N36" i="14623"/>
  <c r="I53" i="14623" a="1"/>
  <c r="I53" i="14623" s="1"/>
  <c r="M53" i="14623" a="1"/>
  <c r="M53" i="14623" s="1"/>
  <c r="I54" i="14623" a="1"/>
  <c r="I54" i="14623" s="1"/>
  <c r="J48" i="14623" a="1"/>
  <c r="J48" i="14623" s="1"/>
  <c r="N49" i="14623" a="1"/>
  <c r="N49" i="14623" s="1"/>
  <c r="F43" i="14623"/>
  <c r="P52" i="14623" a="1"/>
  <c r="P52" i="14623" s="1"/>
  <c r="N51" i="14623" a="1"/>
  <c r="N51" i="14623" s="1"/>
  <c r="L49" i="14623" a="1"/>
  <c r="L49" i="14623" s="1"/>
  <c r="F50" i="14623" a="1"/>
  <c r="F50" i="14623" s="1"/>
  <c r="J54" i="14623" a="1"/>
  <c r="J54" i="14623" s="1"/>
  <c r="H54" i="14623" a="1"/>
  <c r="H54" i="14623" s="1"/>
  <c r="B43" i="14623"/>
  <c r="J50" i="14623" a="1"/>
  <c r="J50" i="14623" s="1"/>
  <c r="H43" i="14623"/>
  <c r="C43" i="14623"/>
  <c r="H53" i="14623" a="1"/>
  <c r="H53" i="14623" s="1"/>
  <c r="G43" i="14623"/>
  <c r="M54" i="14623" a="1"/>
  <c r="M54" i="14623" s="1"/>
  <c r="K54" i="14623" a="1"/>
  <c r="K54" i="14623" s="1"/>
  <c r="G50" i="14623" a="1"/>
  <c r="G50" i="14623" s="1"/>
  <c r="J43" i="14623"/>
  <c r="P54" i="14623" a="1"/>
  <c r="P54" i="14623" s="1"/>
  <c r="Q52" i="14623" a="1"/>
  <c r="Q52" i="14623" s="1"/>
  <c r="P51" i="14623" a="1"/>
  <c r="P51" i="14623" s="1"/>
  <c r="H50" i="14623" a="1"/>
  <c r="H50" i="14623" s="1"/>
  <c r="G49" i="14623" a="1"/>
  <c r="G49" i="14623" s="1"/>
  <c r="R54" i="14623" a="1"/>
  <c r="R54" i="14623" s="1"/>
  <c r="D48" i="14623" a="1"/>
  <c r="D48" i="14623" s="1"/>
  <c r="N35" i="14623"/>
  <c r="N54" i="14623" a="1"/>
  <c r="N54" i="14623" s="1"/>
  <c r="C48" i="14623" a="1"/>
  <c r="C48" i="14623" s="1"/>
  <c r="G48" i="14623" a="1"/>
  <c r="G48" i="14623" s="1"/>
  <c r="I50" i="14623" a="1"/>
  <c r="I50" i="14623" s="1"/>
  <c r="L50" i="14623" a="1"/>
  <c r="L50" i="14623" s="1"/>
  <c r="J52" i="14623" a="1"/>
  <c r="J52" i="14623" s="1"/>
  <c r="M49" i="14623" a="1"/>
  <c r="M49" i="14623" s="1"/>
  <c r="N50" i="14623" a="1"/>
  <c r="N50" i="14623" s="1"/>
  <c r="M50" i="14623" a="1"/>
  <c r="M50" i="14623" s="1"/>
  <c r="H52" i="14623" a="1"/>
  <c r="H52" i="14623" s="1"/>
  <c r="B48" i="14623" a="1"/>
  <c r="B48" i="14623" s="1"/>
  <c r="B55" i="14623" s="1"/>
  <c r="I49" i="14623" a="1"/>
  <c r="I49" i="14623" s="1"/>
  <c r="E50" i="14623" a="1"/>
  <c r="E50" i="14623" s="1"/>
  <c r="J51" i="14623" a="1"/>
  <c r="J51" i="14623" s="1"/>
  <c r="E43" i="14623"/>
  <c r="N52" i="14623" a="1"/>
  <c r="N52" i="14623" s="1"/>
  <c r="M43" i="14623"/>
  <c r="I51" i="14623" a="1"/>
  <c r="I51" i="14623" s="1"/>
  <c r="O14" i="14625"/>
  <c r="E39" i="14622"/>
  <c r="C164" i="14701"/>
  <c r="F164" i="14701"/>
  <c r="W164" i="14701"/>
  <c r="G164" i="14701"/>
  <c r="S164" i="14701"/>
  <c r="I164" i="14701"/>
  <c r="Y164" i="14701"/>
  <c r="X164" i="14701"/>
  <c r="R164" i="14701"/>
  <c r="M164" i="14701"/>
  <c r="T164" i="14701"/>
  <c r="V164" i="14701"/>
  <c r="B164" i="14701"/>
  <c r="K164" i="14701"/>
  <c r="D164" i="14701"/>
  <c r="O164" i="14701"/>
  <c r="Q164" i="14701"/>
  <c r="P164" i="14701"/>
  <c r="N164" i="14701"/>
  <c r="L164" i="14701"/>
  <c r="U164" i="14701"/>
  <c r="H164" i="14701"/>
  <c r="E164" i="14701"/>
  <c r="J164" i="14701"/>
  <c r="I128" i="14701"/>
  <c r="C128" i="14701"/>
  <c r="L128" i="14701"/>
  <c r="F128" i="14701"/>
  <c r="H128" i="14701"/>
  <c r="G128" i="14701"/>
  <c r="E128" i="14701"/>
  <c r="U128" i="14701"/>
  <c r="Y128" i="14701"/>
  <c r="R128" i="14701"/>
  <c r="S128" i="14701"/>
  <c r="J128" i="14701"/>
  <c r="B128" i="14701"/>
  <c r="D128" i="14701"/>
  <c r="Q128" i="14701"/>
  <c r="P128" i="14701"/>
  <c r="X128" i="14701"/>
  <c r="O128" i="14701"/>
  <c r="M128" i="14701"/>
  <c r="V128" i="14701"/>
  <c r="N128" i="14701"/>
  <c r="K128" i="14701"/>
  <c r="W128" i="14701"/>
  <c r="T128" i="14701"/>
  <c r="M182" i="14701"/>
  <c r="L182" i="14701"/>
  <c r="D182" i="14701"/>
  <c r="G182" i="14701"/>
  <c r="Y182" i="14701"/>
  <c r="O182" i="14701"/>
  <c r="X182" i="14701"/>
  <c r="Q182" i="14701"/>
  <c r="E182" i="14701"/>
  <c r="J182" i="14701"/>
  <c r="K182" i="14701"/>
  <c r="U182" i="14701"/>
  <c r="P182" i="14701"/>
  <c r="T182" i="14701"/>
  <c r="V182" i="14701"/>
  <c r="N182" i="14701"/>
  <c r="C182" i="14701"/>
  <c r="W182" i="14701"/>
  <c r="I182" i="14701"/>
  <c r="F182" i="14701"/>
  <c r="H182" i="14701"/>
  <c r="S182" i="14701"/>
  <c r="R182" i="14701"/>
  <c r="B182" i="14701"/>
  <c r="C218" i="14701"/>
  <c r="K218" i="14701"/>
  <c r="L218" i="14701"/>
  <c r="D218" i="14701"/>
  <c r="X218" i="14701"/>
  <c r="O218" i="14701"/>
  <c r="H218" i="14701"/>
  <c r="R218" i="14701"/>
  <c r="B218" i="14701"/>
  <c r="P218" i="14701"/>
  <c r="T218" i="14701"/>
  <c r="J218" i="14701"/>
  <c r="I218" i="14701"/>
  <c r="Q218" i="14701"/>
  <c r="W218" i="14701"/>
  <c r="M218" i="14701"/>
  <c r="G218" i="14701"/>
  <c r="E218" i="14701"/>
  <c r="N218" i="14701"/>
  <c r="F218" i="14701"/>
  <c r="U218" i="14701"/>
  <c r="S218" i="14701"/>
  <c r="Y218" i="14701"/>
  <c r="V218" i="14701"/>
  <c r="C90" i="14702"/>
  <c r="I90" i="14702"/>
  <c r="E90" i="14702"/>
  <c r="M90" i="14702"/>
  <c r="X90" i="14702"/>
  <c r="S90" i="14702"/>
  <c r="U90" i="14702"/>
  <c r="Y90" i="14702"/>
  <c r="K90" i="14702"/>
  <c r="L90" i="14702"/>
  <c r="D90" i="14702"/>
  <c r="O90" i="14702"/>
  <c r="N90" i="14702"/>
  <c r="Q90" i="14702"/>
  <c r="B90" i="14702"/>
  <c r="G90" i="14702"/>
  <c r="R90" i="14702"/>
  <c r="W90" i="14702"/>
  <c r="P90" i="14702"/>
  <c r="T90" i="14702"/>
  <c r="J90" i="14702"/>
  <c r="F90" i="14702"/>
  <c r="H90" i="14702"/>
  <c r="V90" i="14702"/>
  <c r="F110" i="14702"/>
  <c r="G110" i="14702"/>
  <c r="M110" i="14702"/>
  <c r="K110" i="14702"/>
  <c r="C110" i="14702"/>
  <c r="R110" i="14702"/>
  <c r="V110" i="14702"/>
  <c r="U110" i="14702"/>
  <c r="P110" i="14702"/>
  <c r="W110" i="14702"/>
  <c r="J110" i="14702"/>
  <c r="E110" i="14702"/>
  <c r="D110" i="14702"/>
  <c r="H110" i="14702"/>
  <c r="I110" i="14702"/>
  <c r="X110" i="14702"/>
  <c r="Y110" i="14702"/>
  <c r="L110" i="14702"/>
  <c r="N110" i="14702"/>
  <c r="Q110" i="14702"/>
  <c r="B110" i="14702"/>
  <c r="S110" i="14702"/>
  <c r="O110" i="14702"/>
  <c r="T110" i="14702"/>
  <c r="I128" i="14702"/>
  <c r="F128" i="14702"/>
  <c r="E128" i="14702"/>
  <c r="G128" i="14702"/>
  <c r="C128" i="14702"/>
  <c r="S128" i="14702"/>
  <c r="T128" i="14702"/>
  <c r="Y128" i="14702"/>
  <c r="W128" i="14702"/>
  <c r="V128" i="14702"/>
  <c r="K128" i="14702"/>
  <c r="N128" i="14702"/>
  <c r="H128" i="14702"/>
  <c r="M128" i="14702"/>
  <c r="U128" i="14702"/>
  <c r="X128" i="14702"/>
  <c r="L128" i="14702"/>
  <c r="D128" i="14702"/>
  <c r="P128" i="14702"/>
  <c r="O128" i="14702"/>
  <c r="Q128" i="14702"/>
  <c r="B128" i="14702"/>
  <c r="R128" i="14702"/>
  <c r="J128" i="14702"/>
  <c r="G164" i="14702"/>
  <c r="M164" i="14702"/>
  <c r="I164" i="14702"/>
  <c r="W164" i="14702"/>
  <c r="P164" i="14702"/>
  <c r="V164" i="14702"/>
  <c r="X164" i="14702"/>
  <c r="F164" i="14702"/>
  <c r="L164" i="14702"/>
  <c r="O164" i="14702"/>
  <c r="C164" i="14702"/>
  <c r="S164" i="14702"/>
  <c r="T164" i="14702"/>
  <c r="N164" i="14702"/>
  <c r="B164" i="14702"/>
  <c r="K164" i="14702"/>
  <c r="R164" i="14702"/>
  <c r="J164" i="14702"/>
  <c r="D164" i="14702"/>
  <c r="Y164" i="14702"/>
  <c r="U164" i="14702"/>
  <c r="E164" i="14702"/>
  <c r="Q164" i="14702"/>
  <c r="H164" i="14702"/>
  <c r="J218" i="14702"/>
  <c r="I218" i="14702"/>
  <c r="C218" i="14702"/>
  <c r="G218" i="14702"/>
  <c r="X218" i="14702"/>
  <c r="S218" i="14702"/>
  <c r="Y218" i="14702"/>
  <c r="V218" i="14702"/>
  <c r="U218" i="14702"/>
  <c r="T218" i="14702"/>
  <c r="K218" i="14702"/>
  <c r="L218" i="14702"/>
  <c r="H218" i="14702"/>
  <c r="B218" i="14702"/>
  <c r="E218" i="14702"/>
  <c r="F218" i="14702"/>
  <c r="D218" i="14702"/>
  <c r="O218" i="14702"/>
  <c r="Q218" i="14702"/>
  <c r="P218" i="14702"/>
  <c r="W218" i="14702"/>
  <c r="M218" i="14702"/>
  <c r="R218" i="14702"/>
  <c r="N218" i="14702"/>
  <c r="B81" i="14665"/>
  <c r="F1" i="14675"/>
  <c r="F1" i="14677"/>
  <c r="E82" i="14687"/>
  <c r="K1" i="14702"/>
  <c r="I1" i="14671"/>
  <c r="C46" i="14645"/>
  <c r="A47" i="14695"/>
  <c r="M5" i="14707"/>
  <c r="E1" i="14679"/>
  <c r="A50" i="14694"/>
  <c r="M4" i="14617"/>
  <c r="I4" i="14683"/>
  <c r="E56" i="14653"/>
  <c r="E1" i="14673"/>
  <c r="C90" i="14643"/>
  <c r="E43" i="14681"/>
  <c r="E1" i="14669"/>
  <c r="D28" i="14669" s="1"/>
  <c r="I6" i="14652"/>
  <c r="A51" i="14692"/>
  <c r="E5" i="14690" a="1"/>
  <c r="G5" i="14707"/>
  <c r="F1" i="14634"/>
  <c r="E1" i="14629"/>
  <c r="E16" i="14681"/>
  <c r="A27" i="14692"/>
  <c r="E1" i="14632"/>
  <c r="K1" i="14698"/>
  <c r="E25" i="14687"/>
  <c r="F1" i="14633"/>
  <c r="A26" i="14694"/>
  <c r="E17" i="14653"/>
  <c r="C4" i="14683"/>
  <c r="C15" i="14645"/>
  <c r="E1" i="14630"/>
  <c r="D28" i="14630" s="1"/>
  <c r="I1" i="14631"/>
  <c r="D4" i="14617"/>
  <c r="B78" i="14665"/>
  <c r="C51" i="14643"/>
  <c r="A26" i="14695"/>
  <c r="C6" i="14652"/>
  <c r="B28" i="14686" a="1"/>
  <c r="B36" i="14686" a="1"/>
  <c r="B52" i="14686" a="1"/>
  <c r="C4" i="14684" a="1"/>
  <c r="B18" i="14686" a="1"/>
  <c r="D6" i="14643" a="1"/>
  <c r="B5" i="14693" a="1"/>
  <c r="K18" i="14657" a="1"/>
  <c r="C7" i="14657" a="1"/>
  <c r="C14" i="14649" a="1"/>
  <c r="C41" i="14665" a="1"/>
  <c r="B15" i="14682" a="1"/>
  <c r="T5" i="14655" a="1"/>
  <c r="D48" i="14690" a="1"/>
  <c r="B35" i="14622" a="1"/>
  <c r="B4" i="14682" a="1"/>
  <c r="C5" i="14696" a="1"/>
  <c r="B20" i="14682" a="1"/>
  <c r="B17" i="14665" a="1"/>
  <c r="B38" i="14649" a="1"/>
  <c r="C70" i="14689" a="1"/>
  <c r="C37" i="14665" a="1"/>
  <c r="B4" i="14689" a="1"/>
  <c r="B46" i="14686" a="1"/>
  <c r="C12" i="14684" a="1"/>
  <c r="B28" i="14682" a="1"/>
  <c r="B5" i="14686" a="1"/>
  <c r="K110" i="14704"/>
  <c r="E110" i="14704"/>
  <c r="M110" i="14704"/>
  <c r="U110" i="14704"/>
  <c r="O110" i="14704"/>
  <c r="S110" i="14704"/>
  <c r="N110" i="14704"/>
  <c r="P110" i="14704"/>
  <c r="Q110" i="14704"/>
  <c r="V110" i="14704"/>
  <c r="L110" i="14704"/>
  <c r="T110" i="14704"/>
  <c r="J110" i="14704"/>
  <c r="G110" i="14704"/>
  <c r="R110" i="14704"/>
  <c r="X110" i="14704"/>
  <c r="C110" i="14704"/>
  <c r="H110" i="14704"/>
  <c r="F110" i="14704"/>
  <c r="D110" i="14704"/>
  <c r="B110" i="14704"/>
  <c r="W110" i="14704"/>
  <c r="Y110" i="14704"/>
  <c r="I110" i="14704"/>
  <c r="M218" i="14704"/>
  <c r="I218" i="14704"/>
  <c r="E218" i="14704"/>
  <c r="K218" i="14704"/>
  <c r="O218" i="14704"/>
  <c r="N218" i="14704"/>
  <c r="Q218" i="14704"/>
  <c r="R218" i="14704"/>
  <c r="H218" i="14704"/>
  <c r="B218" i="14704"/>
  <c r="F218" i="14704"/>
  <c r="T218" i="14704"/>
  <c r="J218" i="14704"/>
  <c r="D218" i="14704"/>
  <c r="X218" i="14704"/>
  <c r="P218" i="14704"/>
  <c r="W218" i="14704"/>
  <c r="U218" i="14704"/>
  <c r="V218" i="14704"/>
  <c r="S218" i="14704"/>
  <c r="L218" i="14704"/>
  <c r="G218" i="14704"/>
  <c r="Y218" i="14704"/>
  <c r="C218" i="14704"/>
  <c r="K182" i="14704"/>
  <c r="C182" i="14704"/>
  <c r="I182" i="14704"/>
  <c r="M182" i="14704"/>
  <c r="G182" i="14704"/>
  <c r="W182" i="14704"/>
  <c r="O182" i="14704"/>
  <c r="X182" i="14704"/>
  <c r="S182" i="14704"/>
  <c r="H182" i="14704"/>
  <c r="B182" i="14704"/>
  <c r="L182" i="14704"/>
  <c r="T182" i="14704"/>
  <c r="Q182" i="14704"/>
  <c r="U182" i="14704"/>
  <c r="R182" i="14704"/>
  <c r="F182" i="14704"/>
  <c r="J182" i="14704"/>
  <c r="D182" i="14704"/>
  <c r="E182" i="14704"/>
  <c r="V182" i="14704"/>
  <c r="P182" i="14704"/>
  <c r="Y182" i="14704"/>
  <c r="N182" i="14704"/>
  <c r="G146" i="14704"/>
  <c r="E146" i="14704"/>
  <c r="M146" i="14704"/>
  <c r="X146" i="14704"/>
  <c r="W146" i="14704"/>
  <c r="U146" i="14704"/>
  <c r="Q146" i="14704"/>
  <c r="I146" i="14704"/>
  <c r="C146" i="14704"/>
  <c r="F146" i="14704"/>
  <c r="K146" i="14704"/>
  <c r="Y146" i="14704"/>
  <c r="O146" i="14704"/>
  <c r="P146" i="14704"/>
  <c r="R146" i="14704"/>
  <c r="H146" i="14704"/>
  <c r="B146" i="14704"/>
  <c r="T146" i="14704"/>
  <c r="N146" i="14704"/>
  <c r="S146" i="14704"/>
  <c r="V146" i="14704"/>
  <c r="L146" i="14704"/>
  <c r="J146" i="14704"/>
  <c r="D146" i="14704"/>
  <c r="S90" i="14698"/>
  <c r="C90" i="14698"/>
  <c r="I90" i="14698"/>
  <c r="E90" i="14698"/>
  <c r="G90" i="14698"/>
  <c r="W90" i="14698"/>
  <c r="J90" i="14698"/>
  <c r="Y90" i="14698"/>
  <c r="L90" i="14698"/>
  <c r="K90" i="14698"/>
  <c r="F90" i="14698"/>
  <c r="N90" i="14698"/>
  <c r="V90" i="14698"/>
  <c r="P90" i="14698"/>
  <c r="X90" i="14698"/>
  <c r="M90" i="14698"/>
  <c r="Q90" i="14698"/>
  <c r="D90" i="14698"/>
  <c r="H90" i="14698"/>
  <c r="O90" i="14698"/>
  <c r="R90" i="14698"/>
  <c r="U90" i="14698"/>
  <c r="B90" i="14698"/>
  <c r="T90" i="14698"/>
  <c r="G200" i="14698"/>
  <c r="K200" i="14698"/>
  <c r="M200" i="14698"/>
  <c r="C200" i="14698"/>
  <c r="I200" i="14698"/>
  <c r="S200" i="14698"/>
  <c r="Q200" i="14698"/>
  <c r="R200" i="14698"/>
  <c r="Y200" i="14698"/>
  <c r="B200" i="14698"/>
  <c r="J200" i="14698"/>
  <c r="O200" i="14698"/>
  <c r="F200" i="14698"/>
  <c r="L200" i="14698"/>
  <c r="H200" i="14698"/>
  <c r="N200" i="14698"/>
  <c r="P200" i="14698"/>
  <c r="T200" i="14698"/>
  <c r="E200" i="14698"/>
  <c r="U200" i="14698"/>
  <c r="V200" i="14698"/>
  <c r="X200" i="14698"/>
  <c r="W200" i="14698"/>
  <c r="D200" i="14698"/>
  <c r="S164" i="14698"/>
  <c r="D164" i="14698"/>
  <c r="I164" i="14698"/>
  <c r="K164" i="14698"/>
  <c r="G164" i="14698"/>
  <c r="C164" i="14698"/>
  <c r="Q164" i="14698"/>
  <c r="E164" i="14698"/>
  <c r="O164" i="14698"/>
  <c r="F164" i="14698"/>
  <c r="B164" i="14698"/>
  <c r="M164" i="14698"/>
  <c r="W164" i="14698"/>
  <c r="R164" i="14698"/>
  <c r="L164" i="14698"/>
  <c r="U164" i="14698"/>
  <c r="V164" i="14698"/>
  <c r="T164" i="14698"/>
  <c r="Y164" i="14698"/>
  <c r="N164" i="14698"/>
  <c r="J164" i="14698"/>
  <c r="H164" i="14698"/>
  <c r="P164" i="14698"/>
  <c r="X164" i="14698"/>
  <c r="J128" i="14698"/>
  <c r="K128" i="14698"/>
  <c r="C128" i="14698"/>
  <c r="M128" i="14698"/>
  <c r="W128" i="14698"/>
  <c r="Q128" i="14698"/>
  <c r="I128" i="14698"/>
  <c r="D128" i="14698"/>
  <c r="E128" i="14698"/>
  <c r="R128" i="14698"/>
  <c r="F128" i="14698"/>
  <c r="L128" i="14698"/>
  <c r="H128" i="14698"/>
  <c r="B128" i="14698"/>
  <c r="O128" i="14698"/>
  <c r="Y128" i="14698"/>
  <c r="U128" i="14698"/>
  <c r="N128" i="14698"/>
  <c r="V128" i="14698"/>
  <c r="P128" i="14698"/>
  <c r="T128" i="14698"/>
  <c r="X128" i="14698"/>
  <c r="G128" i="14698"/>
  <c r="S128" i="14698"/>
  <c r="O19" i="14632"/>
  <c r="Q19" i="14632"/>
  <c r="S19" i="14632"/>
  <c r="N19" i="14632"/>
  <c r="R19" i="14632"/>
  <c r="P19" i="14632"/>
  <c r="P90" i="14700"/>
  <c r="Q90" i="14700"/>
  <c r="O90" i="14700"/>
  <c r="G90" i="14700"/>
  <c r="X90" i="14700"/>
  <c r="F90" i="14700"/>
  <c r="L90" i="14700"/>
  <c r="H90" i="14700"/>
  <c r="B90" i="14700"/>
  <c r="M90" i="14700"/>
  <c r="K90" i="14700"/>
  <c r="I90" i="14700"/>
  <c r="D90" i="14700"/>
  <c r="S90" i="14700"/>
  <c r="R90" i="14700"/>
  <c r="W90" i="14700"/>
  <c r="N90" i="14700"/>
  <c r="C90" i="14700"/>
  <c r="Y90" i="14700"/>
  <c r="E90" i="14700"/>
  <c r="V90" i="14700"/>
  <c r="J90" i="14700"/>
  <c r="U90" i="14700"/>
  <c r="T90" i="14700"/>
  <c r="M110" i="14700"/>
  <c r="E110" i="14700"/>
  <c r="U110" i="14700"/>
  <c r="C110" i="14700"/>
  <c r="S110" i="14700"/>
  <c r="Q110" i="14700"/>
  <c r="W110" i="14700"/>
  <c r="V110" i="14700"/>
  <c r="O110" i="14700"/>
  <c r="R110" i="14700"/>
  <c r="J110" i="14700"/>
  <c r="H110" i="14700"/>
  <c r="B110" i="14700"/>
  <c r="K110" i="14700"/>
  <c r="Y110" i="14700"/>
  <c r="P110" i="14700"/>
  <c r="X110" i="14700"/>
  <c r="T110" i="14700"/>
  <c r="D110" i="14700"/>
  <c r="G110" i="14700"/>
  <c r="F110" i="14700"/>
  <c r="I110" i="14700"/>
  <c r="L110" i="14700"/>
  <c r="N110" i="14700"/>
  <c r="X200" i="14700"/>
  <c r="C200" i="14700"/>
  <c r="I200" i="14700"/>
  <c r="Y200" i="14700"/>
  <c r="P200" i="14700"/>
  <c r="O200" i="14700"/>
  <c r="J200" i="14700"/>
  <c r="F200" i="14700"/>
  <c r="L200" i="14700"/>
  <c r="M200" i="14700"/>
  <c r="E200" i="14700"/>
  <c r="U200" i="14700"/>
  <c r="G200" i="14700"/>
  <c r="S200" i="14700"/>
  <c r="Q200" i="14700"/>
  <c r="W200" i="14700"/>
  <c r="B200" i="14700"/>
  <c r="T200" i="14700"/>
  <c r="N200" i="14700"/>
  <c r="H200" i="14700"/>
  <c r="K200" i="14700"/>
  <c r="V200" i="14700"/>
  <c r="R200" i="14700"/>
  <c r="D200" i="14700"/>
  <c r="K164" i="14700"/>
  <c r="C164" i="14700"/>
  <c r="I164" i="14700"/>
  <c r="J164" i="14700"/>
  <c r="Y164" i="14700"/>
  <c r="P164" i="14700"/>
  <c r="X164" i="14700"/>
  <c r="G164" i="14700"/>
  <c r="F164" i="14700"/>
  <c r="E164" i="14700"/>
  <c r="W164" i="14700"/>
  <c r="R164" i="14700"/>
  <c r="V164" i="14700"/>
  <c r="D164" i="14700"/>
  <c r="U164" i="14700"/>
  <c r="L164" i="14700"/>
  <c r="S164" i="14700"/>
  <c r="Q164" i="14700"/>
  <c r="O164" i="14700"/>
  <c r="T164" i="14700"/>
  <c r="M164" i="14700"/>
  <c r="H164" i="14700"/>
  <c r="B164" i="14700"/>
  <c r="N164" i="14700"/>
  <c r="G18" i="14704"/>
  <c r="G44" i="14704"/>
  <c r="G57" i="14704"/>
  <c r="S19" i="14623"/>
  <c r="O19" i="14623"/>
  <c r="Q19" i="14623"/>
  <c r="R19" i="14623"/>
  <c r="P19" i="14623"/>
  <c r="N19" i="14623"/>
  <c r="R19" i="14678"/>
  <c r="O19" i="14678"/>
  <c r="P19" i="14678"/>
  <c r="Q19" i="14678"/>
  <c r="S19" i="14678"/>
  <c r="N19" i="14678"/>
  <c r="S200" i="14703"/>
  <c r="K200" i="14703"/>
  <c r="E200" i="14703"/>
  <c r="I200" i="14703"/>
  <c r="M200" i="14703"/>
  <c r="H200" i="14703"/>
  <c r="G200" i="14703"/>
  <c r="Y200" i="14703"/>
  <c r="Q200" i="14703"/>
  <c r="F200" i="14703"/>
  <c r="D200" i="14703"/>
  <c r="W200" i="14703"/>
  <c r="N200" i="14703"/>
  <c r="X200" i="14703"/>
  <c r="V200" i="14703"/>
  <c r="C200" i="14703"/>
  <c r="R200" i="14703"/>
  <c r="P200" i="14703"/>
  <c r="L200" i="14703"/>
  <c r="J200" i="14703"/>
  <c r="B200" i="14703"/>
  <c r="O200" i="14703"/>
  <c r="U200" i="14703"/>
  <c r="T200" i="14703"/>
  <c r="C164" i="14703"/>
  <c r="W164" i="14703"/>
  <c r="M164" i="14703"/>
  <c r="K164" i="14703"/>
  <c r="S164" i="14703"/>
  <c r="E164" i="14703"/>
  <c r="H164" i="14703"/>
  <c r="F164" i="14703"/>
  <c r="D164" i="14703"/>
  <c r="I164" i="14703"/>
  <c r="L164" i="14703"/>
  <c r="J164" i="14703"/>
  <c r="Q164" i="14703"/>
  <c r="B164" i="14703"/>
  <c r="N164" i="14703"/>
  <c r="O164" i="14703"/>
  <c r="R164" i="14703"/>
  <c r="X164" i="14703"/>
  <c r="T164" i="14703"/>
  <c r="P164" i="14703"/>
  <c r="U164" i="14703"/>
  <c r="V164" i="14703"/>
  <c r="Y164" i="14703"/>
  <c r="G164" i="14703"/>
  <c r="K236" i="14703"/>
  <c r="G236" i="14703"/>
  <c r="S236" i="14703"/>
  <c r="M236" i="14703"/>
  <c r="C236" i="14703"/>
  <c r="E236" i="14703"/>
  <c r="Q236" i="14703"/>
  <c r="F236" i="14703"/>
  <c r="D236" i="14703"/>
  <c r="B236" i="14703"/>
  <c r="I236" i="14703"/>
  <c r="W236" i="14703"/>
  <c r="U236" i="14703"/>
  <c r="X236" i="14703"/>
  <c r="T236" i="14703"/>
  <c r="P236" i="14703"/>
  <c r="Y236" i="14703"/>
  <c r="H236" i="14703"/>
  <c r="J236" i="14703"/>
  <c r="N236" i="14703"/>
  <c r="O236" i="14703"/>
  <c r="L236" i="14703"/>
  <c r="R236" i="14703"/>
  <c r="V236" i="14703"/>
  <c r="C110" i="14703"/>
  <c r="S110" i="14703"/>
  <c r="M110" i="14703"/>
  <c r="I110" i="14703"/>
  <c r="E110" i="14703"/>
  <c r="Y110" i="14703"/>
  <c r="L110" i="14703"/>
  <c r="G110" i="14703"/>
  <c r="J110" i="14703"/>
  <c r="Q110" i="14703"/>
  <c r="B110" i="14703"/>
  <c r="H110" i="14703"/>
  <c r="U110" i="14703"/>
  <c r="V110" i="14703"/>
  <c r="K110" i="14703"/>
  <c r="F110" i="14703"/>
  <c r="N110" i="14703"/>
  <c r="R110" i="14703"/>
  <c r="X110" i="14703"/>
  <c r="T110" i="14703"/>
  <c r="P110" i="14703"/>
  <c r="W110" i="14703"/>
  <c r="D110" i="14703"/>
  <c r="O110" i="14703"/>
  <c r="E41" i="14622"/>
  <c r="E40" i="14622"/>
  <c r="C110" i="14701"/>
  <c r="K110" i="14701"/>
  <c r="F110" i="14701"/>
  <c r="G110" i="14701"/>
  <c r="Q110" i="14701"/>
  <c r="W110" i="14701"/>
  <c r="P110" i="14701"/>
  <c r="B110" i="14701"/>
  <c r="E110" i="14701"/>
  <c r="M110" i="14701"/>
  <c r="L110" i="14701"/>
  <c r="U110" i="14701"/>
  <c r="H110" i="14701"/>
  <c r="R110" i="14701"/>
  <c r="J110" i="14701"/>
  <c r="T110" i="14701"/>
  <c r="N110" i="14701"/>
  <c r="I110" i="14701"/>
  <c r="Y110" i="14701"/>
  <c r="S110" i="14701"/>
  <c r="V110" i="14701"/>
  <c r="D110" i="14701"/>
  <c r="X110" i="14701"/>
  <c r="O110" i="14701"/>
  <c r="C146" i="14701"/>
  <c r="I146" i="14701"/>
  <c r="B146" i="14701"/>
  <c r="O146" i="14701"/>
  <c r="F146" i="14701"/>
  <c r="H146" i="14701"/>
  <c r="U146" i="14701"/>
  <c r="Y146" i="14701"/>
  <c r="Q146" i="14701"/>
  <c r="E146" i="14701"/>
  <c r="R146" i="14701"/>
  <c r="M146" i="14701"/>
  <c r="P146" i="14701"/>
  <c r="T146" i="14701"/>
  <c r="J146" i="14701"/>
  <c r="K146" i="14701"/>
  <c r="L146" i="14701"/>
  <c r="D146" i="14701"/>
  <c r="X146" i="14701"/>
  <c r="S146" i="14701"/>
  <c r="V146" i="14701"/>
  <c r="G146" i="14701"/>
  <c r="W146" i="14701"/>
  <c r="N146" i="14701"/>
  <c r="I90" i="14701"/>
  <c r="K90" i="14701"/>
  <c r="L90" i="14701"/>
  <c r="D90" i="14701"/>
  <c r="S90" i="14701"/>
  <c r="U90" i="14701"/>
  <c r="X90" i="14701"/>
  <c r="P90" i="14701"/>
  <c r="W90" i="14701"/>
  <c r="M90" i="14701"/>
  <c r="G90" i="14701"/>
  <c r="O90" i="14701"/>
  <c r="B90" i="14701"/>
  <c r="J90" i="14701"/>
  <c r="H90" i="14701"/>
  <c r="Q90" i="14701"/>
  <c r="N90" i="14701"/>
  <c r="C90" i="14701"/>
  <c r="Y90" i="14701"/>
  <c r="V90" i="14701"/>
  <c r="F90" i="14701"/>
  <c r="E90" i="14701"/>
  <c r="R90" i="14701"/>
  <c r="T90" i="14701"/>
  <c r="I236" i="14701"/>
  <c r="M236" i="14701"/>
  <c r="K236" i="14701"/>
  <c r="D236" i="14701"/>
  <c r="U236" i="14701"/>
  <c r="S236" i="14701"/>
  <c r="W236" i="14701"/>
  <c r="O236" i="14701"/>
  <c r="F236" i="14701"/>
  <c r="E236" i="14701"/>
  <c r="Y236" i="14701"/>
  <c r="X236" i="14701"/>
  <c r="H236" i="14701"/>
  <c r="B236" i="14701"/>
  <c r="J236" i="14701"/>
  <c r="L236" i="14701"/>
  <c r="G236" i="14701"/>
  <c r="Q236" i="14701"/>
  <c r="R236" i="14701"/>
  <c r="T236" i="14701"/>
  <c r="C236" i="14701"/>
  <c r="P236" i="14701"/>
  <c r="V236" i="14701"/>
  <c r="N236" i="14701"/>
  <c r="K200" i="14701"/>
  <c r="D200" i="14701"/>
  <c r="E200" i="14701"/>
  <c r="Y200" i="14701"/>
  <c r="P200" i="14701"/>
  <c r="Q200" i="14701"/>
  <c r="X200" i="14701"/>
  <c r="R200" i="14701"/>
  <c r="H200" i="14701"/>
  <c r="B200" i="14701"/>
  <c r="I200" i="14701"/>
  <c r="C200" i="14701"/>
  <c r="L200" i="14701"/>
  <c r="F200" i="14701"/>
  <c r="G200" i="14701"/>
  <c r="U200" i="14701"/>
  <c r="W200" i="14701"/>
  <c r="O200" i="14701"/>
  <c r="V200" i="14701"/>
  <c r="N200" i="14701"/>
  <c r="M200" i="14701"/>
  <c r="J200" i="14701"/>
  <c r="T200" i="14701"/>
  <c r="S200" i="14701"/>
  <c r="C146" i="14702"/>
  <c r="I146" i="14702"/>
  <c r="G146" i="14702"/>
  <c r="W146" i="14702"/>
  <c r="R146" i="14702"/>
  <c r="P146" i="14702"/>
  <c r="Y146" i="14702"/>
  <c r="T146" i="14702"/>
  <c r="X146" i="14702"/>
  <c r="S146" i="14702"/>
  <c r="J146" i="14702"/>
  <c r="E146" i="14702"/>
  <c r="D146" i="14702"/>
  <c r="O146" i="14702"/>
  <c r="H146" i="14702"/>
  <c r="B146" i="14702"/>
  <c r="M146" i="14702"/>
  <c r="V146" i="14702"/>
  <c r="K146" i="14702"/>
  <c r="Q146" i="14702"/>
  <c r="F146" i="14702"/>
  <c r="U146" i="14702"/>
  <c r="N146" i="14702"/>
  <c r="L146" i="14702"/>
  <c r="I200" i="14702"/>
  <c r="F200" i="14702"/>
  <c r="K200" i="14702"/>
  <c r="C200" i="14702"/>
  <c r="G200" i="14702"/>
  <c r="T200" i="14702"/>
  <c r="U200" i="14702"/>
  <c r="P200" i="14702"/>
  <c r="V200" i="14702"/>
  <c r="E200" i="14702"/>
  <c r="D200" i="14702"/>
  <c r="N200" i="14702"/>
  <c r="Q200" i="14702"/>
  <c r="H200" i="14702"/>
  <c r="B200" i="14702"/>
  <c r="R200" i="14702"/>
  <c r="W200" i="14702"/>
  <c r="S200" i="14702"/>
  <c r="J200" i="14702"/>
  <c r="M200" i="14702"/>
  <c r="L200" i="14702"/>
  <c r="Y200" i="14702"/>
  <c r="X200" i="14702"/>
  <c r="O200" i="14702"/>
  <c r="F182" i="14702"/>
  <c r="I182" i="14702"/>
  <c r="C182" i="14702"/>
  <c r="M182" i="14702"/>
  <c r="R182" i="14702"/>
  <c r="P182" i="14702"/>
  <c r="Y182" i="14702"/>
  <c r="S182" i="14702"/>
  <c r="J182" i="14702"/>
  <c r="B182" i="14702"/>
  <c r="L182" i="14702"/>
  <c r="D182" i="14702"/>
  <c r="N182" i="14702"/>
  <c r="Q182" i="14702"/>
  <c r="U182" i="14702"/>
  <c r="X182" i="14702"/>
  <c r="W182" i="14702"/>
  <c r="O182" i="14702"/>
  <c r="H182" i="14702"/>
  <c r="V182" i="14702"/>
  <c r="E182" i="14702"/>
  <c r="T182" i="14702"/>
  <c r="K182" i="14702"/>
  <c r="G182" i="14702"/>
  <c r="F236" i="14702"/>
  <c r="J236" i="14702"/>
  <c r="C236" i="14702"/>
  <c r="K236" i="14702"/>
  <c r="M236" i="14702"/>
  <c r="R236" i="14702"/>
  <c r="T236" i="14702"/>
  <c r="W236" i="14702"/>
  <c r="L236" i="14702"/>
  <c r="O236" i="14702"/>
  <c r="N236" i="14702"/>
  <c r="Q236" i="14702"/>
  <c r="G236" i="14702"/>
  <c r="P236" i="14702"/>
  <c r="Y236" i="14702"/>
  <c r="U236" i="14702"/>
  <c r="V236" i="14702"/>
  <c r="E236" i="14702"/>
  <c r="H236" i="14702"/>
  <c r="S236" i="14702"/>
  <c r="I236" i="14702"/>
  <c r="X236" i="14702"/>
  <c r="D236" i="14702"/>
  <c r="B236" i="14702"/>
  <c r="I5" i="14707"/>
  <c r="F1" i="14641"/>
  <c r="I1" i="14640"/>
  <c r="E44" i="14687"/>
  <c r="E30" i="14653"/>
  <c r="E6" i="14652"/>
  <c r="A34" i="14694"/>
  <c r="E4" i="14683"/>
  <c r="E1" i="14637"/>
  <c r="D28" i="14637" s="1"/>
  <c r="F1" i="14639"/>
  <c r="B79" i="14665"/>
  <c r="K1" i="14700"/>
  <c r="A33" i="14695"/>
  <c r="C64" i="14643"/>
  <c r="C25" i="14645"/>
  <c r="G4" i="14617"/>
  <c r="A35" i="14692"/>
  <c r="E1" i="14638"/>
  <c r="E25" i="14681"/>
  <c r="E1" i="14636"/>
  <c r="E43" i="14653"/>
  <c r="F1" i="14674"/>
  <c r="J4" i="14617"/>
  <c r="G4" i="14683"/>
  <c r="E1" i="14672"/>
  <c r="F1" i="14676"/>
  <c r="E63" i="14687"/>
  <c r="K1" i="14701"/>
  <c r="A42" i="14694"/>
  <c r="I1" i="14670"/>
  <c r="C35" i="14645"/>
  <c r="B80" i="14665"/>
  <c r="C77" i="14643"/>
  <c r="A43" i="14692"/>
  <c r="G6" i="14652"/>
  <c r="K5" i="14707"/>
  <c r="A40" i="14695"/>
  <c r="E34" i="14681"/>
  <c r="E1" i="14668"/>
  <c r="D28" i="14668" s="1"/>
  <c r="E1" i="14678"/>
  <c r="E164" i="14704"/>
  <c r="K164" i="14704"/>
  <c r="G164" i="14704"/>
  <c r="P164" i="14704"/>
  <c r="X164" i="14704"/>
  <c r="Y164" i="14704"/>
  <c r="S164" i="14704"/>
  <c r="T164" i="14704"/>
  <c r="D164" i="14704"/>
  <c r="M164" i="14704"/>
  <c r="N164" i="14704"/>
  <c r="Q164" i="14704"/>
  <c r="I164" i="14704"/>
  <c r="L164" i="14704"/>
  <c r="J164" i="14704"/>
  <c r="C164" i="14704"/>
  <c r="O164" i="14704"/>
  <c r="W164" i="14704"/>
  <c r="U164" i="14704"/>
  <c r="R164" i="14704"/>
  <c r="V164" i="14704"/>
  <c r="H164" i="14704"/>
  <c r="B164" i="14704"/>
  <c r="F164" i="14704"/>
  <c r="M236" i="14704"/>
  <c r="G236" i="14704"/>
  <c r="C236" i="14704"/>
  <c r="E236" i="14704"/>
  <c r="W236" i="14704"/>
  <c r="N236" i="14704"/>
  <c r="P236" i="14704"/>
  <c r="X236" i="14704"/>
  <c r="Y236" i="14704"/>
  <c r="S236" i="14704"/>
  <c r="O236" i="14704"/>
  <c r="V236" i="14704"/>
  <c r="H236" i="14704"/>
  <c r="B236" i="14704"/>
  <c r="Q236" i="14704"/>
  <c r="I236" i="14704"/>
  <c r="T236" i="14704"/>
  <c r="J236" i="14704"/>
  <c r="U236" i="14704"/>
  <c r="F236" i="14704"/>
  <c r="D236" i="14704"/>
  <c r="K236" i="14704"/>
  <c r="R236" i="14704"/>
  <c r="L236" i="14704"/>
  <c r="E200" i="14704"/>
  <c r="I200" i="14704"/>
  <c r="M200" i="14704"/>
  <c r="V200" i="14704"/>
  <c r="G200" i="14704"/>
  <c r="Y200" i="14704"/>
  <c r="P200" i="14704"/>
  <c r="Q200" i="14704"/>
  <c r="W200" i="14704"/>
  <c r="U200" i="14704"/>
  <c r="O200" i="14704"/>
  <c r="R200" i="14704"/>
  <c r="C200" i="14704"/>
  <c r="B200" i="14704"/>
  <c r="D200" i="14704"/>
  <c r="K200" i="14704"/>
  <c r="N200" i="14704"/>
  <c r="L200" i="14704"/>
  <c r="S200" i="14704"/>
  <c r="H200" i="14704"/>
  <c r="F200" i="14704"/>
  <c r="T200" i="14704"/>
  <c r="X200" i="14704"/>
  <c r="J200" i="14704"/>
  <c r="E90" i="14704"/>
  <c r="M90" i="14704"/>
  <c r="K90" i="14704"/>
  <c r="W90" i="14704"/>
  <c r="U90" i="14704"/>
  <c r="X90" i="14704"/>
  <c r="Y90" i="14704"/>
  <c r="N90" i="14704"/>
  <c r="P90" i="14704"/>
  <c r="R90" i="14704"/>
  <c r="I90" i="14704"/>
  <c r="C90" i="14704"/>
  <c r="S90" i="14704"/>
  <c r="B90" i="14704"/>
  <c r="L90" i="14704"/>
  <c r="F90" i="14704"/>
  <c r="J90" i="14704"/>
  <c r="D90" i="14704"/>
  <c r="G90" i="14704"/>
  <c r="V90" i="14704"/>
  <c r="H90" i="14704"/>
  <c r="O90" i="14704"/>
  <c r="Q90" i="14704"/>
  <c r="T90" i="14704"/>
  <c r="C128" i="14704"/>
  <c r="G128" i="14704"/>
  <c r="K128" i="14704"/>
  <c r="I128" i="14704"/>
  <c r="N128" i="14704"/>
  <c r="R128" i="14704"/>
  <c r="V128" i="14704"/>
  <c r="H128" i="14704"/>
  <c r="L128" i="14704"/>
  <c r="F128" i="14704"/>
  <c r="T128" i="14704"/>
  <c r="J128" i="14704"/>
  <c r="E128" i="14704"/>
  <c r="W128" i="14704"/>
  <c r="U128" i="14704"/>
  <c r="S128" i="14704"/>
  <c r="Y128" i="14704"/>
  <c r="O128" i="14704"/>
  <c r="Q128" i="14704"/>
  <c r="B128" i="14704"/>
  <c r="X128" i="14704"/>
  <c r="D128" i="14704"/>
  <c r="M128" i="14704"/>
  <c r="P128" i="14704"/>
  <c r="E146" i="14698"/>
  <c r="K146" i="14698"/>
  <c r="S146" i="14698"/>
  <c r="C146" i="14698"/>
  <c r="M146" i="14698"/>
  <c r="O146" i="14698"/>
  <c r="W146" i="14698"/>
  <c r="J146" i="14698"/>
  <c r="F146" i="14698"/>
  <c r="R146" i="14698"/>
  <c r="L146" i="14698"/>
  <c r="H146" i="14698"/>
  <c r="B146" i="14698"/>
  <c r="G146" i="14698"/>
  <c r="Q146" i="14698"/>
  <c r="D146" i="14698"/>
  <c r="Y146" i="14698"/>
  <c r="U146" i="14698"/>
  <c r="V146" i="14698"/>
  <c r="I146" i="14698"/>
  <c r="P146" i="14698"/>
  <c r="T146" i="14698"/>
  <c r="N146" i="14698"/>
  <c r="X146" i="14698"/>
  <c r="E218" i="14698"/>
  <c r="S218" i="14698"/>
  <c r="K218" i="14698"/>
  <c r="M218" i="14698"/>
  <c r="D218" i="14698"/>
  <c r="G218" i="14698"/>
  <c r="O218" i="14698"/>
  <c r="R218" i="14698"/>
  <c r="Y218" i="14698"/>
  <c r="U218" i="14698"/>
  <c r="I218" i="14698"/>
  <c r="J218" i="14698"/>
  <c r="H218" i="14698"/>
  <c r="B218" i="14698"/>
  <c r="N218" i="14698"/>
  <c r="P218" i="14698"/>
  <c r="T218" i="14698"/>
  <c r="X218" i="14698"/>
  <c r="F218" i="14698"/>
  <c r="C218" i="14698"/>
  <c r="Q218" i="14698"/>
  <c r="W218" i="14698"/>
  <c r="L218" i="14698"/>
  <c r="V218" i="14698"/>
  <c r="C182" i="14698"/>
  <c r="I182" i="14698"/>
  <c r="G182" i="14698"/>
  <c r="K182" i="14698"/>
  <c r="E182" i="14698"/>
  <c r="M182" i="14698"/>
  <c r="S182" i="14698"/>
  <c r="Q182" i="14698"/>
  <c r="W182" i="14698"/>
  <c r="O182" i="14698"/>
  <c r="H182" i="14698"/>
  <c r="U182" i="14698"/>
  <c r="B182" i="14698"/>
  <c r="J182" i="14698"/>
  <c r="N182" i="14698"/>
  <c r="V182" i="14698"/>
  <c r="X182" i="14698"/>
  <c r="D182" i="14698"/>
  <c r="Y182" i="14698"/>
  <c r="L182" i="14698"/>
  <c r="R182" i="14698"/>
  <c r="F182" i="14698"/>
  <c r="P182" i="14698"/>
  <c r="T182" i="14698"/>
  <c r="G236" i="14698"/>
  <c r="M236" i="14698"/>
  <c r="C236" i="14698"/>
  <c r="S236" i="14698"/>
  <c r="Q236" i="14698"/>
  <c r="I236" i="14698"/>
  <c r="D236" i="14698"/>
  <c r="F236" i="14698"/>
  <c r="Y236" i="14698"/>
  <c r="R236" i="14698"/>
  <c r="L236" i="14698"/>
  <c r="H236" i="14698"/>
  <c r="U236" i="14698"/>
  <c r="W236" i="14698"/>
  <c r="E236" i="14698"/>
  <c r="T236" i="14698"/>
  <c r="K236" i="14698"/>
  <c r="O236" i="14698"/>
  <c r="B236" i="14698"/>
  <c r="P236" i="14698"/>
  <c r="J236" i="14698"/>
  <c r="N236" i="14698"/>
  <c r="V236" i="14698"/>
  <c r="X236" i="14698"/>
  <c r="D110" i="14698"/>
  <c r="W110" i="14698"/>
  <c r="M110" i="14698"/>
  <c r="G110" i="14698"/>
  <c r="S110" i="14698"/>
  <c r="J110" i="14698"/>
  <c r="E110" i="14698"/>
  <c r="O110" i="14698"/>
  <c r="F110" i="14698"/>
  <c r="L110" i="14698"/>
  <c r="U110" i="14698"/>
  <c r="K110" i="14698"/>
  <c r="Q110" i="14698"/>
  <c r="I110" i="14698"/>
  <c r="B110" i="14698"/>
  <c r="P110" i="14698"/>
  <c r="R110" i="14698"/>
  <c r="H110" i="14698"/>
  <c r="N110" i="14698"/>
  <c r="V110" i="14698"/>
  <c r="T110" i="14698"/>
  <c r="X110" i="14698"/>
  <c r="C110" i="14698"/>
  <c r="Y110" i="14698"/>
  <c r="S19" i="14638"/>
  <c r="R19" i="14638"/>
  <c r="Q19" i="14638"/>
  <c r="P19" i="14638"/>
  <c r="O19" i="14638"/>
  <c r="N19" i="14638"/>
  <c r="M236" i="14700"/>
  <c r="E236" i="14700"/>
  <c r="C236" i="14700"/>
  <c r="J236" i="14700"/>
  <c r="R236" i="14700"/>
  <c r="Q236" i="14700"/>
  <c r="W236" i="14700"/>
  <c r="G236" i="14700"/>
  <c r="U236" i="14700"/>
  <c r="X236" i="14700"/>
  <c r="H236" i="14700"/>
  <c r="B236" i="14700"/>
  <c r="P236" i="14700"/>
  <c r="O236" i="14700"/>
  <c r="F236" i="14700"/>
  <c r="L236" i="14700"/>
  <c r="T236" i="14700"/>
  <c r="K236" i="14700"/>
  <c r="I236" i="14700"/>
  <c r="V236" i="14700"/>
  <c r="D236" i="14700"/>
  <c r="S236" i="14700"/>
  <c r="Y236" i="14700"/>
  <c r="N236" i="14700"/>
  <c r="G182" i="14700"/>
  <c r="D182" i="14700"/>
  <c r="S182" i="14700"/>
  <c r="W182" i="14700"/>
  <c r="L182" i="14700"/>
  <c r="B182" i="14700"/>
  <c r="E182" i="14700"/>
  <c r="K182" i="14700"/>
  <c r="P182" i="14700"/>
  <c r="X182" i="14700"/>
  <c r="V182" i="14700"/>
  <c r="O182" i="14700"/>
  <c r="Q182" i="14700"/>
  <c r="Y182" i="14700"/>
  <c r="M182" i="14700"/>
  <c r="U182" i="14700"/>
  <c r="I182" i="14700"/>
  <c r="H182" i="14700"/>
  <c r="N182" i="14700"/>
  <c r="C182" i="14700"/>
  <c r="J182" i="14700"/>
  <c r="R182" i="14700"/>
  <c r="F182" i="14700"/>
  <c r="T182" i="14700"/>
  <c r="M218" i="14700"/>
  <c r="E218" i="14700"/>
  <c r="U218" i="14700"/>
  <c r="K218" i="14700"/>
  <c r="C218" i="14700"/>
  <c r="I218" i="14700"/>
  <c r="S218" i="14700"/>
  <c r="X218" i="14700"/>
  <c r="W218" i="14700"/>
  <c r="V218" i="14700"/>
  <c r="R218" i="14700"/>
  <c r="Y218" i="14700"/>
  <c r="D218" i="14700"/>
  <c r="L218" i="14700"/>
  <c r="J218" i="14700"/>
  <c r="G218" i="14700"/>
  <c r="F218" i="14700"/>
  <c r="H218" i="14700"/>
  <c r="N218" i="14700"/>
  <c r="O218" i="14700"/>
  <c r="P218" i="14700"/>
  <c r="B218" i="14700"/>
  <c r="Q218" i="14700"/>
  <c r="T218" i="14700"/>
  <c r="M146" i="14700"/>
  <c r="E146" i="14700"/>
  <c r="K146" i="14700"/>
  <c r="G146" i="14700"/>
  <c r="J146" i="14700"/>
  <c r="D146" i="14700"/>
  <c r="P146" i="14700"/>
  <c r="R146" i="14700"/>
  <c r="O146" i="14700"/>
  <c r="V146" i="14700"/>
  <c r="Q146" i="14700"/>
  <c r="X146" i="14700"/>
  <c r="Y146" i="14700"/>
  <c r="U146" i="14700"/>
  <c r="F146" i="14700"/>
  <c r="L146" i="14700"/>
  <c r="C146" i="14700"/>
  <c r="I146" i="14700"/>
  <c r="H146" i="14700"/>
  <c r="B146" i="14700"/>
  <c r="W146" i="14700"/>
  <c r="T146" i="14700"/>
  <c r="N146" i="14700"/>
  <c r="S146" i="14700"/>
  <c r="M128" i="14700"/>
  <c r="K128" i="14700"/>
  <c r="I128" i="14700"/>
  <c r="S128" i="14700"/>
  <c r="O128" i="14700"/>
  <c r="V128" i="14700"/>
  <c r="Q128" i="14700"/>
  <c r="D128" i="14700"/>
  <c r="U128" i="14700"/>
  <c r="F128" i="14700"/>
  <c r="H128" i="14700"/>
  <c r="B128" i="14700"/>
  <c r="C128" i="14700"/>
  <c r="R128" i="14700"/>
  <c r="X128" i="14700"/>
  <c r="J128" i="14700"/>
  <c r="T128" i="14700"/>
  <c r="N128" i="14700"/>
  <c r="E128" i="14700"/>
  <c r="P128" i="14700"/>
  <c r="L128" i="14700"/>
  <c r="G128" i="14700"/>
  <c r="W128" i="14700"/>
  <c r="Y128" i="14700"/>
  <c r="L47" i="14679"/>
  <c r="O47" i="14679"/>
  <c r="P47" i="14679"/>
  <c r="N47" i="14679"/>
  <c r="F47" i="14679"/>
  <c r="D47" i="14679"/>
  <c r="K47" i="14679"/>
  <c r="R47" i="14679"/>
  <c r="I47" i="14679"/>
  <c r="S47" i="14679"/>
  <c r="J47" i="14679"/>
  <c r="H47" i="14679"/>
  <c r="B47" i="14679"/>
  <c r="C47" i="14679"/>
  <c r="G47" i="14679"/>
  <c r="Q47" i="14679"/>
  <c r="M47" i="14679"/>
  <c r="E47" i="14679"/>
  <c r="E218" i="14703"/>
  <c r="K218" i="14703"/>
  <c r="Y218" i="14703"/>
  <c r="L218" i="14703"/>
  <c r="C218" i="14703"/>
  <c r="S218" i="14703"/>
  <c r="W218" i="14703"/>
  <c r="H218" i="14703"/>
  <c r="G218" i="14703"/>
  <c r="F218" i="14703"/>
  <c r="I218" i="14703"/>
  <c r="J218" i="14703"/>
  <c r="D218" i="14703"/>
  <c r="B218" i="14703"/>
  <c r="N218" i="14703"/>
  <c r="O218" i="14703"/>
  <c r="U218" i="14703"/>
  <c r="R218" i="14703"/>
  <c r="V218" i="14703"/>
  <c r="Q218" i="14703"/>
  <c r="P218" i="14703"/>
  <c r="M218" i="14703"/>
  <c r="X218" i="14703"/>
  <c r="T218" i="14703"/>
  <c r="E182" i="14703"/>
  <c r="M182" i="14703"/>
  <c r="K182" i="14703"/>
  <c r="C182" i="14703"/>
  <c r="I182" i="14703"/>
  <c r="W182" i="14703"/>
  <c r="J182" i="14703"/>
  <c r="D182" i="14703"/>
  <c r="B182" i="14703"/>
  <c r="S182" i="14703"/>
  <c r="H182" i="14703"/>
  <c r="G182" i="14703"/>
  <c r="Q182" i="14703"/>
  <c r="F182" i="14703"/>
  <c r="O182" i="14703"/>
  <c r="R182" i="14703"/>
  <c r="X182" i="14703"/>
  <c r="Y182" i="14703"/>
  <c r="L182" i="14703"/>
  <c r="N182" i="14703"/>
  <c r="U182" i="14703"/>
  <c r="T182" i="14703"/>
  <c r="V182" i="14703"/>
  <c r="P182" i="14703"/>
  <c r="G128" i="14703"/>
  <c r="S128" i="14703"/>
  <c r="K128" i="14703"/>
  <c r="M128" i="14703"/>
  <c r="C128" i="14703"/>
  <c r="E128" i="14703"/>
  <c r="H128" i="14703"/>
  <c r="L128" i="14703"/>
  <c r="D128" i="14703"/>
  <c r="Y128" i="14703"/>
  <c r="W128" i="14703"/>
  <c r="J128" i="14703"/>
  <c r="Q128" i="14703"/>
  <c r="F128" i="14703"/>
  <c r="B128" i="14703"/>
  <c r="O128" i="14703"/>
  <c r="U128" i="14703"/>
  <c r="R128" i="14703"/>
  <c r="V128" i="14703"/>
  <c r="N128" i="14703"/>
  <c r="X128" i="14703"/>
  <c r="T128" i="14703"/>
  <c r="I128" i="14703"/>
  <c r="P128" i="14703"/>
  <c r="E90" i="14703"/>
  <c r="M90" i="14703"/>
  <c r="K90" i="14703"/>
  <c r="S90" i="14703"/>
  <c r="C90" i="14703"/>
  <c r="H90" i="14703"/>
  <c r="Y90" i="14703"/>
  <c r="J90" i="14703"/>
  <c r="Q90" i="14703"/>
  <c r="F90" i="14703"/>
  <c r="B90" i="14703"/>
  <c r="L90" i="14703"/>
  <c r="W90" i="14703"/>
  <c r="D90" i="14703"/>
  <c r="R90" i="14703"/>
  <c r="T90" i="14703"/>
  <c r="P90" i="14703"/>
  <c r="I90" i="14703"/>
  <c r="G90" i="14703"/>
  <c r="O90" i="14703"/>
  <c r="U90" i="14703"/>
  <c r="V90" i="14703"/>
  <c r="N90" i="14703"/>
  <c r="X90" i="14703"/>
  <c r="E146" i="14703"/>
  <c r="K146" i="14703"/>
  <c r="S146" i="14703"/>
  <c r="L146" i="14703"/>
  <c r="C146" i="14703"/>
  <c r="H146" i="14703"/>
  <c r="W146" i="14703"/>
  <c r="Y146" i="14703"/>
  <c r="G146" i="14703"/>
  <c r="J146" i="14703"/>
  <c r="M146" i="14703"/>
  <c r="N146" i="14703"/>
  <c r="U146" i="14703"/>
  <c r="X146" i="14703"/>
  <c r="T146" i="14703"/>
  <c r="P146" i="14703"/>
  <c r="I146" i="14703"/>
  <c r="D146" i="14703"/>
  <c r="B146" i="14703"/>
  <c r="O146" i="14703"/>
  <c r="Q146" i="14703"/>
  <c r="F146" i="14703"/>
  <c r="R146" i="14703"/>
  <c r="V146" i="14703"/>
  <c r="H74" i="14643" l="1"/>
  <c r="F20" i="14643" s="1"/>
  <c r="B33" i="14636"/>
  <c r="B34" i="14636"/>
  <c r="B35" i="14636"/>
  <c r="B36" i="14636"/>
  <c r="B37" i="14636"/>
  <c r="B38" i="14636"/>
  <c r="B39" i="14636"/>
  <c r="B40" i="14636"/>
  <c r="B41" i="14636"/>
  <c r="B42" i="14636"/>
  <c r="B43" i="14636"/>
  <c r="B44" i="14636"/>
  <c r="B45" i="14636"/>
  <c r="B46" i="14636"/>
  <c r="B47" i="14636"/>
  <c r="B48" i="14636"/>
  <c r="B49" i="14636"/>
  <c r="B50" i="14636"/>
  <c r="B51" i="14636"/>
  <c r="B52" i="14636"/>
  <c r="B53" i="14636"/>
  <c r="B54" i="14636"/>
  <c r="K40" i="14636"/>
  <c r="K47" i="14636"/>
  <c r="K54" i="14636"/>
  <c r="L37" i="14636"/>
  <c r="L44" i="14636"/>
  <c r="L52" i="14636"/>
  <c r="M34" i="14636"/>
  <c r="M46" i="14636"/>
  <c r="M54" i="14636"/>
  <c r="C33" i="14636"/>
  <c r="C34" i="14636"/>
  <c r="C35" i="14636"/>
  <c r="C36" i="14636"/>
  <c r="C37" i="14636"/>
  <c r="C38" i="14636"/>
  <c r="C39" i="14636"/>
  <c r="C40" i="14636"/>
  <c r="C41" i="14636"/>
  <c r="C42" i="14636"/>
  <c r="C43" i="14636"/>
  <c r="C44" i="14636"/>
  <c r="C45" i="14636"/>
  <c r="C46" i="14636"/>
  <c r="C47" i="14636"/>
  <c r="C48" i="14636"/>
  <c r="C49" i="14636"/>
  <c r="C50" i="14636"/>
  <c r="C51" i="14636"/>
  <c r="C52" i="14636"/>
  <c r="C53" i="14636"/>
  <c r="C54" i="14636"/>
  <c r="K41" i="14636"/>
  <c r="K46" i="14636"/>
  <c r="K53" i="14636"/>
  <c r="L36" i="14636"/>
  <c r="L45" i="14636"/>
  <c r="L53" i="14636"/>
  <c r="M35" i="14636"/>
  <c r="M41" i="14636"/>
  <c r="M49" i="14636"/>
  <c r="D33" i="14636"/>
  <c r="D34" i="14636"/>
  <c r="D35" i="14636"/>
  <c r="D36" i="14636"/>
  <c r="D37" i="14636"/>
  <c r="D38" i="14636"/>
  <c r="D39" i="14636"/>
  <c r="D40" i="14636"/>
  <c r="D41" i="14636"/>
  <c r="D42" i="14636"/>
  <c r="D43" i="14636"/>
  <c r="D44" i="14636"/>
  <c r="D45" i="14636"/>
  <c r="D46" i="14636"/>
  <c r="D47" i="14636"/>
  <c r="D48" i="14636"/>
  <c r="D49" i="14636"/>
  <c r="D50" i="14636"/>
  <c r="D51" i="14636"/>
  <c r="D52" i="14636"/>
  <c r="D53" i="14636"/>
  <c r="D54" i="14636"/>
  <c r="K39" i="14636"/>
  <c r="K44" i="14636"/>
  <c r="K52" i="14636"/>
  <c r="L34" i="14636"/>
  <c r="L42" i="14636"/>
  <c r="L51" i="14636"/>
  <c r="M36" i="14636"/>
  <c r="M44" i="14636"/>
  <c r="M53" i="14636"/>
  <c r="E33" i="14636"/>
  <c r="E34" i="14636"/>
  <c r="E35" i="14636"/>
  <c r="E36" i="14636"/>
  <c r="E37" i="14636"/>
  <c r="E38" i="14636"/>
  <c r="E39" i="14636"/>
  <c r="E40" i="14636"/>
  <c r="E41" i="14636"/>
  <c r="E42" i="14636"/>
  <c r="E43" i="14636"/>
  <c r="E44" i="14636"/>
  <c r="E45" i="14636"/>
  <c r="E46" i="14636"/>
  <c r="E47" i="14636"/>
  <c r="E48" i="14636"/>
  <c r="E49" i="14636"/>
  <c r="E50" i="14636"/>
  <c r="E51" i="14636"/>
  <c r="E52" i="14636"/>
  <c r="E53" i="14636"/>
  <c r="E54" i="14636"/>
  <c r="K36" i="14636"/>
  <c r="K48" i="14636"/>
  <c r="L40" i="14636"/>
  <c r="L48" i="14636"/>
  <c r="M38" i="14636"/>
  <c r="M48" i="14636"/>
  <c r="F33" i="14636"/>
  <c r="F34" i="14636"/>
  <c r="F35" i="14636"/>
  <c r="F36" i="14636"/>
  <c r="F37" i="14636"/>
  <c r="F38" i="14636"/>
  <c r="F39" i="14636"/>
  <c r="F40" i="14636"/>
  <c r="F41" i="14636"/>
  <c r="F42" i="14636"/>
  <c r="F43" i="14636"/>
  <c r="F44" i="14636"/>
  <c r="F45" i="14636"/>
  <c r="F46" i="14636"/>
  <c r="F47" i="14636"/>
  <c r="F48" i="14636"/>
  <c r="F49" i="14636"/>
  <c r="F50" i="14636"/>
  <c r="F51" i="14636"/>
  <c r="F52" i="14636"/>
  <c r="F53" i="14636"/>
  <c r="F54" i="14636"/>
  <c r="K37" i="14636"/>
  <c r="K43" i="14636"/>
  <c r="K51" i="14636"/>
  <c r="L35" i="14636"/>
  <c r="L46" i="14636"/>
  <c r="M39" i="14636"/>
  <c r="M43" i="14636"/>
  <c r="M50" i="14636"/>
  <c r="G33" i="14636"/>
  <c r="G34" i="14636"/>
  <c r="G35" i="14636"/>
  <c r="G36" i="14636"/>
  <c r="G37" i="14636"/>
  <c r="G38" i="14636"/>
  <c r="G39" i="14636"/>
  <c r="G40" i="14636"/>
  <c r="G41" i="14636"/>
  <c r="G42" i="14636"/>
  <c r="G43" i="14636"/>
  <c r="G44" i="14636"/>
  <c r="G45" i="14636"/>
  <c r="G46" i="14636"/>
  <c r="G47" i="14636"/>
  <c r="G48" i="14636"/>
  <c r="G49" i="14636"/>
  <c r="G50" i="14636"/>
  <c r="G51" i="14636"/>
  <c r="G52" i="14636"/>
  <c r="G53" i="14636"/>
  <c r="G54" i="14636"/>
  <c r="K38" i="14636"/>
  <c r="K50" i="14636"/>
  <c r="L38" i="14636"/>
  <c r="L43" i="14636"/>
  <c r="L49" i="14636"/>
  <c r="M33" i="14636"/>
  <c r="M42" i="14636"/>
  <c r="M52" i="14636"/>
  <c r="H33" i="14636"/>
  <c r="H34" i="14636"/>
  <c r="H35" i="14636"/>
  <c r="H36" i="14636"/>
  <c r="H37" i="14636"/>
  <c r="H38" i="14636"/>
  <c r="H39" i="14636"/>
  <c r="H40" i="14636"/>
  <c r="H41" i="14636"/>
  <c r="H42" i="14636"/>
  <c r="H43" i="14636"/>
  <c r="H44" i="14636"/>
  <c r="H45" i="14636"/>
  <c r="H46" i="14636"/>
  <c r="H47" i="14636"/>
  <c r="H48" i="14636"/>
  <c r="H49" i="14636"/>
  <c r="H50" i="14636"/>
  <c r="H51" i="14636"/>
  <c r="H52" i="14636"/>
  <c r="H53" i="14636"/>
  <c r="H54" i="14636"/>
  <c r="K35" i="14636"/>
  <c r="I33" i="14636"/>
  <c r="I34" i="14636"/>
  <c r="I35" i="14636"/>
  <c r="I36" i="14636"/>
  <c r="I37" i="14636"/>
  <c r="I38" i="14636"/>
  <c r="I39" i="14636"/>
  <c r="I40" i="14636"/>
  <c r="I41" i="14636"/>
  <c r="I42" i="14636"/>
  <c r="I43" i="14636"/>
  <c r="I44" i="14636"/>
  <c r="I45" i="14636"/>
  <c r="I46" i="14636"/>
  <c r="I47" i="14636"/>
  <c r="I48" i="14636"/>
  <c r="I49" i="14636"/>
  <c r="I50" i="14636"/>
  <c r="I51" i="14636"/>
  <c r="I52" i="14636"/>
  <c r="I53" i="14636"/>
  <c r="I54" i="14636"/>
  <c r="K34" i="14636"/>
  <c r="K45" i="14636"/>
  <c r="L39" i="14636"/>
  <c r="L47" i="14636"/>
  <c r="L54" i="14636"/>
  <c r="M37" i="14636"/>
  <c r="M47" i="14636"/>
  <c r="J33" i="14636"/>
  <c r="J34" i="14636"/>
  <c r="J35" i="14636"/>
  <c r="J36" i="14636"/>
  <c r="J37" i="14636"/>
  <c r="J38" i="14636"/>
  <c r="J39" i="14636"/>
  <c r="J40" i="14636"/>
  <c r="J41" i="14636"/>
  <c r="J42" i="14636"/>
  <c r="J43" i="14636"/>
  <c r="J44" i="14636"/>
  <c r="J45" i="14636"/>
  <c r="J46" i="14636"/>
  <c r="J47" i="14636"/>
  <c r="J48" i="14636"/>
  <c r="J49" i="14636"/>
  <c r="J50" i="14636"/>
  <c r="J51" i="14636"/>
  <c r="J52" i="14636"/>
  <c r="J53" i="14636"/>
  <c r="J54" i="14636"/>
  <c r="K33" i="14636"/>
  <c r="K42" i="14636"/>
  <c r="K49" i="14636"/>
  <c r="L33" i="14636"/>
  <c r="L41" i="14636"/>
  <c r="L50" i="14636"/>
  <c r="M40" i="14636"/>
  <c r="M45" i="14636"/>
  <c r="M51" i="14636"/>
  <c r="W214" i="14702"/>
  <c r="M251" i="14704"/>
  <c r="G251" i="14704"/>
  <c r="U99" i="14702"/>
  <c r="F143" i="14704"/>
  <c r="W143" i="14704"/>
  <c r="T99" i="14702"/>
  <c r="E251" i="14704"/>
  <c r="L251" i="14704"/>
  <c r="U102" i="14702"/>
  <c r="U143" i="14704"/>
  <c r="S143" i="14704"/>
  <c r="T98" i="14702"/>
  <c r="N251" i="14704"/>
  <c r="V251" i="14704"/>
  <c r="U101" i="14702"/>
  <c r="C143" i="14704"/>
  <c r="T102" i="14702"/>
  <c r="H251" i="14704"/>
  <c r="O251" i="14704"/>
  <c r="K143" i="14704"/>
  <c r="I143" i="14704"/>
  <c r="Q103" i="14702"/>
  <c r="I251" i="14704"/>
  <c r="D143" i="14704"/>
  <c r="H143" i="14704"/>
  <c r="Q100" i="14702"/>
  <c r="K251" i="14704"/>
  <c r="B143" i="14704"/>
  <c r="L143" i="14704"/>
  <c r="U251" i="14704"/>
  <c r="U100" i="14702"/>
  <c r="E143" i="14704"/>
  <c r="O143" i="14704"/>
  <c r="T103" i="14702"/>
  <c r="S251" i="14704"/>
  <c r="P143" i="14704"/>
  <c r="G143" i="14704"/>
  <c r="O233" i="14704"/>
  <c r="Y92" i="14702"/>
  <c r="T251" i="14704"/>
  <c r="C251" i="14704"/>
  <c r="V143" i="14704"/>
  <c r="P232" i="14702"/>
  <c r="H53" i="14645"/>
  <c r="H54" i="14645" s="1"/>
  <c r="O7" i="14676"/>
  <c r="S124" i="14702"/>
  <c r="V142" i="14702"/>
  <c r="P160" i="14702"/>
  <c r="L17" i="14667"/>
  <c r="F53" i="14645"/>
  <c r="F54" i="14645" s="1"/>
  <c r="C7" i="14677" a="1"/>
  <c r="E53" i="14645"/>
  <c r="E54" i="14645" s="1"/>
  <c r="L53" i="14645"/>
  <c r="L54" i="14645" s="1"/>
  <c r="R250" i="14702"/>
  <c r="K53" i="14645"/>
  <c r="K54" i="14645" s="1"/>
  <c r="S142" i="14702"/>
  <c r="Q196" i="14702"/>
  <c r="D53" i="14645"/>
  <c r="D54" i="14645" s="1"/>
  <c r="G53" i="14645"/>
  <c r="G54" i="14645" s="1"/>
  <c r="B53" i="14645"/>
  <c r="Y104" i="14698"/>
  <c r="J53" i="14645"/>
  <c r="J54" i="14645" s="1"/>
  <c r="I53" i="14645"/>
  <c r="I54" i="14645" s="1"/>
  <c r="L11" i="14706"/>
  <c r="Q104" i="14698"/>
  <c r="C53" i="14645"/>
  <c r="C54" i="14645" s="1"/>
  <c r="V214" i="14702"/>
  <c r="I72" i="14643"/>
  <c r="I66" i="14643"/>
  <c r="P178" i="14702"/>
  <c r="P250" i="14702"/>
  <c r="D11" i="14639"/>
  <c r="V124" i="14702"/>
  <c r="E57" i="14683"/>
  <c r="F49" i="14683" s="1" a="1"/>
  <c r="F54" i="14683" s="1"/>
  <c r="J11" i="14639"/>
  <c r="C11" i="14639"/>
  <c r="O11" i="14639"/>
  <c r="F11" i="14639"/>
  <c r="N11" i="14639"/>
  <c r="I11" i="14639"/>
  <c r="M11" i="14639"/>
  <c r="E11" i="14639"/>
  <c r="L11" i="14639"/>
  <c r="H11" i="14639"/>
  <c r="G11" i="14639"/>
  <c r="R196" i="14702"/>
  <c r="P124" i="14702"/>
  <c r="R178" i="14702"/>
  <c r="T232" i="14702"/>
  <c r="U104" i="14698"/>
  <c r="Q160" i="14702"/>
  <c r="T104" i="14698"/>
  <c r="S178" i="14702"/>
  <c r="P196" i="14702"/>
  <c r="X214" i="14702"/>
  <c r="T214" i="14702"/>
  <c r="S214" i="14702"/>
  <c r="C63" i="14648" a="1"/>
  <c r="C63" i="14648" s="1"/>
  <c r="P103" i="14702"/>
  <c r="I69" i="14643"/>
  <c r="P104" i="14698"/>
  <c r="L50" i="14704"/>
  <c r="C49" i="14704"/>
  <c r="F47" i="14704"/>
  <c r="I68" i="14643"/>
  <c r="I70" i="14643"/>
  <c r="K47" i="14704"/>
  <c r="I67" i="14643"/>
  <c r="T215" i="14704"/>
  <c r="F215" i="14704"/>
  <c r="B215" i="14704"/>
  <c r="I71" i="14643"/>
  <c r="X100" i="14702"/>
  <c r="X93" i="14702"/>
  <c r="X98" i="14702"/>
  <c r="W142" i="14702"/>
  <c r="F49" i="14704"/>
  <c r="B49" i="14704"/>
  <c r="P142" i="14702"/>
  <c r="X196" i="14702"/>
  <c r="Q214" i="14702"/>
  <c r="V178" i="14702"/>
  <c r="E47" i="14704"/>
  <c r="U215" i="14704"/>
  <c r="G47" i="14704"/>
  <c r="P215" i="14704"/>
  <c r="L47" i="14704"/>
  <c r="C215" i="14704"/>
  <c r="H47" i="14704"/>
  <c r="H215" i="14704"/>
  <c r="U250" i="14702"/>
  <c r="I47" i="14704"/>
  <c r="J215" i="14704"/>
  <c r="W124" i="14702"/>
  <c r="X104" i="14698"/>
  <c r="U142" i="14702"/>
  <c r="S215" i="14704"/>
  <c r="G215" i="14704"/>
  <c r="E215" i="14704"/>
  <c r="N215" i="14704"/>
  <c r="O215" i="14704"/>
  <c r="R215" i="14704"/>
  <c r="M47" i="14704"/>
  <c r="I215" i="14704"/>
  <c r="W215" i="14704"/>
  <c r="D47" i="14704"/>
  <c r="J47" i="14704"/>
  <c r="K215" i="14704"/>
  <c r="X215" i="14704"/>
  <c r="O125" i="14704"/>
  <c r="T125" i="14704"/>
  <c r="F125" i="14704"/>
  <c r="W125" i="14704"/>
  <c r="M125" i="14704"/>
  <c r="P125" i="14704"/>
  <c r="N125" i="14704"/>
  <c r="F51" i="14704"/>
  <c r="V104" i="14698"/>
  <c r="V233" i="14704"/>
  <c r="E125" i="14704"/>
  <c r="R214" i="14702"/>
  <c r="Y233" i="14704"/>
  <c r="B125" i="14704"/>
  <c r="S125" i="14704"/>
  <c r="Y125" i="14704"/>
  <c r="I125" i="14704"/>
  <c r="C51" i="14704"/>
  <c r="Y178" i="14702"/>
  <c r="C6" i="14676" a="1"/>
  <c r="C6" i="14676" s="1"/>
  <c r="Q124" i="14702"/>
  <c r="B46" i="14704"/>
  <c r="U178" i="14702"/>
  <c r="O6" i="14641"/>
  <c r="J46" i="14704"/>
  <c r="H46" i="14704"/>
  <c r="E46" i="14704"/>
  <c r="Q197" i="14704"/>
  <c r="X250" i="14702"/>
  <c r="X160" i="14702"/>
  <c r="T124" i="14702"/>
  <c r="S250" i="14702"/>
  <c r="F74" i="14643"/>
  <c r="Y160" i="14702"/>
  <c r="X124" i="14702"/>
  <c r="T178" i="14702"/>
  <c r="V196" i="14702"/>
  <c r="B47" i="14704"/>
  <c r="Y215" i="14704"/>
  <c r="M215" i="14704"/>
  <c r="K125" i="14704"/>
  <c r="D125" i="14704"/>
  <c r="L215" i="14704"/>
  <c r="V215" i="14704"/>
  <c r="G125" i="14704"/>
  <c r="D215" i="14704"/>
  <c r="U125" i="14704"/>
  <c r="X99" i="14702"/>
  <c r="D49" i="14704"/>
  <c r="R102" i="14702"/>
  <c r="E49" i="14704"/>
  <c r="R103" i="14702"/>
  <c r="X101" i="14702"/>
  <c r="M49" i="14704"/>
  <c r="R100" i="14702"/>
  <c r="X96" i="14702"/>
  <c r="I49" i="14704"/>
  <c r="H125" i="14704"/>
  <c r="V125" i="14704"/>
  <c r="R99" i="14702"/>
  <c r="X102" i="14702"/>
  <c r="G49" i="14704"/>
  <c r="R125" i="14704"/>
  <c r="C125" i="14704"/>
  <c r="X94" i="14702"/>
  <c r="L49" i="14704"/>
  <c r="X95" i="14702"/>
  <c r="K49" i="14704"/>
  <c r="X103" i="14702"/>
  <c r="J49" i="14704"/>
  <c r="X125" i="14704"/>
  <c r="Q125" i="14704"/>
  <c r="J125" i="14704"/>
  <c r="S232" i="14702"/>
  <c r="T196" i="14702"/>
  <c r="W178" i="14702"/>
  <c r="T250" i="14702"/>
  <c r="R124" i="14702"/>
  <c r="Q250" i="14702"/>
  <c r="V250" i="14702"/>
  <c r="J50" i="14704"/>
  <c r="P101" i="14702"/>
  <c r="P104" i="14702" s="1"/>
  <c r="G46" i="14704"/>
  <c r="E50" i="14704"/>
  <c r="I46" i="14704"/>
  <c r="M50" i="14704"/>
  <c r="H50" i="14704"/>
  <c r="M46" i="14704"/>
  <c r="I50" i="14704"/>
  <c r="F46" i="14704"/>
  <c r="F50" i="14704"/>
  <c r="C46" i="14704"/>
  <c r="G50" i="14704"/>
  <c r="D46" i="14704"/>
  <c r="B50" i="14704"/>
  <c r="L46" i="14704"/>
  <c r="K50" i="14704"/>
  <c r="C50" i="14704"/>
  <c r="R179" i="14704"/>
  <c r="C53" i="14704"/>
  <c r="B197" i="14704"/>
  <c r="R197" i="14704"/>
  <c r="T197" i="14704"/>
  <c r="J53" i="14704"/>
  <c r="U160" i="14702"/>
  <c r="W197" i="14704"/>
  <c r="Q178" i="14702"/>
  <c r="Y142" i="14702"/>
  <c r="D179" i="14704"/>
  <c r="W95" i="14702"/>
  <c r="Y179" i="14704"/>
  <c r="W103" i="14702"/>
  <c r="O179" i="14704"/>
  <c r="V179" i="14704"/>
  <c r="S103" i="14702"/>
  <c r="S99" i="14702"/>
  <c r="I179" i="14704"/>
  <c r="B51" i="14704"/>
  <c r="H66" i="14643" a="1"/>
  <c r="H67" i="14643" s="1"/>
  <c r="M51" i="14704"/>
  <c r="I51" i="14704"/>
  <c r="H52" i="14704"/>
  <c r="F233" i="14704"/>
  <c r="Y96" i="14702"/>
  <c r="D51" i="14704"/>
  <c r="R142" i="14702"/>
  <c r="I53" i="14704"/>
  <c r="S197" i="14704"/>
  <c r="H53" i="14704"/>
  <c r="D197" i="14704"/>
  <c r="V197" i="14704"/>
  <c r="L53" i="14704"/>
  <c r="L197" i="14704"/>
  <c r="P197" i="14704"/>
  <c r="M53" i="14704"/>
  <c r="X197" i="14704"/>
  <c r="J197" i="14704"/>
  <c r="G53" i="14704"/>
  <c r="U197" i="14704"/>
  <c r="F197" i="14704"/>
  <c r="E53" i="14704"/>
  <c r="I197" i="14704"/>
  <c r="N197" i="14704"/>
  <c r="B53" i="14698" a="1"/>
  <c r="C53" i="14698" s="1"/>
  <c r="U232" i="14702"/>
  <c r="S104" i="14698"/>
  <c r="K197" i="14704"/>
  <c r="C197" i="14704"/>
  <c r="D53" i="14704"/>
  <c r="F53" i="14704"/>
  <c r="O197" i="14704"/>
  <c r="E197" i="14704"/>
  <c r="K53" i="14704"/>
  <c r="M197" i="14704"/>
  <c r="Y197" i="14704"/>
  <c r="G197" i="14704"/>
  <c r="B215" i="14698" a="1"/>
  <c r="M215" i="14698" s="1"/>
  <c r="R232" i="14702"/>
  <c r="V160" i="14702"/>
  <c r="B46" i="14698" a="1"/>
  <c r="L46" i="14698" s="1"/>
  <c r="V96" i="14702"/>
  <c r="U161" i="14704"/>
  <c r="T142" i="14702"/>
  <c r="V97" i="14702"/>
  <c r="L179" i="14704"/>
  <c r="H179" i="14704"/>
  <c r="W96" i="14702"/>
  <c r="S101" i="14702"/>
  <c r="B143" i="14698" a="1"/>
  <c r="B143" i="14698" s="1"/>
  <c r="B50" i="14698" a="1"/>
  <c r="C50" i="14698" s="1"/>
  <c r="B51" i="14698" a="1"/>
  <c r="K51" i="14698" s="1"/>
  <c r="U179" i="14704"/>
  <c r="B179" i="14704"/>
  <c r="S100" i="14702"/>
  <c r="E179" i="14704"/>
  <c r="X179" i="14704"/>
  <c r="W97" i="14702"/>
  <c r="S102" i="14702"/>
  <c r="S179" i="14704"/>
  <c r="P179" i="14704"/>
  <c r="W94" i="14702"/>
  <c r="N179" i="14704"/>
  <c r="K179" i="14704"/>
  <c r="W102" i="14702"/>
  <c r="C179" i="14704"/>
  <c r="M179" i="14704"/>
  <c r="B125" i="14698" a="1"/>
  <c r="T125" i="14698" s="1"/>
  <c r="W100" i="14702"/>
  <c r="G179" i="14704"/>
  <c r="F179" i="14704"/>
  <c r="W99" i="14702"/>
  <c r="Q179" i="14704"/>
  <c r="J179" i="14704"/>
  <c r="W101" i="14702"/>
  <c r="W179" i="14704"/>
  <c r="B251" i="14698" a="1"/>
  <c r="M251" i="14698" s="1"/>
  <c r="B47" i="14698" a="1"/>
  <c r="H47" i="14698" s="1"/>
  <c r="W161" i="14704"/>
  <c r="B197" i="14698" a="1"/>
  <c r="Y197" i="14698" s="1"/>
  <c r="W250" i="14702"/>
  <c r="Q232" i="14702"/>
  <c r="X232" i="14702"/>
  <c r="U196" i="14702"/>
  <c r="Y214" i="14702"/>
  <c r="D52" i="14704"/>
  <c r="J52" i="14704"/>
  <c r="H34" i="14683"/>
  <c r="S160" i="14702"/>
  <c r="U124" i="14702"/>
  <c r="H38" i="14683"/>
  <c r="K233" i="14704"/>
  <c r="R160" i="14702"/>
  <c r="B52" i="14698" a="1"/>
  <c r="G52" i="14698" s="1"/>
  <c r="W160" i="14702"/>
  <c r="T160" i="14702"/>
  <c r="C233" i="14704"/>
  <c r="Y98" i="14702"/>
  <c r="B233" i="14704"/>
  <c r="Y100" i="14702"/>
  <c r="B233" i="14698" a="1"/>
  <c r="X233" i="14698" s="1"/>
  <c r="E233" i="14704"/>
  <c r="P233" i="14704"/>
  <c r="Y95" i="14702"/>
  <c r="L52" i="14704"/>
  <c r="V99" i="14702"/>
  <c r="G51" i="14704"/>
  <c r="G233" i="14704"/>
  <c r="R233" i="14704"/>
  <c r="Y97" i="14702"/>
  <c r="I52" i="14704"/>
  <c r="V100" i="14702"/>
  <c r="D48" i="14704"/>
  <c r="F48" i="14704"/>
  <c r="D233" i="14704"/>
  <c r="J233" i="14704"/>
  <c r="Y102" i="14702"/>
  <c r="K52" i="14704"/>
  <c r="M48" i="14704"/>
  <c r="L51" i="14704"/>
  <c r="C48" i="14704"/>
  <c r="L233" i="14704"/>
  <c r="S233" i="14704"/>
  <c r="Y93" i="14702"/>
  <c r="E52" i="14704"/>
  <c r="H48" i="14704"/>
  <c r="H233" i="14704"/>
  <c r="T233" i="14704"/>
  <c r="Y99" i="14702"/>
  <c r="B52" i="14704"/>
  <c r="V102" i="14702"/>
  <c r="J48" i="14704"/>
  <c r="W232" i="14702"/>
  <c r="X178" i="14702"/>
  <c r="S196" i="14702"/>
  <c r="W196" i="14702"/>
  <c r="X233" i="14704"/>
  <c r="I233" i="14704"/>
  <c r="Y101" i="14702"/>
  <c r="G52" i="14704"/>
  <c r="V98" i="14702"/>
  <c r="H51" i="14704"/>
  <c r="E48" i="14704"/>
  <c r="M233" i="14704"/>
  <c r="W233" i="14704"/>
  <c r="Y94" i="14702"/>
  <c r="F52" i="14704"/>
  <c r="V95" i="14702"/>
  <c r="J51" i="14704"/>
  <c r="L48" i="14704"/>
  <c r="B48" i="14704"/>
  <c r="Q233" i="14704"/>
  <c r="K51" i="14704"/>
  <c r="G48" i="14704"/>
  <c r="I48" i="14704"/>
  <c r="M52" i="14704"/>
  <c r="V103" i="14702"/>
  <c r="N233" i="14704"/>
  <c r="B106" i="14704"/>
  <c r="Y250" i="14702"/>
  <c r="V232" i="14702"/>
  <c r="R104" i="14698"/>
  <c r="Y232" i="14702"/>
  <c r="Y196" i="14702"/>
  <c r="B48" i="14698" a="1"/>
  <c r="M48" i="14698" s="1"/>
  <c r="B161" i="14704"/>
  <c r="N161" i="14704"/>
  <c r="C161" i="14704"/>
  <c r="Q161" i="14704"/>
  <c r="B49" i="14698" a="1"/>
  <c r="H49" i="14698" s="1"/>
  <c r="X142" i="14702"/>
  <c r="R161" i="14704"/>
  <c r="L161" i="14704"/>
  <c r="D161" i="14704"/>
  <c r="T161" i="14704"/>
  <c r="S161" i="14704"/>
  <c r="J161" i="14704"/>
  <c r="Y161" i="14704"/>
  <c r="B161" i="14698" a="1"/>
  <c r="X161" i="14698" s="1"/>
  <c r="O161" i="14704"/>
  <c r="V161" i="14704"/>
  <c r="I161" i="14704"/>
  <c r="P161" i="14704"/>
  <c r="M161" i="14704"/>
  <c r="X161" i="14704"/>
  <c r="G161" i="14704"/>
  <c r="F161" i="14704"/>
  <c r="H161" i="14704"/>
  <c r="K161" i="14704"/>
  <c r="B179" i="14698" a="1"/>
  <c r="R179" i="14698" s="1"/>
  <c r="Y124" i="14702"/>
  <c r="P251" i="14704"/>
  <c r="H42" i="14683"/>
  <c r="H35" i="14683"/>
  <c r="P160" i="14700"/>
  <c r="O104" i="14702"/>
  <c r="U160" i="14700"/>
  <c r="X250" i="14700"/>
  <c r="Y160" i="14700"/>
  <c r="N104" i="14702"/>
  <c r="W85" i="14701"/>
  <c r="I49" i="14683" a="1"/>
  <c r="I49" i="14683" s="1"/>
  <c r="V178" i="14700"/>
  <c r="T232" i="14700"/>
  <c r="P232" i="14700"/>
  <c r="Q85" i="14701"/>
  <c r="R232" i="14700"/>
  <c r="P214" i="14700"/>
  <c r="S250" i="14700"/>
  <c r="S178" i="14700"/>
  <c r="G92" i="14643" a="1"/>
  <c r="G96" i="14643" s="1"/>
  <c r="P124" i="14700"/>
  <c r="Q124" i="14700"/>
  <c r="O85" i="14701"/>
  <c r="H37" i="14683"/>
  <c r="Q211" i="14701"/>
  <c r="Q213" i="14701"/>
  <c r="Q210" i="14701"/>
  <c r="Q212" i="14701"/>
  <c r="X85" i="14701"/>
  <c r="Q232" i="14700"/>
  <c r="U103" i="14700"/>
  <c r="U99" i="14700"/>
  <c r="U101" i="14700"/>
  <c r="U96" i="14700"/>
  <c r="U100" i="14700"/>
  <c r="U102" i="14700"/>
  <c r="U97" i="14700"/>
  <c r="U98" i="14700"/>
  <c r="Y196" i="14700"/>
  <c r="N40" i="14702"/>
  <c r="Q192" i="14701"/>
  <c r="Q194" i="14701"/>
  <c r="Q193" i="14701"/>
  <c r="Q195" i="14701"/>
  <c r="T247" i="14701"/>
  <c r="T249" i="14701"/>
  <c r="T245" i="14701"/>
  <c r="T244" i="14701"/>
  <c r="T248" i="14701"/>
  <c r="T246" i="14701"/>
  <c r="T243" i="14701"/>
  <c r="R250" i="14700"/>
  <c r="Q178" i="14700"/>
  <c r="V124" i="14700"/>
  <c r="B55" i="14702"/>
  <c r="R160" i="14700"/>
  <c r="V117" i="14701"/>
  <c r="V121" i="14701"/>
  <c r="V120" i="14701"/>
  <c r="V122" i="14701"/>
  <c r="V116" i="14701"/>
  <c r="V115" i="14701"/>
  <c r="V123" i="14701"/>
  <c r="V118" i="14701"/>
  <c r="V119" i="14701"/>
  <c r="W100" i="14700"/>
  <c r="W102" i="14700"/>
  <c r="W103" i="14700"/>
  <c r="W96" i="14700"/>
  <c r="W98" i="14700"/>
  <c r="W99" i="14700"/>
  <c r="W97" i="14700"/>
  <c r="W94" i="14700"/>
  <c r="W101" i="14700"/>
  <c r="W95" i="14700"/>
  <c r="P229" i="14701"/>
  <c r="P231" i="14701"/>
  <c r="P230" i="14701"/>
  <c r="V160" i="14700"/>
  <c r="Y177" i="14701"/>
  <c r="Y167" i="14701"/>
  <c r="Y172" i="14701"/>
  <c r="Y168" i="14701"/>
  <c r="Y173" i="14701"/>
  <c r="Y166" i="14701"/>
  <c r="Y176" i="14701"/>
  <c r="Y174" i="14701"/>
  <c r="Y170" i="14701"/>
  <c r="Y169" i="14701"/>
  <c r="Y175" i="14701"/>
  <c r="Y171" i="14701"/>
  <c r="R85" i="14701"/>
  <c r="G79" i="14643"/>
  <c r="G86" i="14643"/>
  <c r="G83" i="14643"/>
  <c r="G84" i="14643"/>
  <c r="G80" i="14643"/>
  <c r="G85" i="14643"/>
  <c r="G81" i="14643"/>
  <c r="G82" i="14643"/>
  <c r="T142" i="14700"/>
  <c r="Y124" i="14700"/>
  <c r="W232" i="14700"/>
  <c r="N9" i="14671"/>
  <c r="V246" i="14701"/>
  <c r="V243" i="14701"/>
  <c r="V247" i="14701"/>
  <c r="V245" i="14701"/>
  <c r="V242" i="14701"/>
  <c r="V248" i="14701"/>
  <c r="V249" i="14701"/>
  <c r="V241" i="14701"/>
  <c r="V244" i="14701"/>
  <c r="S103" i="14700"/>
  <c r="S101" i="14700"/>
  <c r="S102" i="14700"/>
  <c r="S98" i="14700"/>
  <c r="S99" i="14700"/>
  <c r="S100" i="14700"/>
  <c r="Y114" i="14701"/>
  <c r="Y122" i="14701"/>
  <c r="Y117" i="14701"/>
  <c r="Y119" i="14701"/>
  <c r="Y121" i="14701"/>
  <c r="Y116" i="14701"/>
  <c r="Y115" i="14701"/>
  <c r="Y120" i="14701"/>
  <c r="Y113" i="14701"/>
  <c r="Y118" i="14701"/>
  <c r="Y112" i="14701"/>
  <c r="Y123" i="14701"/>
  <c r="P193" i="14701"/>
  <c r="P195" i="14701"/>
  <c r="P194" i="14701"/>
  <c r="W115" i="14701"/>
  <c r="W114" i="14701"/>
  <c r="W119" i="14701"/>
  <c r="W122" i="14701"/>
  <c r="W118" i="14701"/>
  <c r="W120" i="14701"/>
  <c r="W117" i="14701"/>
  <c r="W123" i="14701"/>
  <c r="W121" i="14701"/>
  <c r="W116" i="14701"/>
  <c r="W250" i="14700"/>
  <c r="X120" i="14701"/>
  <c r="X123" i="14701"/>
  <c r="X117" i="14701"/>
  <c r="X119" i="14701"/>
  <c r="X118" i="14701"/>
  <c r="X121" i="14701"/>
  <c r="X113" i="14701"/>
  <c r="X116" i="14701"/>
  <c r="X122" i="14701"/>
  <c r="X114" i="14701"/>
  <c r="X115" i="14701"/>
  <c r="T98" i="14700"/>
  <c r="T102" i="14700"/>
  <c r="T100" i="14700"/>
  <c r="T99" i="14700"/>
  <c r="T103" i="14700"/>
  <c r="T101" i="14700"/>
  <c r="T97" i="14700"/>
  <c r="S98" i="14701" a="1"/>
  <c r="G104" i="14702"/>
  <c r="P249" i="14701"/>
  <c r="P248" i="14701"/>
  <c r="P247" i="14701"/>
  <c r="W124" i="14700"/>
  <c r="Y203" i="14701"/>
  <c r="Y205" i="14701"/>
  <c r="Y210" i="14701"/>
  <c r="Y206" i="14701"/>
  <c r="Y213" i="14701"/>
  <c r="Y211" i="14701"/>
  <c r="Y212" i="14701"/>
  <c r="Y208" i="14701"/>
  <c r="Y204" i="14701"/>
  <c r="Y207" i="14701"/>
  <c r="Y202" i="14701"/>
  <c r="Y209" i="14701"/>
  <c r="V136" i="14701"/>
  <c r="V141" i="14701"/>
  <c r="V134" i="14701"/>
  <c r="V135" i="14701"/>
  <c r="V140" i="14701"/>
  <c r="V133" i="14701"/>
  <c r="V138" i="14701"/>
  <c r="V139" i="14701"/>
  <c r="V137" i="14701"/>
  <c r="T194" i="14701"/>
  <c r="T192" i="14701"/>
  <c r="T195" i="14701"/>
  <c r="T190" i="14701"/>
  <c r="T193" i="14701"/>
  <c r="T191" i="14701"/>
  <c r="T189" i="14701"/>
  <c r="W135" i="14701"/>
  <c r="W132" i="14701"/>
  <c r="W133" i="14701"/>
  <c r="W134" i="14701"/>
  <c r="W136" i="14701"/>
  <c r="W141" i="14701"/>
  <c r="W139" i="14701"/>
  <c r="W138" i="14701"/>
  <c r="W140" i="14701"/>
  <c r="W137" i="14701"/>
  <c r="Q140" i="14701"/>
  <c r="Q139" i="14701"/>
  <c r="Q141" i="14701"/>
  <c r="Q138" i="14701"/>
  <c r="Q101" i="14700"/>
  <c r="Q103" i="14700"/>
  <c r="Q100" i="14700"/>
  <c r="Q102" i="14700"/>
  <c r="R124" i="14700"/>
  <c r="W160" i="14700"/>
  <c r="Y158" i="14701"/>
  <c r="Y157" i="14701"/>
  <c r="Y150" i="14701"/>
  <c r="Y151" i="14701"/>
  <c r="Y152" i="14701"/>
  <c r="Y149" i="14701"/>
  <c r="Y156" i="14701"/>
  <c r="Y159" i="14701"/>
  <c r="Y155" i="14701"/>
  <c r="Y154" i="14701"/>
  <c r="Y148" i="14701"/>
  <c r="Y153" i="14701"/>
  <c r="W214" i="14700"/>
  <c r="X221" i="14701"/>
  <c r="X224" i="14701"/>
  <c r="X226" i="14701"/>
  <c r="X225" i="14701"/>
  <c r="X228" i="14701"/>
  <c r="X230" i="14701"/>
  <c r="X222" i="14701"/>
  <c r="X227" i="14701"/>
  <c r="X229" i="14701"/>
  <c r="X231" i="14701"/>
  <c r="X223" i="14701"/>
  <c r="P101" i="14701" a="1"/>
  <c r="D104" i="14702"/>
  <c r="B106" i="14701"/>
  <c r="Y141" i="14701"/>
  <c r="Y133" i="14701"/>
  <c r="Y132" i="14701"/>
  <c r="Y137" i="14701"/>
  <c r="Y138" i="14701"/>
  <c r="Y135" i="14701"/>
  <c r="Y136" i="14701"/>
  <c r="Y131" i="14701"/>
  <c r="Y134" i="14701"/>
  <c r="Y130" i="14701"/>
  <c r="Y140" i="14701"/>
  <c r="Y139" i="14701"/>
  <c r="I42" i="14683"/>
  <c r="J34" i="14683" s="1" a="1"/>
  <c r="U152" i="14701"/>
  <c r="U158" i="14701"/>
  <c r="U159" i="14701"/>
  <c r="U155" i="14701"/>
  <c r="U157" i="14701"/>
  <c r="U153" i="14701"/>
  <c r="U154" i="14701"/>
  <c r="U156" i="14701"/>
  <c r="R245" i="14701"/>
  <c r="R248" i="14701"/>
  <c r="R249" i="14701"/>
  <c r="R246" i="14701"/>
  <c r="R247" i="14701"/>
  <c r="S212" i="14701"/>
  <c r="S209" i="14701"/>
  <c r="S208" i="14701"/>
  <c r="S213" i="14701"/>
  <c r="S211" i="14701"/>
  <c r="S210" i="14701"/>
  <c r="P157" i="14701"/>
  <c r="P158" i="14701"/>
  <c r="P159" i="14701"/>
  <c r="U214" i="14700"/>
  <c r="U85" i="14701"/>
  <c r="W196" i="14700"/>
  <c r="H36" i="14683"/>
  <c r="Y250" i="14700"/>
  <c r="T121" i="14701"/>
  <c r="T118" i="14701"/>
  <c r="T122" i="14701"/>
  <c r="T117" i="14701"/>
  <c r="T119" i="14701"/>
  <c r="T123" i="14701"/>
  <c r="T120" i="14701"/>
  <c r="T160" i="14700"/>
  <c r="O102" i="14701"/>
  <c r="O104" i="14701" s="1"/>
  <c r="C104" i="14702"/>
  <c r="U177" i="14701"/>
  <c r="U170" i="14701"/>
  <c r="U172" i="14701"/>
  <c r="U175" i="14701"/>
  <c r="U173" i="14701"/>
  <c r="U176" i="14701"/>
  <c r="U174" i="14701"/>
  <c r="U171" i="14701"/>
  <c r="T227" i="14701"/>
  <c r="T226" i="14701"/>
  <c r="T230" i="14701"/>
  <c r="T231" i="14701"/>
  <c r="T225" i="14701"/>
  <c r="T229" i="14701"/>
  <c r="T228" i="14701"/>
  <c r="T250" i="14700"/>
  <c r="Q156" i="14701"/>
  <c r="Q157" i="14701"/>
  <c r="Q159" i="14701"/>
  <c r="Q158" i="14701"/>
  <c r="Y246" i="14701"/>
  <c r="Y247" i="14701"/>
  <c r="Y241" i="14701"/>
  <c r="Y245" i="14701"/>
  <c r="Y240" i="14701"/>
  <c r="Y243" i="14701"/>
  <c r="Y248" i="14701"/>
  <c r="Y244" i="14701"/>
  <c r="Y249" i="14701"/>
  <c r="Y238" i="14701"/>
  <c r="Y242" i="14701"/>
  <c r="Y239" i="14701"/>
  <c r="P85" i="14701"/>
  <c r="U250" i="14700"/>
  <c r="X232" i="14700"/>
  <c r="U208" i="14701"/>
  <c r="U209" i="14701"/>
  <c r="U212" i="14701"/>
  <c r="U213" i="14701"/>
  <c r="U210" i="14701"/>
  <c r="U211" i="14701"/>
  <c r="U207" i="14701"/>
  <c r="U206" i="14701"/>
  <c r="W224" i="14701"/>
  <c r="W226" i="14701"/>
  <c r="W227" i="14701"/>
  <c r="W231" i="14701"/>
  <c r="W229" i="14701"/>
  <c r="W225" i="14701"/>
  <c r="W228" i="14701"/>
  <c r="W230" i="14701"/>
  <c r="W223" i="14701"/>
  <c r="W222" i="14701"/>
  <c r="P176" i="14701"/>
  <c r="P177" i="14701"/>
  <c r="P175" i="14701"/>
  <c r="H39" i="14683"/>
  <c r="V170" i="14701"/>
  <c r="V174" i="14701"/>
  <c r="V176" i="14701"/>
  <c r="V172" i="14701"/>
  <c r="V175" i="14701"/>
  <c r="V169" i="14701"/>
  <c r="V171" i="14701"/>
  <c r="V173" i="14701"/>
  <c r="V177" i="14701"/>
  <c r="R157" i="14701"/>
  <c r="R159" i="14701"/>
  <c r="R158" i="14701"/>
  <c r="R156" i="14701"/>
  <c r="R155" i="14701"/>
  <c r="S158" i="14701"/>
  <c r="S155" i="14701"/>
  <c r="S156" i="14701"/>
  <c r="S159" i="14701"/>
  <c r="S157" i="14701"/>
  <c r="S154" i="14701"/>
  <c r="S232" i="14700"/>
  <c r="R140" i="14701"/>
  <c r="R138" i="14701"/>
  <c r="R139" i="14701"/>
  <c r="R141" i="14701"/>
  <c r="R137" i="14701"/>
  <c r="T210" i="14701"/>
  <c r="T211" i="14701"/>
  <c r="T209" i="14701"/>
  <c r="T207" i="14701"/>
  <c r="T212" i="14701"/>
  <c r="T208" i="14701"/>
  <c r="T213" i="14701"/>
  <c r="P178" i="14700"/>
  <c r="Q100" i="14701" a="1"/>
  <c r="E104" i="14702"/>
  <c r="R211" i="14701"/>
  <c r="R213" i="14701"/>
  <c r="R212" i="14701"/>
  <c r="R210" i="14701"/>
  <c r="R209" i="14701"/>
  <c r="X155" i="14701"/>
  <c r="X159" i="14701"/>
  <c r="X154" i="14701"/>
  <c r="X149" i="14701"/>
  <c r="X152" i="14701"/>
  <c r="X157" i="14701"/>
  <c r="X156" i="14701"/>
  <c r="X151" i="14701"/>
  <c r="X158" i="14701"/>
  <c r="X150" i="14701"/>
  <c r="X153" i="14701"/>
  <c r="S160" i="14700"/>
  <c r="Q248" i="14701"/>
  <c r="Q249" i="14701"/>
  <c r="Q247" i="14701"/>
  <c r="Q246" i="14701"/>
  <c r="U243" i="14701"/>
  <c r="U247" i="14701"/>
  <c r="U242" i="14701"/>
  <c r="U244" i="14701"/>
  <c r="U246" i="14701"/>
  <c r="U248" i="14701"/>
  <c r="U245" i="14701"/>
  <c r="U249" i="14701"/>
  <c r="W142" i="14700"/>
  <c r="R195" i="14701"/>
  <c r="R194" i="14701"/>
  <c r="R193" i="14701"/>
  <c r="R191" i="14701"/>
  <c r="R192" i="14701"/>
  <c r="Y214" i="14700"/>
  <c r="S85" i="14701"/>
  <c r="V225" i="14701"/>
  <c r="V223" i="14701"/>
  <c r="V231" i="14701"/>
  <c r="V226" i="14701"/>
  <c r="V229" i="14701"/>
  <c r="V228" i="14701"/>
  <c r="V224" i="14701"/>
  <c r="V227" i="14701"/>
  <c r="V230" i="14701"/>
  <c r="P123" i="14701"/>
  <c r="P122" i="14701"/>
  <c r="P121" i="14701"/>
  <c r="X214" i="14700"/>
  <c r="U230" i="14701"/>
  <c r="U227" i="14701"/>
  <c r="U231" i="14701"/>
  <c r="U225" i="14701"/>
  <c r="U229" i="14701"/>
  <c r="U224" i="14701"/>
  <c r="U228" i="14701"/>
  <c r="U226" i="14701"/>
  <c r="S214" i="14700"/>
  <c r="W151" i="14701"/>
  <c r="W159" i="14701"/>
  <c r="W158" i="14701"/>
  <c r="W154" i="14701"/>
  <c r="W153" i="14701"/>
  <c r="W155" i="14701"/>
  <c r="W157" i="14701"/>
  <c r="W152" i="14701"/>
  <c r="W156" i="14701"/>
  <c r="W150" i="14701"/>
  <c r="P250" i="14700"/>
  <c r="X190" i="14701"/>
  <c r="X189" i="14701"/>
  <c r="X192" i="14701"/>
  <c r="X193" i="14701"/>
  <c r="X188" i="14701"/>
  <c r="X195" i="14701"/>
  <c r="X191" i="14701"/>
  <c r="X194" i="14701"/>
  <c r="X186" i="14701"/>
  <c r="X185" i="14701"/>
  <c r="X187" i="14701"/>
  <c r="R177" i="14701"/>
  <c r="R173" i="14701"/>
  <c r="R174" i="14701"/>
  <c r="R175" i="14701"/>
  <c r="R176" i="14701"/>
  <c r="S142" i="14700"/>
  <c r="J104" i="14702"/>
  <c r="V95" i="14701" a="1"/>
  <c r="W171" i="14701"/>
  <c r="W170" i="14701"/>
  <c r="W173" i="14701"/>
  <c r="W168" i="14701"/>
  <c r="W172" i="14701"/>
  <c r="W175" i="14701"/>
  <c r="W169" i="14701"/>
  <c r="W177" i="14701"/>
  <c r="W176" i="14701"/>
  <c r="W174" i="14701"/>
  <c r="P139" i="14701"/>
  <c r="P141" i="14701"/>
  <c r="P140" i="14701"/>
  <c r="T173" i="14701"/>
  <c r="T175" i="14701"/>
  <c r="T172" i="14701"/>
  <c r="T171" i="14701"/>
  <c r="T176" i="14701"/>
  <c r="T177" i="14701"/>
  <c r="T174" i="14701"/>
  <c r="Y224" i="14701"/>
  <c r="Y226" i="14701"/>
  <c r="Y225" i="14701"/>
  <c r="Y223" i="14701"/>
  <c r="Y229" i="14701"/>
  <c r="Y230" i="14701"/>
  <c r="Y221" i="14701"/>
  <c r="Y227" i="14701"/>
  <c r="Y228" i="14701"/>
  <c r="Y220" i="14701"/>
  <c r="Y231" i="14701"/>
  <c r="Y222" i="14701"/>
  <c r="U232" i="14700"/>
  <c r="U137" i="14701"/>
  <c r="U140" i="14701"/>
  <c r="U141" i="14701"/>
  <c r="U138" i="14701"/>
  <c r="U139" i="14701"/>
  <c r="U134" i="14701"/>
  <c r="U136" i="14701"/>
  <c r="U135" i="14701"/>
  <c r="V85" i="14701"/>
  <c r="Y178" i="14700"/>
  <c r="X173" i="14701"/>
  <c r="X170" i="14701"/>
  <c r="X174" i="14701"/>
  <c r="X168" i="14701"/>
  <c r="X177" i="14701"/>
  <c r="X176" i="14701"/>
  <c r="X172" i="14701"/>
  <c r="X171" i="14701"/>
  <c r="X175" i="14701"/>
  <c r="X169" i="14701"/>
  <c r="X167" i="14701"/>
  <c r="X246" i="14701"/>
  <c r="X248" i="14701"/>
  <c r="X245" i="14701"/>
  <c r="X239" i="14701"/>
  <c r="X242" i="14701"/>
  <c r="X240" i="14701"/>
  <c r="X244" i="14701"/>
  <c r="X243" i="14701"/>
  <c r="X247" i="14701"/>
  <c r="X249" i="14701"/>
  <c r="X241" i="14701"/>
  <c r="X160" i="14700"/>
  <c r="U142" i="14700"/>
  <c r="W178" i="14700"/>
  <c r="G54" i="14683"/>
  <c r="G51" i="14683"/>
  <c r="G53" i="14683"/>
  <c r="G56" i="14683"/>
  <c r="G49" i="14683"/>
  <c r="G52" i="14683"/>
  <c r="G55" i="14683"/>
  <c r="G50" i="14683"/>
  <c r="V153" i="14701"/>
  <c r="V159" i="14701"/>
  <c r="V158" i="14701"/>
  <c r="V155" i="14701"/>
  <c r="V154" i="14701"/>
  <c r="V151" i="14701"/>
  <c r="V157" i="14701"/>
  <c r="V152" i="14701"/>
  <c r="V156" i="14701"/>
  <c r="X95" i="14700"/>
  <c r="X94" i="14700"/>
  <c r="X102" i="14700"/>
  <c r="X101" i="14700"/>
  <c r="X98" i="14700"/>
  <c r="X96" i="14700"/>
  <c r="X93" i="14700"/>
  <c r="X100" i="14700"/>
  <c r="X97" i="14700"/>
  <c r="X103" i="14700"/>
  <c r="X99" i="14700"/>
  <c r="R214" i="14700"/>
  <c r="L104" i="14702"/>
  <c r="X93" i="14701" a="1"/>
  <c r="F104" i="14702"/>
  <c r="R99" i="14701" a="1"/>
  <c r="U124" i="14700"/>
  <c r="T156" i="14701"/>
  <c r="T155" i="14701"/>
  <c r="T159" i="14701"/>
  <c r="T158" i="14701"/>
  <c r="T157" i="14701"/>
  <c r="T153" i="14701"/>
  <c r="T154" i="14701"/>
  <c r="S124" i="14700"/>
  <c r="P196" i="14700"/>
  <c r="R102" i="14700"/>
  <c r="R100" i="14700"/>
  <c r="R99" i="14700"/>
  <c r="R103" i="14700"/>
  <c r="R101" i="14700"/>
  <c r="W188" i="14701"/>
  <c r="W194" i="14701"/>
  <c r="W189" i="14701"/>
  <c r="W186" i="14701"/>
  <c r="W190" i="14701"/>
  <c r="W191" i="14701"/>
  <c r="W192" i="14701"/>
  <c r="W193" i="14701"/>
  <c r="W187" i="14701"/>
  <c r="W195" i="14701"/>
  <c r="V102" i="14700"/>
  <c r="V103" i="14700"/>
  <c r="V97" i="14700"/>
  <c r="V101" i="14700"/>
  <c r="V99" i="14700"/>
  <c r="V100" i="14700"/>
  <c r="V95" i="14700"/>
  <c r="V98" i="14700"/>
  <c r="V96" i="14700"/>
  <c r="S196" i="14700"/>
  <c r="T178" i="14700"/>
  <c r="X124" i="14700"/>
  <c r="V214" i="14700"/>
  <c r="U178" i="14700"/>
  <c r="U188" i="14701"/>
  <c r="U191" i="14701"/>
  <c r="U189" i="14701"/>
  <c r="U194" i="14701"/>
  <c r="U192" i="14701"/>
  <c r="U193" i="14701"/>
  <c r="U195" i="14701"/>
  <c r="U190" i="14701"/>
  <c r="U116" i="14701"/>
  <c r="U121" i="14701"/>
  <c r="U123" i="14701"/>
  <c r="U119" i="14701"/>
  <c r="U118" i="14701"/>
  <c r="U120" i="14701"/>
  <c r="U117" i="14701"/>
  <c r="U122" i="14701"/>
  <c r="Q250" i="14700"/>
  <c r="X142" i="14700"/>
  <c r="V250" i="14700"/>
  <c r="H104" i="14702"/>
  <c r="T97" i="14701" a="1"/>
  <c r="W94" i="14701" a="1"/>
  <c r="K104" i="14702"/>
  <c r="Q196" i="14700"/>
  <c r="S119" i="14701"/>
  <c r="S122" i="14701"/>
  <c r="S123" i="14701"/>
  <c r="S121" i="14701"/>
  <c r="S120" i="14701"/>
  <c r="S118" i="14701"/>
  <c r="T140" i="14701"/>
  <c r="T136" i="14701"/>
  <c r="T135" i="14701"/>
  <c r="T137" i="14701"/>
  <c r="T141" i="14701"/>
  <c r="T139" i="14701"/>
  <c r="T138" i="14701"/>
  <c r="T124" i="14700"/>
  <c r="P212" i="14701"/>
  <c r="P211" i="14701"/>
  <c r="P213" i="14701"/>
  <c r="Y85" i="14701"/>
  <c r="S190" i="14701"/>
  <c r="S195" i="14701"/>
  <c r="S193" i="14701"/>
  <c r="S191" i="14701"/>
  <c r="S192" i="14701"/>
  <c r="S194" i="14701"/>
  <c r="Q231" i="14701"/>
  <c r="Q229" i="14701"/>
  <c r="Q228" i="14701"/>
  <c r="Q230" i="14701"/>
  <c r="I104" i="14702"/>
  <c r="U96" i="14701" a="1"/>
  <c r="E100" i="14643"/>
  <c r="G100" i="14643" s="1"/>
  <c r="R196" i="14700"/>
  <c r="Q214" i="14700"/>
  <c r="Q142" i="14700"/>
  <c r="F85" i="14643"/>
  <c r="F83" i="14643"/>
  <c r="F84" i="14643"/>
  <c r="F79" i="14643"/>
  <c r="F82" i="14643"/>
  <c r="F86" i="14643"/>
  <c r="F81" i="14643"/>
  <c r="G87" i="14643"/>
  <c r="F80" i="14643"/>
  <c r="X196" i="14700"/>
  <c r="H40" i="14683"/>
  <c r="V196" i="14700"/>
  <c r="T85" i="14701"/>
  <c r="Y96" i="14700"/>
  <c r="Y93" i="14700"/>
  <c r="Y97" i="14700"/>
  <c r="Y98" i="14700"/>
  <c r="Y94" i="14700"/>
  <c r="Y99" i="14700"/>
  <c r="Y92" i="14700"/>
  <c r="Y95" i="14700"/>
  <c r="Y102" i="14700"/>
  <c r="Y101" i="14700"/>
  <c r="Y103" i="14700"/>
  <c r="Y100" i="14700"/>
  <c r="T214" i="14700"/>
  <c r="N103" i="14701"/>
  <c r="N104" i="14701" s="1"/>
  <c r="B104" i="14702"/>
  <c r="Q175" i="14701"/>
  <c r="Q177" i="14701"/>
  <c r="Q174" i="14701"/>
  <c r="Q176" i="14701"/>
  <c r="S247" i="14701"/>
  <c r="S245" i="14701"/>
  <c r="S249" i="14701"/>
  <c r="S246" i="14701"/>
  <c r="S248" i="14701"/>
  <c r="S244" i="14701"/>
  <c r="S226" i="14701"/>
  <c r="S230" i="14701"/>
  <c r="S228" i="14701"/>
  <c r="S229" i="14701"/>
  <c r="S231" i="14701"/>
  <c r="S227" i="14701"/>
  <c r="V193" i="14701"/>
  <c r="V188" i="14701"/>
  <c r="V189" i="14701"/>
  <c r="V192" i="14701"/>
  <c r="V195" i="14701"/>
  <c r="V190" i="14701"/>
  <c r="V191" i="14701"/>
  <c r="V194" i="14701"/>
  <c r="V187" i="14701"/>
  <c r="S175" i="14701"/>
  <c r="S177" i="14701"/>
  <c r="S172" i="14701"/>
  <c r="S173" i="14701"/>
  <c r="S174" i="14701"/>
  <c r="S176" i="14701"/>
  <c r="Q121" i="14701"/>
  <c r="Q120" i="14701"/>
  <c r="Q123" i="14701"/>
  <c r="Q122" i="14701"/>
  <c r="W205" i="14701"/>
  <c r="W212" i="14701"/>
  <c r="W206" i="14701"/>
  <c r="W211" i="14701"/>
  <c r="W209" i="14701"/>
  <c r="W204" i="14701"/>
  <c r="W210" i="14701"/>
  <c r="W207" i="14701"/>
  <c r="W213" i="14701"/>
  <c r="W208" i="14701"/>
  <c r="W244" i="14701"/>
  <c r="W240" i="14701"/>
  <c r="W249" i="14701"/>
  <c r="W246" i="14701"/>
  <c r="W247" i="14701"/>
  <c r="W245" i="14701"/>
  <c r="W241" i="14701"/>
  <c r="W242" i="14701"/>
  <c r="W243" i="14701"/>
  <c r="W248" i="14701"/>
  <c r="R178" i="14700"/>
  <c r="Y142" i="14700"/>
  <c r="Y195" i="14701"/>
  <c r="Y190" i="14701"/>
  <c r="Y187" i="14701"/>
  <c r="Y193" i="14701"/>
  <c r="Y191" i="14701"/>
  <c r="Y184" i="14701"/>
  <c r="Y186" i="14701"/>
  <c r="Y192" i="14701"/>
  <c r="Y188" i="14701"/>
  <c r="Y189" i="14701"/>
  <c r="Y185" i="14701"/>
  <c r="Y194" i="14701"/>
  <c r="Y92" i="14701" a="1"/>
  <c r="M104" i="14702"/>
  <c r="V209" i="14701"/>
  <c r="V210" i="14701"/>
  <c r="V207" i="14701"/>
  <c r="V211" i="14701"/>
  <c r="V208" i="14701"/>
  <c r="V206" i="14701"/>
  <c r="V212" i="14701"/>
  <c r="V213" i="14701"/>
  <c r="V205" i="14701"/>
  <c r="P102" i="14700"/>
  <c r="P101" i="14700"/>
  <c r="P103" i="14700"/>
  <c r="U196" i="14700"/>
  <c r="Q160" i="14700"/>
  <c r="S138" i="14701"/>
  <c r="S137" i="14701"/>
  <c r="S140" i="14701"/>
  <c r="S141" i="14701"/>
  <c r="S139" i="14701"/>
  <c r="S136" i="14701"/>
  <c r="R142" i="14700"/>
  <c r="V232" i="14700"/>
  <c r="Y232" i="14700"/>
  <c r="X138" i="14701"/>
  <c r="X135" i="14701"/>
  <c r="X133" i="14701"/>
  <c r="X132" i="14701"/>
  <c r="X134" i="14701"/>
  <c r="X136" i="14701"/>
  <c r="X139" i="14701"/>
  <c r="X137" i="14701"/>
  <c r="X140" i="14701"/>
  <c r="X141" i="14701"/>
  <c r="X131" i="14701"/>
  <c r="R229" i="14701"/>
  <c r="R231" i="14701"/>
  <c r="R227" i="14701"/>
  <c r="R228" i="14701"/>
  <c r="R230" i="14701"/>
  <c r="X211" i="14701"/>
  <c r="X209" i="14701"/>
  <c r="X210" i="14701"/>
  <c r="X208" i="14701"/>
  <c r="X207" i="14701"/>
  <c r="X203" i="14701"/>
  <c r="X213" i="14701"/>
  <c r="X212" i="14701"/>
  <c r="X206" i="14701"/>
  <c r="X205" i="14701"/>
  <c r="X204" i="14701"/>
  <c r="V142" i="14700"/>
  <c r="T196" i="14700"/>
  <c r="R121" i="14701"/>
  <c r="R122" i="14701"/>
  <c r="R123" i="14701"/>
  <c r="R119" i="14701"/>
  <c r="R120" i="14701"/>
  <c r="P142" i="14700"/>
  <c r="X178" i="14700"/>
  <c r="E5" i="14710"/>
  <c r="G5" i="14710"/>
  <c r="F5" i="14710"/>
  <c r="D5" i="14710"/>
  <c r="H5" i="14710"/>
  <c r="G20" i="14710"/>
  <c r="D20" i="14710"/>
  <c r="E20" i="14710"/>
  <c r="F20" i="14710"/>
  <c r="H20" i="14710"/>
  <c r="G40" i="14710"/>
  <c r="D40" i="14710"/>
  <c r="H40" i="14710"/>
  <c r="E40" i="14710"/>
  <c r="F40" i="14710"/>
  <c r="C11" i="14674" a="1"/>
  <c r="I11" i="14674" s="1"/>
  <c r="F50" i="14683"/>
  <c r="F53" i="14683"/>
  <c r="F51" i="14683"/>
  <c r="F49" i="14683"/>
  <c r="N55" i="14629"/>
  <c r="E8" i="14643" s="1"/>
  <c r="C29" i="14682" a="1"/>
  <c r="W28" i="14655"/>
  <c r="F31" i="14657"/>
  <c r="E31" i="14657"/>
  <c r="G31" i="14657"/>
  <c r="C31" i="14657"/>
  <c r="D31" i="14657"/>
  <c r="S7" i="14657"/>
  <c r="U7" i="14657"/>
  <c r="V7" i="14657"/>
  <c r="T7" i="14657"/>
  <c r="C12" i="14628" a="1"/>
  <c r="N40" i="14669"/>
  <c r="E63" i="14648"/>
  <c r="C55" i="14623"/>
  <c r="C78" i="14648" a="1"/>
  <c r="C6" i="14677" a="1"/>
  <c r="B47" i="14678" a="1"/>
  <c r="B47" i="14623" a="1"/>
  <c r="J47" i="14623" s="1"/>
  <c r="M6" i="14617"/>
  <c r="M5" i="14617"/>
  <c r="D96" i="14643"/>
  <c r="H14" i="14643"/>
  <c r="E15" i="14643" s="1" a="1"/>
  <c r="D97" i="14643"/>
  <c r="D93" i="14643"/>
  <c r="D92" i="14643"/>
  <c r="D99" i="14643"/>
  <c r="D95" i="14643"/>
  <c r="D98" i="14643"/>
  <c r="D94" i="14643"/>
  <c r="K5" i="14617"/>
  <c r="K7" i="14617"/>
  <c r="K6" i="14617"/>
  <c r="S30" i="14679"/>
  <c r="I7" i="14677"/>
  <c r="E7" i="14677"/>
  <c r="K7" i="14677"/>
  <c r="G7" i="14677"/>
  <c r="N7" i="14677"/>
  <c r="J7" i="14677"/>
  <c r="D7" i="14677"/>
  <c r="C7" i="14677"/>
  <c r="F7" i="14677"/>
  <c r="L7" i="14677"/>
  <c r="M7" i="14677"/>
  <c r="H7" i="14677"/>
  <c r="N8" i="14707"/>
  <c r="X24" i="14655" s="1"/>
  <c r="N7" i="14707"/>
  <c r="L22" i="14707"/>
  <c r="C7" i="14671"/>
  <c r="E7" i="14671"/>
  <c r="G7" i="14671"/>
  <c r="B7" i="14671"/>
  <c r="K7" i="14671"/>
  <c r="I7" i="14671"/>
  <c r="L7" i="14671"/>
  <c r="H7" i="14671"/>
  <c r="M7" i="14671"/>
  <c r="J7" i="14671"/>
  <c r="F7" i="14671"/>
  <c r="D7" i="14671"/>
  <c r="S31" i="14679"/>
  <c r="J21" i="14683"/>
  <c r="J27" i="14683"/>
  <c r="J20" i="14683"/>
  <c r="J26" i="14683"/>
  <c r="J22" i="14683"/>
  <c r="J24" i="14683"/>
  <c r="J19" i="14683"/>
  <c r="J25" i="14683"/>
  <c r="J23" i="14683"/>
  <c r="K41" i="14675"/>
  <c r="K42" i="14675" s="1"/>
  <c r="D41" i="14675"/>
  <c r="D42" i="14675" s="1"/>
  <c r="M41" i="14675"/>
  <c r="M42" i="14675" s="1"/>
  <c r="L41" i="14675"/>
  <c r="L42" i="14675" s="1"/>
  <c r="G41" i="14675"/>
  <c r="G42" i="14675" s="1"/>
  <c r="J41" i="14675"/>
  <c r="J42" i="14675" s="1"/>
  <c r="C41" i="14675"/>
  <c r="E41" i="14675"/>
  <c r="E42" i="14675" s="1"/>
  <c r="H41" i="14675"/>
  <c r="H42" i="14675" s="1"/>
  <c r="N41" i="14675"/>
  <c r="N42" i="14675" s="1"/>
  <c r="I41" i="14675"/>
  <c r="I42" i="14675" s="1"/>
  <c r="F41" i="14675"/>
  <c r="F42" i="14675" s="1"/>
  <c r="C6" i="14634" a="1"/>
  <c r="H6" i="14634" s="1"/>
  <c r="N60" i="14629"/>
  <c r="M55" i="14623"/>
  <c r="O5" i="14628"/>
  <c r="O9" i="14628" s="1"/>
  <c r="O15" i="14628" s="1"/>
  <c r="M10" i="8" s="1"/>
  <c r="G54" i="14632"/>
  <c r="N43" i="14623"/>
  <c r="Q55" i="14623"/>
  <c r="K55" i="14623"/>
  <c r="J55" i="14623"/>
  <c r="C50" i="14632" a="1"/>
  <c r="C50" i="14632" s="1"/>
  <c r="B49" i="14632" a="1"/>
  <c r="B51" i="14632" s="1"/>
  <c r="E55" i="14623"/>
  <c r="O55" i="14623"/>
  <c r="N55" i="14623"/>
  <c r="G55" i="14623"/>
  <c r="D55" i="14623"/>
  <c r="E52" i="14632" a="1"/>
  <c r="E53" i="14632" s="1"/>
  <c r="D51" i="14632" a="1"/>
  <c r="D51" i="14632" s="1"/>
  <c r="L55" i="14623"/>
  <c r="I55" i="14623"/>
  <c r="R55" i="14623"/>
  <c r="H55" i="14623"/>
  <c r="F55" i="14623"/>
  <c r="P55" i="14623"/>
  <c r="F53" i="14632" a="1"/>
  <c r="F53" i="14632" s="1"/>
  <c r="L13" i="14706"/>
  <c r="E43" i="14622" a="1"/>
  <c r="E43" i="14622" s="1"/>
  <c r="L15" i="14667"/>
  <c r="F41" i="14622" s="1"/>
  <c r="K18" i="14707"/>
  <c r="K29" i="14707"/>
  <c r="G57" i="14701"/>
  <c r="G18" i="14701"/>
  <c r="G44" i="14701"/>
  <c r="G32" i="14683"/>
  <c r="G47" i="14683"/>
  <c r="G17" i="14683"/>
  <c r="G57" i="14700"/>
  <c r="G18" i="14700"/>
  <c r="G44" i="14700"/>
  <c r="E17" i="14683"/>
  <c r="E32" i="14683"/>
  <c r="E47" i="14683"/>
  <c r="F31" i="14652"/>
  <c r="E18" i="14652"/>
  <c r="S47" i="14678"/>
  <c r="M47" i="14678"/>
  <c r="C47" i="14678"/>
  <c r="P47" i="14678"/>
  <c r="E47" i="14678"/>
  <c r="D47" i="14678"/>
  <c r="J47" i="14678"/>
  <c r="K47" i="14678"/>
  <c r="L47" i="14678"/>
  <c r="R47" i="14678"/>
  <c r="G47" i="14678"/>
  <c r="H47" i="14678"/>
  <c r="N47" i="14678"/>
  <c r="Q47" i="14678"/>
  <c r="B47" i="14678"/>
  <c r="I47" i="14678"/>
  <c r="F47" i="14678"/>
  <c r="O47" i="14678"/>
  <c r="O47" i="14623"/>
  <c r="S47" i="14623"/>
  <c r="C47" i="14623"/>
  <c r="M47" i="14623"/>
  <c r="K47" i="14623"/>
  <c r="Q47" i="14623"/>
  <c r="F47" i="14623"/>
  <c r="B47" i="14623"/>
  <c r="N47" i="14623"/>
  <c r="G47" i="14623"/>
  <c r="I47" i="14623"/>
  <c r="D47" i="14623"/>
  <c r="H47" i="14623"/>
  <c r="R47" i="14623"/>
  <c r="F5" i="14686"/>
  <c r="E5" i="14686"/>
  <c r="B5" i="14686"/>
  <c r="D5" i="14686"/>
  <c r="C5" i="14686"/>
  <c r="F12" i="14684"/>
  <c r="G12" i="14684"/>
  <c r="D12" i="14684"/>
  <c r="C12" i="14684"/>
  <c r="E12" i="14684"/>
  <c r="E4" i="14689"/>
  <c r="B4" i="14689"/>
  <c r="F4" i="14689"/>
  <c r="C4" i="14689"/>
  <c r="D4" i="14689"/>
  <c r="F70" i="14689"/>
  <c r="C70" i="14689"/>
  <c r="G70" i="14689"/>
  <c r="E70" i="14689"/>
  <c r="D70" i="14689"/>
  <c r="F17" i="14665"/>
  <c r="E17" i="14665"/>
  <c r="C17" i="14665"/>
  <c r="D17" i="14665"/>
  <c r="B17" i="14665"/>
  <c r="F5" i="14696"/>
  <c r="D5" i="14696"/>
  <c r="G5" i="14696"/>
  <c r="E5" i="14696"/>
  <c r="C5" i="14696"/>
  <c r="E35" i="14622"/>
  <c r="C35" i="14622"/>
  <c r="B35" i="14622"/>
  <c r="D35" i="14622"/>
  <c r="F35" i="14622"/>
  <c r="W5" i="14655"/>
  <c r="U5" i="14655"/>
  <c r="T5" i="14655"/>
  <c r="X5" i="14655"/>
  <c r="V5" i="14655"/>
  <c r="G41" i="14665"/>
  <c r="F41" i="14665"/>
  <c r="C41" i="14665"/>
  <c r="E41" i="14665"/>
  <c r="D41" i="14665"/>
  <c r="G7" i="14657"/>
  <c r="D7" i="14657"/>
  <c r="E7" i="14657"/>
  <c r="F7" i="14657"/>
  <c r="C7" i="14657"/>
  <c r="E5" i="14693"/>
  <c r="F5" i="14693"/>
  <c r="D5" i="14693"/>
  <c r="C5" i="14693"/>
  <c r="B5" i="14693"/>
  <c r="E18" i="14686"/>
  <c r="F18" i="14686"/>
  <c r="B18" i="14686"/>
  <c r="C18" i="14686"/>
  <c r="D18" i="14686"/>
  <c r="E52" i="14686"/>
  <c r="F52" i="14686"/>
  <c r="B52" i="14686"/>
  <c r="C52" i="14686"/>
  <c r="D52" i="14686"/>
  <c r="F28" i="14686"/>
  <c r="E28" i="14686"/>
  <c r="C28" i="14686"/>
  <c r="B28" i="14686"/>
  <c r="D28" i="14686"/>
  <c r="A21" i="14647"/>
  <c r="A70" i="14647"/>
  <c r="A63" i="14684" a="1"/>
  <c r="B92" i="14649" a="1"/>
  <c r="A56" i="14649" a="1"/>
  <c r="A70" i="14684" a="1"/>
  <c r="B74" i="14649" a="1"/>
  <c r="B83" i="14649" a="1"/>
  <c r="C69" i="14645"/>
  <c r="A71" i="14645" s="1"/>
  <c r="A17" i="14645"/>
  <c r="G18" i="14698"/>
  <c r="G44" i="14698"/>
  <c r="G57" i="14698"/>
  <c r="G18" i="14707"/>
  <c r="G29" i="14707"/>
  <c r="B47" i="14638" a="1"/>
  <c r="H31" i="14652"/>
  <c r="G18" i="14652"/>
  <c r="A37" i="14645"/>
  <c r="C89" i="14645"/>
  <c r="C79" i="14645"/>
  <c r="A81" i="14645" s="1"/>
  <c r="A27" i="14645"/>
  <c r="I29" i="14707"/>
  <c r="I18" i="14707"/>
  <c r="B47" i="14632" a="1"/>
  <c r="E28" i="14682"/>
  <c r="F28" i="14682"/>
  <c r="C28" i="14682"/>
  <c r="B28" i="14682"/>
  <c r="D28" i="14682"/>
  <c r="B46" i="14686"/>
  <c r="F46" i="14686"/>
  <c r="E46" i="14686"/>
  <c r="C46" i="14686"/>
  <c r="D46" i="14686"/>
  <c r="G37" i="14665"/>
  <c r="A57" i="14665" s="1"/>
  <c r="F37" i="14665"/>
  <c r="A56" i="14665" s="1"/>
  <c r="D37" i="14665"/>
  <c r="A54" i="14665" s="1"/>
  <c r="C37" i="14665"/>
  <c r="A53" i="14665" s="1"/>
  <c r="E37" i="14665"/>
  <c r="A55" i="14665" s="1"/>
  <c r="F38" i="14649"/>
  <c r="B38" i="14649"/>
  <c r="E38" i="14649"/>
  <c r="C38" i="14649"/>
  <c r="D38" i="14649"/>
  <c r="E20" i="14682"/>
  <c r="C20" i="14682"/>
  <c r="B20" i="14682"/>
  <c r="F20" i="14682"/>
  <c r="D20" i="14682"/>
  <c r="E4" i="14682"/>
  <c r="F4" i="14682"/>
  <c r="C4" i="14682"/>
  <c r="D4" i="14682"/>
  <c r="B4" i="14682"/>
  <c r="G48" i="14690"/>
  <c r="H48" i="14690"/>
  <c r="E48" i="14690"/>
  <c r="F48" i="14690"/>
  <c r="D48" i="14690"/>
  <c r="E15" i="14682"/>
  <c r="C15" i="14682"/>
  <c r="B15" i="14682"/>
  <c r="D15" i="14682"/>
  <c r="F15" i="14682"/>
  <c r="G14" i="14649"/>
  <c r="C14" i="14649"/>
  <c r="E14" i="14649"/>
  <c r="F14" i="14649"/>
  <c r="D14" i="14649"/>
  <c r="N18" i="14657"/>
  <c r="K18" i="14657"/>
  <c r="L18" i="14657"/>
  <c r="M18" i="14657"/>
  <c r="O18" i="14657"/>
  <c r="G6" i="14643"/>
  <c r="E6" i="14643"/>
  <c r="H6" i="14643"/>
  <c r="F6" i="14643"/>
  <c r="D6" i="14643"/>
  <c r="F4" i="14684"/>
  <c r="G4" i="14684"/>
  <c r="D4" i="14684"/>
  <c r="E4" i="14684"/>
  <c r="C4" i="14684"/>
  <c r="F36" i="14686"/>
  <c r="B36" i="14686"/>
  <c r="E36" i="14686"/>
  <c r="C36" i="14686"/>
  <c r="D36" i="14686"/>
  <c r="D31" i="14652"/>
  <c r="A18" i="14652" a="1"/>
  <c r="C47" i="14683"/>
  <c r="C32" i="14683"/>
  <c r="C17" i="14683"/>
  <c r="H5" i="14690"/>
  <c r="E5" i="14690"/>
  <c r="F5" i="14690"/>
  <c r="G5" i="14690"/>
  <c r="J31" i="14652"/>
  <c r="I18" i="14652"/>
  <c r="I17" i="14683"/>
  <c r="I47" i="14683"/>
  <c r="I32" i="14683"/>
  <c r="M29" i="14707"/>
  <c r="M18" i="14707"/>
  <c r="C99" i="14645"/>
  <c r="A48" i="14645"/>
  <c r="G44" i="14702"/>
  <c r="G57" i="14702"/>
  <c r="G18" i="14702"/>
  <c r="F39" i="14622"/>
  <c r="U104" i="14702" l="1"/>
  <c r="Q104" i="14702"/>
  <c r="B60" i="14704" a="1"/>
  <c r="T104" i="14702"/>
  <c r="B66" i="14704" a="1"/>
  <c r="H73" i="14643"/>
  <c r="I143" i="14698"/>
  <c r="H143" i="14698"/>
  <c r="N143" i="14698"/>
  <c r="R215" i="14698"/>
  <c r="D143" i="14698"/>
  <c r="L49" i="14698"/>
  <c r="F215" i="14698"/>
  <c r="V143" i="14698"/>
  <c r="P143" i="14698"/>
  <c r="U143" i="14698"/>
  <c r="F143" i="14698"/>
  <c r="N53" i="14645"/>
  <c r="M197" i="14698"/>
  <c r="I125" i="14698"/>
  <c r="X125" i="14698"/>
  <c r="R125" i="14698"/>
  <c r="T197" i="14698"/>
  <c r="C125" i="14698"/>
  <c r="O197" i="14698"/>
  <c r="K125" i="14698"/>
  <c r="H197" i="14698"/>
  <c r="O125" i="14698"/>
  <c r="J197" i="14698"/>
  <c r="B54" i="14645"/>
  <c r="U125" i="14698"/>
  <c r="W197" i="14698"/>
  <c r="J125" i="14698"/>
  <c r="Q197" i="14698"/>
  <c r="E47" i="14698"/>
  <c r="G47" i="14698"/>
  <c r="M47" i="14698"/>
  <c r="L52" i="14698"/>
  <c r="H63" i="14648"/>
  <c r="F57" i="14683"/>
  <c r="M63" i="14648"/>
  <c r="F52" i="14683"/>
  <c r="F55" i="14683"/>
  <c r="F56" i="14683"/>
  <c r="H51" i="14698"/>
  <c r="E51" i="14698"/>
  <c r="F51" i="14698"/>
  <c r="Y125" i="14698"/>
  <c r="L125" i="14698"/>
  <c r="F47" i="14698"/>
  <c r="V197" i="14698"/>
  <c r="M51" i="14698"/>
  <c r="G125" i="14698"/>
  <c r="M125" i="14698"/>
  <c r="E197" i="14698"/>
  <c r="C51" i="14698"/>
  <c r="B51" i="14698"/>
  <c r="D125" i="14698"/>
  <c r="R197" i="14698"/>
  <c r="G51" i="14698"/>
  <c r="J51" i="14698"/>
  <c r="W125" i="14698"/>
  <c r="X197" i="14698"/>
  <c r="I51" i="14698"/>
  <c r="D51" i="14698"/>
  <c r="V125" i="14698"/>
  <c r="B47" i="14698"/>
  <c r="K197" i="14698"/>
  <c r="L51" i="14698"/>
  <c r="S125" i="14698"/>
  <c r="D47" i="14698"/>
  <c r="U197" i="14698"/>
  <c r="B59" i="14704" a="1"/>
  <c r="J59" i="14704" s="1"/>
  <c r="V251" i="14698"/>
  <c r="H46" i="14698"/>
  <c r="I47" i="14698"/>
  <c r="I74" i="14643"/>
  <c r="G63" i="14648"/>
  <c r="N63" i="14648"/>
  <c r="J63" i="14648"/>
  <c r="D63" i="14648"/>
  <c r="F63" i="14648"/>
  <c r="N6" i="14676"/>
  <c r="I63" i="14648"/>
  <c r="G6" i="14676"/>
  <c r="K63" i="14648"/>
  <c r="L63" i="14648"/>
  <c r="H50" i="14698"/>
  <c r="B51" i="14702" a="1"/>
  <c r="E51" i="14702" s="1"/>
  <c r="B64" i="14704" a="1"/>
  <c r="D64" i="14704" s="1"/>
  <c r="K47" i="14698"/>
  <c r="K50" i="14698"/>
  <c r="J47" i="14698"/>
  <c r="H68" i="14643"/>
  <c r="L197" i="14698"/>
  <c r="F125" i="14698"/>
  <c r="Q125" i="14698"/>
  <c r="D197" i="14698"/>
  <c r="P125" i="14698"/>
  <c r="H125" i="14698"/>
  <c r="I197" i="14698"/>
  <c r="F197" i="14698"/>
  <c r="B125" i="14698"/>
  <c r="E125" i="14698"/>
  <c r="C197" i="14698"/>
  <c r="P197" i="14698"/>
  <c r="N125" i="14698"/>
  <c r="N197" i="14698"/>
  <c r="S197" i="14698"/>
  <c r="I6" i="14676"/>
  <c r="E52" i="14698"/>
  <c r="D6" i="14676"/>
  <c r="K52" i="14698"/>
  <c r="D179" i="14698"/>
  <c r="K6" i="14676"/>
  <c r="C52" i="14698"/>
  <c r="F6" i="14676"/>
  <c r="J6" i="14676"/>
  <c r="B52" i="14698"/>
  <c r="H52" i="14698"/>
  <c r="N47" i="14704"/>
  <c r="M6" i="14676"/>
  <c r="M52" i="14698"/>
  <c r="E6" i="14676"/>
  <c r="F52" i="14698"/>
  <c r="H6" i="14676"/>
  <c r="J52" i="14698"/>
  <c r="L6" i="14676"/>
  <c r="I52" i="14698"/>
  <c r="B197" i="14698"/>
  <c r="G197" i="14698"/>
  <c r="R104" i="14702"/>
  <c r="D50" i="14698"/>
  <c r="H54" i="14704"/>
  <c r="N49" i="14704"/>
  <c r="X104" i="14702"/>
  <c r="O215" i="14698"/>
  <c r="T215" i="14698"/>
  <c r="X143" i="14698"/>
  <c r="S143" i="14698"/>
  <c r="Y215" i="14698"/>
  <c r="I215" i="14698"/>
  <c r="S215" i="14698"/>
  <c r="O143" i="14698"/>
  <c r="L143" i="14698"/>
  <c r="H215" i="14698"/>
  <c r="E215" i="14698"/>
  <c r="Q143" i="14698"/>
  <c r="R143" i="14698"/>
  <c r="P215" i="14698"/>
  <c r="D215" i="14698"/>
  <c r="E143" i="14698"/>
  <c r="M143" i="14698"/>
  <c r="K215" i="14698"/>
  <c r="J215" i="14698"/>
  <c r="I49" i="14698"/>
  <c r="T143" i="14698"/>
  <c r="K143" i="14698"/>
  <c r="B215" i="14698"/>
  <c r="N215" i="14698"/>
  <c r="C143" i="14698"/>
  <c r="W143" i="14698"/>
  <c r="V215" i="14698"/>
  <c r="W215" i="14698"/>
  <c r="L215" i="14698"/>
  <c r="G215" i="14698"/>
  <c r="C215" i="14698"/>
  <c r="J143" i="14698"/>
  <c r="Y143" i="14698"/>
  <c r="Q215" i="14698"/>
  <c r="U215" i="14698"/>
  <c r="X215" i="14698"/>
  <c r="G143" i="14698"/>
  <c r="D52" i="14698"/>
  <c r="P179" i="14698"/>
  <c r="G179" i="14698"/>
  <c r="E179" i="14698"/>
  <c r="M179" i="14698"/>
  <c r="H179" i="14698"/>
  <c r="S179" i="14698"/>
  <c r="B179" i="14698"/>
  <c r="W179" i="14698"/>
  <c r="V179" i="14698"/>
  <c r="Y179" i="14698"/>
  <c r="I55" i="14683"/>
  <c r="I51" i="14683"/>
  <c r="J179" i="14698"/>
  <c r="I50" i="14683"/>
  <c r="K179" i="14698"/>
  <c r="Q179" i="14698"/>
  <c r="C179" i="14698"/>
  <c r="I179" i="14698"/>
  <c r="N179" i="14698"/>
  <c r="N50" i="14704"/>
  <c r="J49" i="14698"/>
  <c r="D49" i="14698"/>
  <c r="C49" i="14698"/>
  <c r="B49" i="14698"/>
  <c r="F49" i="14698"/>
  <c r="E49" i="14698"/>
  <c r="G49" i="14698"/>
  <c r="M49" i="14698"/>
  <c r="N46" i="14704"/>
  <c r="B197" i="14702" a="1"/>
  <c r="S197" i="14702" s="1"/>
  <c r="G50" i="14698"/>
  <c r="C161" i="14698"/>
  <c r="E46" i="14698"/>
  <c r="M233" i="14698"/>
  <c r="F50" i="14698"/>
  <c r="I46" i="14698"/>
  <c r="D233" i="14698"/>
  <c r="L50" i="14698"/>
  <c r="Y233" i="14698"/>
  <c r="M50" i="14698"/>
  <c r="B50" i="14698"/>
  <c r="G46" i="14698"/>
  <c r="B46" i="14698"/>
  <c r="E50" i="14698"/>
  <c r="G233" i="14698"/>
  <c r="J46" i="14698"/>
  <c r="J50" i="14698"/>
  <c r="W251" i="14698"/>
  <c r="O179" i="14698"/>
  <c r="X179" i="14698"/>
  <c r="L179" i="14698"/>
  <c r="U179" i="14698"/>
  <c r="I50" i="14698"/>
  <c r="D46" i="14698"/>
  <c r="M46" i="14698"/>
  <c r="N251" i="14698"/>
  <c r="B49" i="14702" a="1"/>
  <c r="C49" i="14702" s="1"/>
  <c r="C54" i="14704"/>
  <c r="B143" i="14702" a="1"/>
  <c r="F143" i="14702" s="1"/>
  <c r="H70" i="14643"/>
  <c r="H71" i="14643"/>
  <c r="C47" i="14698"/>
  <c r="B179" i="14702" a="1"/>
  <c r="P179" i="14702" s="1"/>
  <c r="B47" i="14702" a="1"/>
  <c r="K47" i="14702" s="1"/>
  <c r="H66" i="14643"/>
  <c r="L47" i="14698"/>
  <c r="B125" i="14702" a="1"/>
  <c r="L125" i="14702" s="1"/>
  <c r="H72" i="14643"/>
  <c r="L53" i="14698"/>
  <c r="H69" i="14643"/>
  <c r="E48" i="14698"/>
  <c r="T161" i="14698"/>
  <c r="R161" i="14698"/>
  <c r="W104" i="14702"/>
  <c r="B63" i="14704" a="1"/>
  <c r="J63" i="14704" s="1"/>
  <c r="D53" i="14698"/>
  <c r="B215" i="14702" a="1"/>
  <c r="V215" i="14702" s="1"/>
  <c r="F53" i="14698"/>
  <c r="C46" i="14698"/>
  <c r="E233" i="14698"/>
  <c r="S251" i="14698"/>
  <c r="E53" i="14698"/>
  <c r="O233" i="14698"/>
  <c r="U251" i="14698"/>
  <c r="I53" i="14698"/>
  <c r="K53" i="14698"/>
  <c r="B53" i="14698"/>
  <c r="U233" i="14698"/>
  <c r="X251" i="14698"/>
  <c r="K46" i="14698"/>
  <c r="Q251" i="14698"/>
  <c r="H53" i="14698"/>
  <c r="B161" i="14698"/>
  <c r="F46" i="14698"/>
  <c r="J251" i="14698"/>
  <c r="G53" i="14698"/>
  <c r="J53" i="14698"/>
  <c r="M53" i="14698"/>
  <c r="F233" i="14698"/>
  <c r="K54" i="14704"/>
  <c r="B65" i="14704" a="1"/>
  <c r="D65" i="14704" s="1"/>
  <c r="N53" i="14704"/>
  <c r="B46" i="14702" a="1"/>
  <c r="H46" i="14702" s="1"/>
  <c r="D54" i="14704"/>
  <c r="F54" i="14704"/>
  <c r="K49" i="14698"/>
  <c r="Y104" i="14702"/>
  <c r="B161" i="14702" a="1"/>
  <c r="P161" i="14702" s="1"/>
  <c r="B53" i="14702" a="1"/>
  <c r="G53" i="14702" s="1"/>
  <c r="B54" i="14704"/>
  <c r="S104" i="14702"/>
  <c r="N52" i="14704"/>
  <c r="B62" i="14704" a="1"/>
  <c r="F62" i="14704" s="1"/>
  <c r="J233" i="14698"/>
  <c r="T233" i="14698"/>
  <c r="K251" i="14698"/>
  <c r="E251" i="14698"/>
  <c r="B48" i="14698"/>
  <c r="B251" i="14702" a="1"/>
  <c r="O251" i="14702" s="1"/>
  <c r="P233" i="14698"/>
  <c r="L233" i="14698"/>
  <c r="G251" i="14698"/>
  <c r="Y251" i="14698"/>
  <c r="H48" i="14698"/>
  <c r="N233" i="14698"/>
  <c r="V233" i="14698"/>
  <c r="I251" i="14698"/>
  <c r="C251" i="14698"/>
  <c r="J48" i="14698"/>
  <c r="B50" i="14702" a="1"/>
  <c r="L50" i="14702" s="1"/>
  <c r="G48" i="14698"/>
  <c r="H233" i="14698"/>
  <c r="H251" i="14698"/>
  <c r="B251" i="14698"/>
  <c r="D48" i="14698"/>
  <c r="K48" i="14698"/>
  <c r="G98" i="14643"/>
  <c r="I98" i="14643" s="1"/>
  <c r="S233" i="14698"/>
  <c r="F48" i="14698"/>
  <c r="G97" i="14643"/>
  <c r="I97" i="14643" s="1"/>
  <c r="I233" i="14698"/>
  <c r="K233" i="14698"/>
  <c r="R251" i="14698"/>
  <c r="D251" i="14698"/>
  <c r="I48" i="14698"/>
  <c r="G92" i="14643"/>
  <c r="I92" i="14643" s="1"/>
  <c r="C233" i="14698"/>
  <c r="W233" i="14698"/>
  <c r="O251" i="14698"/>
  <c r="F251" i="14698"/>
  <c r="L48" i="14698"/>
  <c r="J54" i="14704"/>
  <c r="L54" i="14704"/>
  <c r="B48" i="14702" a="1"/>
  <c r="D48" i="14702" s="1"/>
  <c r="R233" i="14698"/>
  <c r="B233" i="14698"/>
  <c r="T251" i="14698"/>
  <c r="P251" i="14698"/>
  <c r="C48" i="14698"/>
  <c r="Q233" i="14698"/>
  <c r="L251" i="14698"/>
  <c r="I54" i="14704"/>
  <c r="B52" i="14702" a="1"/>
  <c r="E52" i="14702" s="1"/>
  <c r="E54" i="14704"/>
  <c r="V104" i="14702"/>
  <c r="M54" i="14704"/>
  <c r="G54" i="14704"/>
  <c r="B233" i="14702" a="1"/>
  <c r="T233" i="14702" s="1"/>
  <c r="F179" i="14698"/>
  <c r="T179" i="14698"/>
  <c r="O161" i="14698"/>
  <c r="G161" i="14698"/>
  <c r="L161" i="14698"/>
  <c r="U161" i="14698"/>
  <c r="K161" i="14698"/>
  <c r="I56" i="14683"/>
  <c r="D161" i="14698"/>
  <c r="S161" i="14698"/>
  <c r="N48" i="14704"/>
  <c r="J161" i="14698"/>
  <c r="I53" i="14683"/>
  <c r="W161" i="14698"/>
  <c r="F161" i="14698"/>
  <c r="N161" i="14698"/>
  <c r="Q161" i="14698"/>
  <c r="M161" i="14698"/>
  <c r="I161" i="14698"/>
  <c r="P161" i="14698"/>
  <c r="N51" i="14704"/>
  <c r="E161" i="14698"/>
  <c r="H161" i="14698"/>
  <c r="Y161" i="14698"/>
  <c r="V161" i="14698"/>
  <c r="B61" i="14704" a="1"/>
  <c r="D61" i="14704" s="1"/>
  <c r="B68" i="14704"/>
  <c r="G99" i="14643"/>
  <c r="I99" i="14643" s="1"/>
  <c r="G93" i="14643"/>
  <c r="G94" i="14643"/>
  <c r="I94" i="14643" s="1"/>
  <c r="I54" i="14683"/>
  <c r="G95" i="14643"/>
  <c r="I95" i="14643" s="1"/>
  <c r="I52" i="14683"/>
  <c r="P178" i="14701"/>
  <c r="B125" i="14700" a="1"/>
  <c r="K125" i="14700" s="1"/>
  <c r="P214" i="14701"/>
  <c r="U178" i="14701"/>
  <c r="R232" i="14701"/>
  <c r="W250" i="14701"/>
  <c r="S232" i="14701"/>
  <c r="U196" i="14701"/>
  <c r="R142" i="14701"/>
  <c r="R160" i="14701"/>
  <c r="T196" i="14701"/>
  <c r="P232" i="14701"/>
  <c r="R104" i="14700"/>
  <c r="S178" i="14701"/>
  <c r="Y104" i="14700"/>
  <c r="I84" i="14643"/>
  <c r="I82" i="14643"/>
  <c r="I80" i="14643"/>
  <c r="I83" i="14643"/>
  <c r="I79" i="14643"/>
  <c r="I86" i="14643"/>
  <c r="I81" i="14643"/>
  <c r="I85" i="14643"/>
  <c r="H87" i="14643"/>
  <c r="G20" i="14643" s="1"/>
  <c r="U102" i="14701"/>
  <c r="U98" i="14701"/>
  <c r="U100" i="14701"/>
  <c r="U101" i="14701"/>
  <c r="U97" i="14701"/>
  <c r="U96" i="14701"/>
  <c r="U99" i="14701"/>
  <c r="U103" i="14701"/>
  <c r="S124" i="14701"/>
  <c r="Q104" i="14700"/>
  <c r="Y124" i="14701"/>
  <c r="Y196" i="14701"/>
  <c r="Q178" i="14701"/>
  <c r="V104" i="14700"/>
  <c r="G57" i="14683"/>
  <c r="H49" i="14683" s="1" a="1"/>
  <c r="T214" i="14701"/>
  <c r="V178" i="14701"/>
  <c r="S214" i="14701"/>
  <c r="S104" i="14700"/>
  <c r="H79" i="14643" a="1"/>
  <c r="W196" i="14701"/>
  <c r="T160" i="14701"/>
  <c r="V98" i="14701"/>
  <c r="V97" i="14701"/>
  <c r="V103" i="14701"/>
  <c r="V96" i="14701"/>
  <c r="V101" i="14701"/>
  <c r="V99" i="14701"/>
  <c r="V95" i="14701"/>
  <c r="V100" i="14701"/>
  <c r="V102" i="14701"/>
  <c r="R214" i="14701"/>
  <c r="S100" i="14701"/>
  <c r="S103" i="14701"/>
  <c r="S102" i="14701"/>
  <c r="S101" i="14701"/>
  <c r="S99" i="14701"/>
  <c r="S98" i="14701"/>
  <c r="X124" i="14701"/>
  <c r="B48" i="14700" a="1"/>
  <c r="B161" i="14700" a="1"/>
  <c r="V196" i="14701"/>
  <c r="Q232" i="14701"/>
  <c r="P142" i="14701"/>
  <c r="T232" i="14701"/>
  <c r="Q142" i="14701"/>
  <c r="W142" i="14701"/>
  <c r="V142" i="14701"/>
  <c r="T104" i="14700"/>
  <c r="B106" i="14702"/>
  <c r="F87" i="14643"/>
  <c r="V160" i="14701"/>
  <c r="X250" i="14701"/>
  <c r="V232" i="14701"/>
  <c r="U160" i="14701"/>
  <c r="B233" i="14700" a="1"/>
  <c r="B52" i="14700" a="1"/>
  <c r="Q196" i="14701"/>
  <c r="J35" i="14683"/>
  <c r="J41" i="14683"/>
  <c r="J40" i="14683"/>
  <c r="J39" i="14683"/>
  <c r="J38" i="14683"/>
  <c r="J34" i="14683"/>
  <c r="J36" i="14683"/>
  <c r="J42" i="14683"/>
  <c r="J37" i="14683"/>
  <c r="P104" i="14700"/>
  <c r="Y92" i="14701"/>
  <c r="Y101" i="14701"/>
  <c r="Y95" i="14701"/>
  <c r="Y103" i="14701"/>
  <c r="Y93" i="14701"/>
  <c r="Y94" i="14701"/>
  <c r="Y98" i="14701"/>
  <c r="Y96" i="14701"/>
  <c r="Y99" i="14701"/>
  <c r="Y102" i="14701"/>
  <c r="Y100" i="14701"/>
  <c r="Y97" i="14701"/>
  <c r="S250" i="14701"/>
  <c r="X104" i="14700"/>
  <c r="P124" i="14701"/>
  <c r="W124" i="14701"/>
  <c r="V250" i="14701"/>
  <c r="B47" i="14700" a="1"/>
  <c r="B143" i="14700" a="1"/>
  <c r="X142" i="14701"/>
  <c r="Q124" i="14701"/>
  <c r="U250" i="14701"/>
  <c r="X232" i="14701"/>
  <c r="T250" i="14701"/>
  <c r="Q214" i="14701"/>
  <c r="V214" i="14701"/>
  <c r="X178" i="14701"/>
  <c r="V124" i="14701"/>
  <c r="W94" i="14701"/>
  <c r="W98" i="14701"/>
  <c r="W99" i="14701"/>
  <c r="W97" i="14701"/>
  <c r="W96" i="14701"/>
  <c r="W100" i="14701"/>
  <c r="W102" i="14701"/>
  <c r="W101" i="14701"/>
  <c r="W103" i="14701"/>
  <c r="W95" i="14701"/>
  <c r="Y232" i="14701"/>
  <c r="R178" i="14701"/>
  <c r="Q102" i="14701"/>
  <c r="Q101" i="14701"/>
  <c r="Q100" i="14701"/>
  <c r="Q103" i="14701"/>
  <c r="R250" i="14701"/>
  <c r="Y142" i="14701"/>
  <c r="P101" i="14701"/>
  <c r="P102" i="14701"/>
  <c r="P103" i="14701"/>
  <c r="R124" i="14701"/>
  <c r="S142" i="14701"/>
  <c r="B51" i="14700" a="1"/>
  <c r="B215" i="14700" a="1"/>
  <c r="T142" i="14701"/>
  <c r="T98" i="14701"/>
  <c r="T97" i="14701"/>
  <c r="T99" i="14701"/>
  <c r="T101" i="14701"/>
  <c r="T103" i="14701"/>
  <c r="T102" i="14701"/>
  <c r="T100" i="14701"/>
  <c r="U124" i="14701"/>
  <c r="R99" i="14701"/>
  <c r="R101" i="14701"/>
  <c r="R103" i="14701"/>
  <c r="R100" i="14701"/>
  <c r="R102" i="14701"/>
  <c r="T178" i="14701"/>
  <c r="B53" i="14700" a="1"/>
  <c r="B251" i="14700" a="1"/>
  <c r="R196" i="14701"/>
  <c r="B49" i="14700" a="1"/>
  <c r="B179" i="14700" a="1"/>
  <c r="U214" i="14701"/>
  <c r="P160" i="14701"/>
  <c r="Y178" i="14701"/>
  <c r="W104" i="14700"/>
  <c r="W178" i="14701"/>
  <c r="W160" i="14701"/>
  <c r="Q250" i="14701"/>
  <c r="X160" i="14701"/>
  <c r="Y250" i="14701"/>
  <c r="T124" i="14701"/>
  <c r="Y160" i="14701"/>
  <c r="Y214" i="14701"/>
  <c r="P250" i="14701"/>
  <c r="P196" i="14701"/>
  <c r="B46" i="14700" a="1"/>
  <c r="X214" i="14701"/>
  <c r="W214" i="14701"/>
  <c r="F94" i="14643"/>
  <c r="F93" i="14643"/>
  <c r="F96" i="14643"/>
  <c r="F98" i="14643"/>
  <c r="F99" i="14643"/>
  <c r="F97" i="14643"/>
  <c r="F95" i="14643"/>
  <c r="F92" i="14643"/>
  <c r="S196" i="14701"/>
  <c r="B50" i="14700" a="1"/>
  <c r="B197" i="14700" a="1"/>
  <c r="X98" i="14701"/>
  <c r="X103" i="14701"/>
  <c r="X102" i="14701"/>
  <c r="X96" i="14701"/>
  <c r="X97" i="14701"/>
  <c r="X95" i="14701"/>
  <c r="X100" i="14701"/>
  <c r="X94" i="14701"/>
  <c r="X99" i="14701"/>
  <c r="X101" i="14701"/>
  <c r="X93" i="14701"/>
  <c r="U142" i="14701"/>
  <c r="X196" i="14701"/>
  <c r="U232" i="14701"/>
  <c r="S160" i="14701"/>
  <c r="W232" i="14701"/>
  <c r="Q160" i="14701"/>
  <c r="U104" i="14700"/>
  <c r="G11" i="14674"/>
  <c r="E11" i="14674"/>
  <c r="N11" i="14674"/>
  <c r="C11" i="14674"/>
  <c r="L11" i="14674"/>
  <c r="J11" i="14674"/>
  <c r="H11" i="14674"/>
  <c r="F11" i="14674"/>
  <c r="D11" i="14674"/>
  <c r="O11" i="14674"/>
  <c r="M11" i="14674"/>
  <c r="K11" i="14674"/>
  <c r="J66" i="14704"/>
  <c r="H66" i="14704"/>
  <c r="C66" i="14704"/>
  <c r="B66" i="14704"/>
  <c r="E66" i="14704"/>
  <c r="F66" i="14704"/>
  <c r="M66" i="14704"/>
  <c r="K66" i="14704"/>
  <c r="L66" i="14704"/>
  <c r="D66" i="14704"/>
  <c r="G66" i="14704"/>
  <c r="I66" i="14704"/>
  <c r="P47" i="14623"/>
  <c r="L47" i="14623"/>
  <c r="L64" i="14704"/>
  <c r="E47" i="14623"/>
  <c r="I60" i="14704"/>
  <c r="D60" i="14704"/>
  <c r="B60" i="14704"/>
  <c r="G60" i="14704"/>
  <c r="M60" i="14704"/>
  <c r="F60" i="14704"/>
  <c r="C60" i="14704"/>
  <c r="H60" i="14704"/>
  <c r="J60" i="14704"/>
  <c r="L60" i="14704"/>
  <c r="K60" i="14704"/>
  <c r="E60" i="14704"/>
  <c r="C29" i="14682"/>
  <c r="C31" i="14682"/>
  <c r="C33" i="14682"/>
  <c r="C35" i="14682"/>
  <c r="C37" i="14682"/>
  <c r="C39" i="14682"/>
  <c r="C41" i="14682"/>
  <c r="C43" i="14682"/>
  <c r="C45" i="14682"/>
  <c r="C47" i="14682"/>
  <c r="C49" i="14682"/>
  <c r="C30" i="14682"/>
  <c r="C32" i="14682"/>
  <c r="C34" i="14682"/>
  <c r="C36" i="14682"/>
  <c r="C38" i="14682"/>
  <c r="C40" i="14682"/>
  <c r="C42" i="14682"/>
  <c r="C44" i="14682"/>
  <c r="C46" i="14682"/>
  <c r="C48" i="14682"/>
  <c r="C50" i="14682"/>
  <c r="D12" i="14628"/>
  <c r="F12" i="14628"/>
  <c r="H12" i="14628"/>
  <c r="J12" i="14628"/>
  <c r="L12" i="14628"/>
  <c r="N12" i="14628"/>
  <c r="C12" i="14628"/>
  <c r="E12" i="14628"/>
  <c r="G12" i="14628"/>
  <c r="I12" i="14628"/>
  <c r="K12" i="14628"/>
  <c r="M12" i="14628"/>
  <c r="D15" i="14657"/>
  <c r="O41" i="14675"/>
  <c r="O42" i="14675" s="1"/>
  <c r="C11" i="14675" s="1" a="1"/>
  <c r="N7" i="14671"/>
  <c r="D100" i="14643"/>
  <c r="E15" i="14643"/>
  <c r="F15" i="14643"/>
  <c r="G15" i="14643"/>
  <c r="H15" i="14643"/>
  <c r="N15" i="14617"/>
  <c r="G35" i="4128"/>
  <c r="B39" i="14649" s="1" a="1"/>
  <c r="O5" i="14617"/>
  <c r="F6" i="14677"/>
  <c r="C6" i="14677"/>
  <c r="E6" i="14677"/>
  <c r="H6" i="14677"/>
  <c r="I6" i="14677"/>
  <c r="J6" i="14677"/>
  <c r="G6" i="14677"/>
  <c r="M6" i="14677"/>
  <c r="N6" i="14677"/>
  <c r="K6" i="14677"/>
  <c r="L6" i="14677"/>
  <c r="D6" i="14677"/>
  <c r="N11" i="14706"/>
  <c r="N17" i="14667"/>
  <c r="X22" i="14655"/>
  <c r="N14" i="14707"/>
  <c r="N20" i="14707" s="1"/>
  <c r="O7" i="14677"/>
  <c r="N12" i="14706"/>
  <c r="N16" i="14667"/>
  <c r="G23" i="4128" s="1"/>
  <c r="I96" i="14643"/>
  <c r="H100" i="14643"/>
  <c r="H20" i="14643" s="1"/>
  <c r="M7" i="14617"/>
  <c r="E78" i="14648"/>
  <c r="K78" i="14648"/>
  <c r="M78" i="14648"/>
  <c r="N78" i="14648"/>
  <c r="J78" i="14648"/>
  <c r="G78" i="14648"/>
  <c r="F78" i="14648"/>
  <c r="C78" i="14648"/>
  <c r="I78" i="14648"/>
  <c r="L78" i="14648"/>
  <c r="H78" i="14648"/>
  <c r="D78" i="14648"/>
  <c r="L6" i="14634"/>
  <c r="B52" i="14632"/>
  <c r="M6" i="14634"/>
  <c r="G6" i="14634"/>
  <c r="D6" i="14634"/>
  <c r="K6" i="14634"/>
  <c r="I6" i="14634"/>
  <c r="J6" i="14634"/>
  <c r="C6" i="14634"/>
  <c r="F6" i="14634"/>
  <c r="E6" i="14634"/>
  <c r="N6" i="14634"/>
  <c r="C51" i="14632"/>
  <c r="D54" i="14632"/>
  <c r="C52" i="14632"/>
  <c r="C53" i="14632"/>
  <c r="B50" i="14632"/>
  <c r="B53" i="14632"/>
  <c r="C54" i="14632"/>
  <c r="B49" i="14632"/>
  <c r="B54" i="14632"/>
  <c r="S57" i="14623"/>
  <c r="F30" i="14706" s="1"/>
  <c r="F54" i="14632"/>
  <c r="E54" i="14632"/>
  <c r="C15" i="14625" a="1"/>
  <c r="H15" i="14625" s="1"/>
  <c r="D53" i="14632"/>
  <c r="D52" i="14632"/>
  <c r="E52" i="14632"/>
  <c r="F40" i="14622"/>
  <c r="N15" i="14667" s="1"/>
  <c r="G16" i="4128" s="1"/>
  <c r="F16" i="4128"/>
  <c r="A18" i="14652"/>
  <c r="B18" i="14652"/>
  <c r="C18" i="14652"/>
  <c r="G47" i="14632"/>
  <c r="C47" i="14632"/>
  <c r="S47" i="14632"/>
  <c r="P47" i="14632"/>
  <c r="R47" i="14632"/>
  <c r="M47" i="14632"/>
  <c r="L47" i="14632"/>
  <c r="K47" i="14632"/>
  <c r="I47" i="14632"/>
  <c r="J47" i="14632"/>
  <c r="F47" i="14632"/>
  <c r="E47" i="14632"/>
  <c r="O47" i="14632"/>
  <c r="Q47" i="14632"/>
  <c r="H47" i="14632"/>
  <c r="D47" i="14632"/>
  <c r="B47" i="14632"/>
  <c r="N47" i="14632"/>
  <c r="N91" i="14645"/>
  <c r="A91" i="14645"/>
  <c r="G91" i="14645"/>
  <c r="E91" i="14645"/>
  <c r="K91" i="14645"/>
  <c r="I91" i="14645"/>
  <c r="C91" i="14645"/>
  <c r="M91" i="14645"/>
  <c r="L91" i="14645"/>
  <c r="H91" i="14645"/>
  <c r="D91" i="14645"/>
  <c r="B91" i="14645"/>
  <c r="F91" i="14645"/>
  <c r="J91" i="14645"/>
  <c r="M47" i="14638"/>
  <c r="L47" i="14638"/>
  <c r="O47" i="14638"/>
  <c r="G47" i="14638"/>
  <c r="C47" i="14638"/>
  <c r="K47" i="14638"/>
  <c r="F47" i="14638"/>
  <c r="D47" i="14638"/>
  <c r="H47" i="14638"/>
  <c r="N47" i="14638"/>
  <c r="B47" i="14638"/>
  <c r="E47" i="14638"/>
  <c r="R47" i="14638"/>
  <c r="J47" i="14638"/>
  <c r="S47" i="14638"/>
  <c r="Q47" i="14638"/>
  <c r="P47" i="14638"/>
  <c r="I47" i="14638"/>
  <c r="B86" i="14649"/>
  <c r="B84" i="14649"/>
  <c r="B85" i="14649"/>
  <c r="B83" i="14649"/>
  <c r="B87" i="14649"/>
  <c r="A73" i="14684"/>
  <c r="A72" i="14684"/>
  <c r="A74" i="14684"/>
  <c r="A70" i="14684"/>
  <c r="A71" i="14684"/>
  <c r="B95" i="14649"/>
  <c r="B92" i="14649"/>
  <c r="B93" i="14649"/>
  <c r="B96" i="14649"/>
  <c r="B94" i="14649"/>
  <c r="N101" i="14645"/>
  <c r="A101" i="14645"/>
  <c r="C101" i="14645"/>
  <c r="M101" i="14645"/>
  <c r="L101" i="14645"/>
  <c r="H101" i="14645"/>
  <c r="D101" i="14645"/>
  <c r="B101" i="14645"/>
  <c r="F101" i="14645"/>
  <c r="J101" i="14645"/>
  <c r="G101" i="14645"/>
  <c r="E101" i="14645"/>
  <c r="K101" i="14645"/>
  <c r="I101" i="14645"/>
  <c r="D13" i="14690" a="1"/>
  <c r="B77" i="14649"/>
  <c r="B75" i="14649"/>
  <c r="B74" i="14649"/>
  <c r="B76" i="14649"/>
  <c r="B78" i="14649"/>
  <c r="A56" i="14649"/>
  <c r="A57" i="14649"/>
  <c r="A60" i="14649"/>
  <c r="A58" i="14649"/>
  <c r="A59" i="14649"/>
  <c r="A66" i="14684"/>
  <c r="A67" i="14684"/>
  <c r="A64" i="14684"/>
  <c r="A65" i="14684"/>
  <c r="A63" i="14684"/>
  <c r="B14" i="14693" a="1"/>
  <c r="B7" i="14693" a="1"/>
  <c r="J64" i="14704" l="1"/>
  <c r="G59" i="14704"/>
  <c r="C53" i="14702"/>
  <c r="F51" i="14702"/>
  <c r="F64" i="14704"/>
  <c r="O161" i="14702"/>
  <c r="M64" i="14704"/>
  <c r="C64" i="14704"/>
  <c r="B64" i="14704"/>
  <c r="E64" i="14704"/>
  <c r="I64" i="14704"/>
  <c r="K64" i="14704"/>
  <c r="H64" i="14704"/>
  <c r="G64" i="14704"/>
  <c r="I53" i="14702"/>
  <c r="K59" i="14704"/>
  <c r="B59" i="14704"/>
  <c r="F59" i="14704"/>
  <c r="N51" i="14698"/>
  <c r="I59" i="14704"/>
  <c r="L59" i="14704"/>
  <c r="D59" i="14704"/>
  <c r="H59" i="14704"/>
  <c r="E59" i="14704"/>
  <c r="M59" i="14704"/>
  <c r="C59" i="14704"/>
  <c r="B179" i="14702"/>
  <c r="N179" i="14702"/>
  <c r="B63" i="14698" a="1"/>
  <c r="D63" i="14698" s="1"/>
  <c r="M53" i="14702"/>
  <c r="F53" i="14702"/>
  <c r="B53" i="14702"/>
  <c r="E53" i="14702"/>
  <c r="L53" i="14702"/>
  <c r="E61" i="14704"/>
  <c r="U197" i="14702"/>
  <c r="N197" i="14702"/>
  <c r="O63" i="14648"/>
  <c r="J51" i="14702"/>
  <c r="B59" i="14698" a="1"/>
  <c r="G59" i="14698" s="1"/>
  <c r="O6" i="14676"/>
  <c r="K51" i="14702"/>
  <c r="D51" i="14702"/>
  <c r="E251" i="14702"/>
  <c r="C51" i="14702"/>
  <c r="G51" i="14702"/>
  <c r="B51" i="14702"/>
  <c r="L51" i="14702"/>
  <c r="I49" i="14702"/>
  <c r="I51" i="14702"/>
  <c r="H51" i="14702"/>
  <c r="K49" i="14702"/>
  <c r="M51" i="14702"/>
  <c r="J49" i="14702"/>
  <c r="P143" i="14702"/>
  <c r="B47" i="14702"/>
  <c r="N52" i="14698"/>
  <c r="N161" i="14702"/>
  <c r="P233" i="14702"/>
  <c r="Y233" i="14702"/>
  <c r="V161" i="14702"/>
  <c r="M161" i="14702"/>
  <c r="Q161" i="14702"/>
  <c r="D161" i="14702"/>
  <c r="D233" i="14702"/>
  <c r="H161" i="14702"/>
  <c r="F233" i="14702"/>
  <c r="T161" i="14702"/>
  <c r="N233" i="14702"/>
  <c r="Y161" i="14702"/>
  <c r="S233" i="14702"/>
  <c r="W161" i="14702"/>
  <c r="H233" i="14702"/>
  <c r="L161" i="14702"/>
  <c r="L233" i="14702"/>
  <c r="E161" i="14702"/>
  <c r="R233" i="14702"/>
  <c r="R143" i="14702"/>
  <c r="D143" i="14702"/>
  <c r="H143" i="14702"/>
  <c r="I143" i="14702"/>
  <c r="M143" i="14702"/>
  <c r="N143" i="14702"/>
  <c r="M215" i="14702"/>
  <c r="H53" i="14702"/>
  <c r="X215" i="14702"/>
  <c r="P215" i="14702"/>
  <c r="K62" i="14704"/>
  <c r="R215" i="14702"/>
  <c r="V233" i="14702"/>
  <c r="D53" i="14702"/>
  <c r="J53" i="14702"/>
  <c r="K53" i="14702"/>
  <c r="H197" i="14702"/>
  <c r="B197" i="14702"/>
  <c r="F47" i="14702"/>
  <c r="I197" i="14702"/>
  <c r="I61" i="14704"/>
  <c r="T197" i="14702"/>
  <c r="C197" i="14702"/>
  <c r="X197" i="14702"/>
  <c r="P197" i="14702"/>
  <c r="F61" i="14704"/>
  <c r="G197" i="14702"/>
  <c r="F197" i="14702"/>
  <c r="K197" i="14702"/>
  <c r="M61" i="14704"/>
  <c r="D197" i="14702"/>
  <c r="V197" i="14702"/>
  <c r="J61" i="14704"/>
  <c r="Q197" i="14702"/>
  <c r="W197" i="14702"/>
  <c r="Y197" i="14702"/>
  <c r="R197" i="14702"/>
  <c r="J197" i="14702"/>
  <c r="L197" i="14702"/>
  <c r="E197" i="14702"/>
  <c r="M197" i="14702"/>
  <c r="D47" i="14702"/>
  <c r="O197" i="14702"/>
  <c r="I47" i="14702"/>
  <c r="J179" i="14702"/>
  <c r="T179" i="14702"/>
  <c r="E63" i="14704"/>
  <c r="F179" i="14702"/>
  <c r="E179" i="14702"/>
  <c r="B63" i="14704"/>
  <c r="K179" i="14702"/>
  <c r="W179" i="14702"/>
  <c r="C63" i="14704"/>
  <c r="O179" i="14702"/>
  <c r="G179" i="14702"/>
  <c r="V143" i="14702"/>
  <c r="C179" i="14702"/>
  <c r="D179" i="14702"/>
  <c r="T143" i="14702"/>
  <c r="F63" i="14704"/>
  <c r="L179" i="14702"/>
  <c r="R179" i="14702"/>
  <c r="G143" i="14702"/>
  <c r="H63" i="14704"/>
  <c r="V179" i="14702"/>
  <c r="I179" i="14702"/>
  <c r="K63" i="14704"/>
  <c r="S179" i="14702"/>
  <c r="Y179" i="14702"/>
  <c r="D63" i="14704"/>
  <c r="X179" i="14702"/>
  <c r="Q179" i="14702"/>
  <c r="Y251" i="14702"/>
  <c r="S143" i="14702"/>
  <c r="Y143" i="14702"/>
  <c r="M63" i="14704"/>
  <c r="B64" i="14698" a="1"/>
  <c r="L64" i="14698" s="1"/>
  <c r="B60" i="14698" a="1"/>
  <c r="G60" i="14698" s="1"/>
  <c r="H179" i="14702"/>
  <c r="M179" i="14702"/>
  <c r="N251" i="14702"/>
  <c r="E143" i="14702"/>
  <c r="G63" i="14704"/>
  <c r="U179" i="14702"/>
  <c r="U143" i="14702"/>
  <c r="L63" i="14704"/>
  <c r="Q143" i="14702"/>
  <c r="O143" i="14702"/>
  <c r="L143" i="14702"/>
  <c r="W143" i="14702"/>
  <c r="C143" i="14702"/>
  <c r="X143" i="14702"/>
  <c r="B143" i="14702"/>
  <c r="K143" i="14702"/>
  <c r="J143" i="14702"/>
  <c r="J54" i="14698"/>
  <c r="F49" i="14702"/>
  <c r="I161" i="14702"/>
  <c r="B161" i="14702"/>
  <c r="M233" i="14702"/>
  <c r="X233" i="14702"/>
  <c r="E49" i="14702"/>
  <c r="N49" i="14698"/>
  <c r="S161" i="14702"/>
  <c r="J161" i="14702"/>
  <c r="W233" i="14702"/>
  <c r="G233" i="14702"/>
  <c r="K65" i="14704"/>
  <c r="G49" i="14702"/>
  <c r="C161" i="14702"/>
  <c r="K161" i="14702"/>
  <c r="B233" i="14702"/>
  <c r="Q233" i="14702"/>
  <c r="C50" i="14702"/>
  <c r="J233" i="14702"/>
  <c r="I233" i="14702"/>
  <c r="C125" i="14702"/>
  <c r="L49" i="14702"/>
  <c r="F161" i="14702"/>
  <c r="R161" i="14702"/>
  <c r="K233" i="14702"/>
  <c r="C233" i="14702"/>
  <c r="X125" i="14702"/>
  <c r="B49" i="14702"/>
  <c r="U161" i="14702"/>
  <c r="X161" i="14702"/>
  <c r="E233" i="14702"/>
  <c r="U233" i="14702"/>
  <c r="P125" i="14702"/>
  <c r="D49" i="14702"/>
  <c r="H49" i="14702"/>
  <c r="B62" i="14698" a="1"/>
  <c r="D62" i="14698" s="1"/>
  <c r="G161" i="14702"/>
  <c r="O233" i="14702"/>
  <c r="J46" i="14702"/>
  <c r="M49" i="14702"/>
  <c r="H65" i="14704"/>
  <c r="S215" i="14702"/>
  <c r="D215" i="14702"/>
  <c r="D125" i="14702"/>
  <c r="F65" i="14704"/>
  <c r="E215" i="14702"/>
  <c r="G215" i="14702"/>
  <c r="J62" i="14704"/>
  <c r="B125" i="14702"/>
  <c r="D46" i="14702"/>
  <c r="I65" i="14704"/>
  <c r="M54" i="14698"/>
  <c r="O215" i="14702"/>
  <c r="F215" i="14702"/>
  <c r="L62" i="14704"/>
  <c r="W125" i="14702"/>
  <c r="F46" i="14702"/>
  <c r="G65" i="14704"/>
  <c r="I215" i="14702"/>
  <c r="U215" i="14702"/>
  <c r="E62" i="14704"/>
  <c r="J125" i="14702"/>
  <c r="G46" i="14702"/>
  <c r="M65" i="14704"/>
  <c r="N47" i="14698"/>
  <c r="N50" i="14698"/>
  <c r="B215" i="14702"/>
  <c r="Q215" i="14702"/>
  <c r="D62" i="14704"/>
  <c r="R125" i="14702"/>
  <c r="I46" i="14702"/>
  <c r="C65" i="14704"/>
  <c r="I54" i="14698"/>
  <c r="H215" i="14702"/>
  <c r="N215" i="14702"/>
  <c r="H62" i="14704"/>
  <c r="H125" i="14702"/>
  <c r="K46" i="14702"/>
  <c r="E65" i="14704"/>
  <c r="C215" i="14702"/>
  <c r="L215" i="14702"/>
  <c r="B62" i="14704"/>
  <c r="Q125" i="14702"/>
  <c r="L65" i="14704"/>
  <c r="E54" i="14698"/>
  <c r="K215" i="14702"/>
  <c r="T215" i="14702"/>
  <c r="M62" i="14704"/>
  <c r="K125" i="14702"/>
  <c r="J215" i="14702"/>
  <c r="Y215" i="14702"/>
  <c r="C62" i="14704"/>
  <c r="I125" i="14702"/>
  <c r="W215" i="14702"/>
  <c r="I62" i="14704"/>
  <c r="E125" i="14702"/>
  <c r="F125" i="14702"/>
  <c r="I63" i="14704"/>
  <c r="J47" i="14702"/>
  <c r="B61" i="14704"/>
  <c r="L47" i="14702"/>
  <c r="H61" i="14704"/>
  <c r="C47" i="14702"/>
  <c r="G61" i="14704"/>
  <c r="M47" i="14702"/>
  <c r="K61" i="14704"/>
  <c r="E47" i="14702"/>
  <c r="G54" i="14698"/>
  <c r="L61" i="14704"/>
  <c r="H47" i="14702"/>
  <c r="C61" i="14704"/>
  <c r="G47" i="14702"/>
  <c r="H48" i="14702"/>
  <c r="L54" i="14698"/>
  <c r="F54" i="14698"/>
  <c r="N46" i="14698"/>
  <c r="B52" i="14702"/>
  <c r="T125" i="14702"/>
  <c r="Y125" i="14702"/>
  <c r="E46" i="14702"/>
  <c r="V125" i="14702"/>
  <c r="O125" i="14702"/>
  <c r="C46" i="14702"/>
  <c r="K54" i="14698"/>
  <c r="H54" i="14698"/>
  <c r="G125" i="14702"/>
  <c r="M125" i="14702"/>
  <c r="M46" i="14702"/>
  <c r="C54" i="14698"/>
  <c r="U125" i="14702"/>
  <c r="N125" i="14702"/>
  <c r="S125" i="14702"/>
  <c r="L46" i="14702"/>
  <c r="B46" i="14702"/>
  <c r="I52" i="14702"/>
  <c r="G62" i="14704"/>
  <c r="B65" i="14704"/>
  <c r="D54" i="14698"/>
  <c r="J65" i="14704"/>
  <c r="S251" i="14702"/>
  <c r="R251" i="14702"/>
  <c r="T251" i="14702"/>
  <c r="U251" i="14702"/>
  <c r="J251" i="14702"/>
  <c r="F251" i="14702"/>
  <c r="C251" i="14702"/>
  <c r="W251" i="14702"/>
  <c r="Q251" i="14702"/>
  <c r="L251" i="14702"/>
  <c r="V251" i="14702"/>
  <c r="P251" i="14702"/>
  <c r="I251" i="14702"/>
  <c r="B251" i="14702"/>
  <c r="G251" i="14702"/>
  <c r="N53" i="14698"/>
  <c r="F52" i="14702"/>
  <c r="X251" i="14702"/>
  <c r="H251" i="14702"/>
  <c r="B54" i="14698"/>
  <c r="K251" i="14702"/>
  <c r="D251" i="14702"/>
  <c r="M251" i="14702"/>
  <c r="B66" i="14698" a="1"/>
  <c r="M66" i="14698" s="1"/>
  <c r="N54" i="14704"/>
  <c r="B65" i="14698" a="1"/>
  <c r="E65" i="14698" s="1"/>
  <c r="G52" i="14702"/>
  <c r="M52" i="14702"/>
  <c r="G50" i="14702"/>
  <c r="B50" i="14702"/>
  <c r="J52" i="14702"/>
  <c r="M50" i="14702"/>
  <c r="I48" i="14702"/>
  <c r="G48" i="14702"/>
  <c r="K50" i="14702"/>
  <c r="D52" i="14702"/>
  <c r="C48" i="14702"/>
  <c r="D50" i="14702"/>
  <c r="H52" i="14702"/>
  <c r="B48" i="14702"/>
  <c r="H50" i="14702"/>
  <c r="J48" i="14702"/>
  <c r="E50" i="14702"/>
  <c r="K52" i="14702"/>
  <c r="M48" i="14702"/>
  <c r="N48" i="14698"/>
  <c r="I50" i="14702"/>
  <c r="L52" i="14702"/>
  <c r="F48" i="14702"/>
  <c r="J50" i="14702"/>
  <c r="C52" i="14702"/>
  <c r="E48" i="14702"/>
  <c r="I57" i="14683"/>
  <c r="J49" i="14683" s="1" a="1"/>
  <c r="J50" i="14683" s="1"/>
  <c r="F50" i="14702"/>
  <c r="K48" i="14702"/>
  <c r="L48" i="14702"/>
  <c r="H92" i="14643" a="1"/>
  <c r="H94" i="14643" s="1"/>
  <c r="B68" i="14698"/>
  <c r="B61" i="14698" a="1"/>
  <c r="K61" i="14698" s="1"/>
  <c r="I93" i="14643"/>
  <c r="I100" i="14643" s="1"/>
  <c r="R125" i="14700"/>
  <c r="S125" i="14700"/>
  <c r="C125" i="14700"/>
  <c r="M125" i="14700"/>
  <c r="U125" i="14700"/>
  <c r="D125" i="14700"/>
  <c r="H125" i="14700"/>
  <c r="W125" i="14700"/>
  <c r="X125" i="14700"/>
  <c r="B125" i="14700"/>
  <c r="N125" i="14700"/>
  <c r="F125" i="14700"/>
  <c r="J125" i="14700"/>
  <c r="E125" i="14700"/>
  <c r="L125" i="14700"/>
  <c r="T125" i="14700"/>
  <c r="I125" i="14700"/>
  <c r="V125" i="14700"/>
  <c r="Q125" i="14700"/>
  <c r="P104" i="14701"/>
  <c r="O125" i="14700"/>
  <c r="P125" i="14700"/>
  <c r="B215" i="14701" a="1"/>
  <c r="X215" i="14701" s="1"/>
  <c r="W104" i="14701"/>
  <c r="B51" i="14701" a="1"/>
  <c r="I51" i="14701" s="1"/>
  <c r="I87" i="14643"/>
  <c r="Y125" i="14700"/>
  <c r="G125" i="14700"/>
  <c r="S104" i="14701"/>
  <c r="H56" i="14683"/>
  <c r="H53" i="14683"/>
  <c r="H55" i="14683"/>
  <c r="H57" i="14683"/>
  <c r="H50" i="14683"/>
  <c r="H49" i="14683"/>
  <c r="H54" i="14683"/>
  <c r="H51" i="14683"/>
  <c r="H52" i="14683"/>
  <c r="O179" i="14700"/>
  <c r="E179" i="14700"/>
  <c r="X179" i="14700"/>
  <c r="J179" i="14700"/>
  <c r="I179" i="14700"/>
  <c r="N179" i="14700"/>
  <c r="S179" i="14700"/>
  <c r="D179" i="14700"/>
  <c r="Q179" i="14700"/>
  <c r="F179" i="14700"/>
  <c r="B179" i="14700"/>
  <c r="C179" i="14700"/>
  <c r="G179" i="14700"/>
  <c r="T179" i="14700"/>
  <c r="Y179" i="14700"/>
  <c r="K179" i="14700"/>
  <c r="M179" i="14700"/>
  <c r="W179" i="14700"/>
  <c r="H179" i="14700"/>
  <c r="R179" i="14700"/>
  <c r="P179" i="14700"/>
  <c r="U179" i="14700"/>
  <c r="L179" i="14700"/>
  <c r="V179" i="14700"/>
  <c r="I49" i="14700"/>
  <c r="G49" i="14700"/>
  <c r="L49" i="14700"/>
  <c r="E49" i="14700"/>
  <c r="M49" i="14700"/>
  <c r="F49" i="14700"/>
  <c r="B49" i="14700"/>
  <c r="H49" i="14700"/>
  <c r="K49" i="14700"/>
  <c r="C49" i="14700"/>
  <c r="J49" i="14700"/>
  <c r="D49" i="14700"/>
  <c r="Y104" i="14701"/>
  <c r="J52" i="14700"/>
  <c r="H52" i="14700"/>
  <c r="L52" i="14700"/>
  <c r="F52" i="14700"/>
  <c r="I52" i="14700"/>
  <c r="M52" i="14700"/>
  <c r="G52" i="14700"/>
  <c r="B52" i="14700"/>
  <c r="K52" i="14700"/>
  <c r="E52" i="14700"/>
  <c r="D52" i="14700"/>
  <c r="C52" i="14700"/>
  <c r="D233" i="14700"/>
  <c r="G233" i="14700"/>
  <c r="X233" i="14700"/>
  <c r="Y233" i="14700"/>
  <c r="W233" i="14700"/>
  <c r="U233" i="14700"/>
  <c r="N233" i="14700"/>
  <c r="J233" i="14700"/>
  <c r="H233" i="14700"/>
  <c r="P233" i="14700"/>
  <c r="L233" i="14700"/>
  <c r="C233" i="14700"/>
  <c r="S233" i="14700"/>
  <c r="T233" i="14700"/>
  <c r="F233" i="14700"/>
  <c r="Q233" i="14700"/>
  <c r="K233" i="14700"/>
  <c r="R233" i="14700"/>
  <c r="E233" i="14700"/>
  <c r="B233" i="14700"/>
  <c r="V233" i="14700"/>
  <c r="I233" i="14700"/>
  <c r="M233" i="14700"/>
  <c r="O233" i="14700"/>
  <c r="B143" i="14701" a="1"/>
  <c r="B47" i="14701" a="1"/>
  <c r="H82" i="14643"/>
  <c r="H81" i="14643"/>
  <c r="H86" i="14643"/>
  <c r="H79" i="14643"/>
  <c r="H85" i="14643"/>
  <c r="H84" i="14643"/>
  <c r="H80" i="14643"/>
  <c r="H83" i="14643"/>
  <c r="E251" i="14700"/>
  <c r="G251" i="14700"/>
  <c r="V251" i="14700"/>
  <c r="L251" i="14700"/>
  <c r="U251" i="14700"/>
  <c r="S251" i="14700"/>
  <c r="R251" i="14700"/>
  <c r="K251" i="14700"/>
  <c r="M251" i="14700"/>
  <c r="Y251" i="14700"/>
  <c r="T251" i="14700"/>
  <c r="O251" i="14700"/>
  <c r="W251" i="14700"/>
  <c r="I251" i="14700"/>
  <c r="C251" i="14700"/>
  <c r="P251" i="14700"/>
  <c r="J251" i="14700"/>
  <c r="N251" i="14700"/>
  <c r="Q251" i="14700"/>
  <c r="X251" i="14700"/>
  <c r="B251" i="14700"/>
  <c r="H251" i="14700"/>
  <c r="D251" i="14700"/>
  <c r="F251" i="14700"/>
  <c r="B52" i="14701" a="1"/>
  <c r="B233" i="14701" a="1"/>
  <c r="M53" i="14700"/>
  <c r="D53" i="14700"/>
  <c r="G53" i="14700"/>
  <c r="H53" i="14700"/>
  <c r="F53" i="14700"/>
  <c r="K53" i="14700"/>
  <c r="I53" i="14700"/>
  <c r="E53" i="14700"/>
  <c r="J53" i="14700"/>
  <c r="C53" i="14700"/>
  <c r="L53" i="14700"/>
  <c r="B53" i="14700"/>
  <c r="U104" i="14701"/>
  <c r="T104" i="14701"/>
  <c r="W161" i="14700"/>
  <c r="O161" i="14700"/>
  <c r="D161" i="14700"/>
  <c r="T161" i="14700"/>
  <c r="X161" i="14700"/>
  <c r="F161" i="14700"/>
  <c r="N161" i="14700"/>
  <c r="R161" i="14700"/>
  <c r="M161" i="14700"/>
  <c r="K161" i="14700"/>
  <c r="P161" i="14700"/>
  <c r="V161" i="14700"/>
  <c r="J161" i="14700"/>
  <c r="S161" i="14700"/>
  <c r="G161" i="14700"/>
  <c r="U161" i="14700"/>
  <c r="I161" i="14700"/>
  <c r="C161" i="14700"/>
  <c r="E161" i="14700"/>
  <c r="H161" i="14700"/>
  <c r="B161" i="14700"/>
  <c r="L161" i="14700"/>
  <c r="Y161" i="14700"/>
  <c r="Q161" i="14700"/>
  <c r="V104" i="14701"/>
  <c r="R197" i="14700"/>
  <c r="T197" i="14700"/>
  <c r="M197" i="14700"/>
  <c r="N197" i="14700"/>
  <c r="C197" i="14700"/>
  <c r="I197" i="14700"/>
  <c r="O197" i="14700"/>
  <c r="V197" i="14700"/>
  <c r="Y197" i="14700"/>
  <c r="H197" i="14700"/>
  <c r="U197" i="14700"/>
  <c r="Q197" i="14700"/>
  <c r="E197" i="14700"/>
  <c r="W197" i="14700"/>
  <c r="P197" i="14700"/>
  <c r="J197" i="14700"/>
  <c r="S197" i="14700"/>
  <c r="G197" i="14700"/>
  <c r="X197" i="14700"/>
  <c r="F197" i="14700"/>
  <c r="D197" i="14700"/>
  <c r="B197" i="14700"/>
  <c r="K197" i="14700"/>
  <c r="L197" i="14700"/>
  <c r="Q104" i="14701"/>
  <c r="C143" i="14700"/>
  <c r="R143" i="14700"/>
  <c r="L143" i="14700"/>
  <c r="O143" i="14700"/>
  <c r="T143" i="14700"/>
  <c r="S143" i="14700"/>
  <c r="W143" i="14700"/>
  <c r="K143" i="14700"/>
  <c r="Q143" i="14700"/>
  <c r="I143" i="14700"/>
  <c r="G143" i="14700"/>
  <c r="B143" i="14700"/>
  <c r="Y143" i="14700"/>
  <c r="M143" i="14700"/>
  <c r="F143" i="14700"/>
  <c r="U143" i="14700"/>
  <c r="D143" i="14700"/>
  <c r="H143" i="14700"/>
  <c r="E143" i="14700"/>
  <c r="X143" i="14700"/>
  <c r="J143" i="14700"/>
  <c r="V143" i="14700"/>
  <c r="P143" i="14700"/>
  <c r="N143" i="14700"/>
  <c r="E48" i="14700"/>
  <c r="I48" i="14700"/>
  <c r="J48" i="14700"/>
  <c r="G48" i="14700"/>
  <c r="H48" i="14700"/>
  <c r="M48" i="14700"/>
  <c r="K48" i="14700"/>
  <c r="F48" i="14700"/>
  <c r="L48" i="14700"/>
  <c r="D48" i="14700"/>
  <c r="B48" i="14700"/>
  <c r="C48" i="14700"/>
  <c r="L47" i="14700"/>
  <c r="M47" i="14700"/>
  <c r="H47" i="14700"/>
  <c r="D47" i="14700"/>
  <c r="C47" i="14700"/>
  <c r="G47" i="14700"/>
  <c r="F47" i="14700"/>
  <c r="I47" i="14700"/>
  <c r="B47" i="14700"/>
  <c r="J47" i="14700"/>
  <c r="E47" i="14700"/>
  <c r="K47" i="14700"/>
  <c r="O215" i="14700"/>
  <c r="I215" i="14700"/>
  <c r="J215" i="14700"/>
  <c r="G215" i="14700"/>
  <c r="N215" i="14700"/>
  <c r="M215" i="14700"/>
  <c r="P215" i="14700"/>
  <c r="U215" i="14700"/>
  <c r="X215" i="14700"/>
  <c r="D215" i="14700"/>
  <c r="K215" i="14700"/>
  <c r="W215" i="14700"/>
  <c r="L215" i="14700"/>
  <c r="V215" i="14700"/>
  <c r="C215" i="14700"/>
  <c r="Y215" i="14700"/>
  <c r="T215" i="14700"/>
  <c r="H215" i="14700"/>
  <c r="S215" i="14700"/>
  <c r="E215" i="14700"/>
  <c r="F215" i="14700"/>
  <c r="B215" i="14700"/>
  <c r="Q215" i="14700"/>
  <c r="R215" i="14700"/>
  <c r="X104" i="14701"/>
  <c r="F50" i="14700"/>
  <c r="L50" i="14700"/>
  <c r="I50" i="14700"/>
  <c r="J50" i="14700"/>
  <c r="D50" i="14700"/>
  <c r="K50" i="14700"/>
  <c r="E50" i="14700"/>
  <c r="B50" i="14700"/>
  <c r="M50" i="14700"/>
  <c r="G50" i="14700"/>
  <c r="H50" i="14700"/>
  <c r="C50" i="14700"/>
  <c r="J46" i="14700"/>
  <c r="M46" i="14700"/>
  <c r="G46" i="14700"/>
  <c r="I46" i="14700"/>
  <c r="C46" i="14700"/>
  <c r="L46" i="14700"/>
  <c r="F46" i="14700"/>
  <c r="B46" i="14700"/>
  <c r="K46" i="14700"/>
  <c r="H46" i="14700"/>
  <c r="D46" i="14700"/>
  <c r="E46" i="14700"/>
  <c r="H51" i="14700"/>
  <c r="D51" i="14700"/>
  <c r="B51" i="14700"/>
  <c r="L51" i="14700"/>
  <c r="K51" i="14700"/>
  <c r="E51" i="14700"/>
  <c r="M51" i="14700"/>
  <c r="I51" i="14700"/>
  <c r="C51" i="14700"/>
  <c r="J51" i="14700"/>
  <c r="F51" i="14700"/>
  <c r="G51" i="14700"/>
  <c r="B179" i="14701" a="1"/>
  <c r="B49" i="14701" a="1"/>
  <c r="B197" i="14701" a="1"/>
  <c r="B50" i="14701" a="1"/>
  <c r="B161" i="14701" a="1"/>
  <c r="B48" i="14701" a="1"/>
  <c r="R104" i="14701"/>
  <c r="F100" i="14643"/>
  <c r="B53" i="14701" a="1"/>
  <c r="B251" i="14701" a="1"/>
  <c r="B125" i="14701" a="1"/>
  <c r="B46" i="14701" a="1"/>
  <c r="C63" i="14698"/>
  <c r="F63" i="14698"/>
  <c r="M63" i="14698"/>
  <c r="J63" i="14698"/>
  <c r="I63" i="14698"/>
  <c r="L63" i="14698"/>
  <c r="N45" i="14636"/>
  <c r="N41" i="14636"/>
  <c r="N50" i="14636"/>
  <c r="N66" i="14704"/>
  <c r="N60" i="14704"/>
  <c r="C51" i="14682"/>
  <c r="X28" i="14655"/>
  <c r="N53" i="14636"/>
  <c r="N54" i="14636"/>
  <c r="E60" i="14636"/>
  <c r="F60" i="14636"/>
  <c r="E55" i="14636"/>
  <c r="F55" i="14636"/>
  <c r="I55" i="14636"/>
  <c r="L55" i="14636"/>
  <c r="N48" i="14636"/>
  <c r="G60" i="14636"/>
  <c r="J60" i="14636"/>
  <c r="D55" i="14636"/>
  <c r="D60" i="14636"/>
  <c r="M60" i="14636"/>
  <c r="B60" i="14636"/>
  <c r="L60" i="14636"/>
  <c r="K60" i="14636"/>
  <c r="C60" i="14636"/>
  <c r="H60" i="14636"/>
  <c r="I60" i="14636"/>
  <c r="C55" i="14636"/>
  <c r="K55" i="14636"/>
  <c r="H55" i="14636"/>
  <c r="G55" i="14636"/>
  <c r="J55" i="14636"/>
  <c r="M55" i="14636"/>
  <c r="B55" i="14636"/>
  <c r="N42" i="14636"/>
  <c r="N43" i="14636"/>
  <c r="N52" i="14636"/>
  <c r="N38" i="14636"/>
  <c r="N10" i="8"/>
  <c r="B11" i="8" a="1"/>
  <c r="C11" i="14675"/>
  <c r="E11" i="14675"/>
  <c r="G11" i="14675"/>
  <c r="I11" i="14675"/>
  <c r="K11" i="14675"/>
  <c r="M11" i="14675"/>
  <c r="O11" i="14675"/>
  <c r="D11" i="14675"/>
  <c r="F11" i="14675"/>
  <c r="H11" i="14675"/>
  <c r="J11" i="14675"/>
  <c r="L11" i="14675"/>
  <c r="N11" i="14675"/>
  <c r="N37" i="14636"/>
  <c r="N44" i="14636"/>
  <c r="N22" i="14707"/>
  <c r="F24" i="14707" s="1"/>
  <c r="N5" i="14617" a="1"/>
  <c r="N36" i="14636"/>
  <c r="O78" i="14648"/>
  <c r="B48" i="14649" a="1"/>
  <c r="C11" i="4128" a="1"/>
  <c r="O6" i="14677"/>
  <c r="B39" i="14649"/>
  <c r="F39" i="14649"/>
  <c r="B60" i="14649" s="1"/>
  <c r="E39" i="14649"/>
  <c r="B59" i="14649" s="1"/>
  <c r="C39" i="14649"/>
  <c r="B57" i="14649" s="1"/>
  <c r="D39" i="14649"/>
  <c r="B58" i="14649" s="1"/>
  <c r="N40" i="14636"/>
  <c r="N33" i="14636"/>
  <c r="N49" i="14636"/>
  <c r="B33" i="14672" s="1" a="1"/>
  <c r="N47" i="14636"/>
  <c r="N34" i="14636"/>
  <c r="N51" i="14636"/>
  <c r="N35" i="14636"/>
  <c r="N46" i="14636"/>
  <c r="N39" i="14636"/>
  <c r="K15" i="14625"/>
  <c r="O6" i="14634"/>
  <c r="F40" i="14667"/>
  <c r="F50" i="14667" s="1"/>
  <c r="I15" i="14625"/>
  <c r="C15" i="14625"/>
  <c r="N15" i="14625"/>
  <c r="D15" i="14625"/>
  <c r="F15" i="14625"/>
  <c r="M15" i="14625"/>
  <c r="L15" i="14625"/>
  <c r="E15" i="14625"/>
  <c r="G15" i="14625"/>
  <c r="J15" i="14625"/>
  <c r="N13" i="14706"/>
  <c r="F43" i="14622" a="1"/>
  <c r="F43" i="14622" s="1"/>
  <c r="E14" i="14693"/>
  <c r="E20" i="14693" s="1"/>
  <c r="C14" i="14693"/>
  <c r="C20" i="14693" s="1"/>
  <c r="B14" i="14693"/>
  <c r="F14" i="14693"/>
  <c r="F20" i="14693" s="1"/>
  <c r="D14" i="14693"/>
  <c r="D20" i="14693" s="1"/>
  <c r="G13" i="14690"/>
  <c r="E13" i="14690"/>
  <c r="H13" i="14690"/>
  <c r="F13" i="14690"/>
  <c r="D13" i="14690"/>
  <c r="F7" i="14693"/>
  <c r="F12" i="14693" s="1"/>
  <c r="E7" i="14693"/>
  <c r="E12" i="14693" s="1"/>
  <c r="C7" i="14693"/>
  <c r="C12" i="14693" s="1"/>
  <c r="D7" i="14693"/>
  <c r="D12" i="14693" s="1"/>
  <c r="B7" i="14693"/>
  <c r="B12" i="14693" s="1"/>
  <c r="C20" i="14628" a="1"/>
  <c r="O12" i="14628"/>
  <c r="C13" i="14628" a="1"/>
  <c r="F51" i="14706"/>
  <c r="G63" i="14698" l="1"/>
  <c r="B33" i="14672"/>
  <c r="B34" i="14672"/>
  <c r="B35" i="14672"/>
  <c r="B36" i="14672"/>
  <c r="B37" i="14672"/>
  <c r="B38" i="14672"/>
  <c r="B39" i="14672"/>
  <c r="B40" i="14672"/>
  <c r="B41" i="14672"/>
  <c r="B42" i="14672"/>
  <c r="B43" i="14672"/>
  <c r="B44" i="14672"/>
  <c r="B45" i="14672"/>
  <c r="B46" i="14672"/>
  <c r="B47" i="14672"/>
  <c r="B48" i="14672"/>
  <c r="B49" i="14672"/>
  <c r="B50" i="14672"/>
  <c r="B51" i="14672"/>
  <c r="B52" i="14672"/>
  <c r="B53" i="14672"/>
  <c r="B54" i="14672"/>
  <c r="K41" i="14672"/>
  <c r="K47" i="14672"/>
  <c r="K53" i="14672"/>
  <c r="L33" i="14672"/>
  <c r="L44" i="14672"/>
  <c r="L50" i="14672"/>
  <c r="M38" i="14672"/>
  <c r="M43" i="14672"/>
  <c r="M52" i="14672"/>
  <c r="C33" i="14672"/>
  <c r="C34" i="14672"/>
  <c r="C35" i="14672"/>
  <c r="C36" i="14672"/>
  <c r="C37" i="14672"/>
  <c r="C38" i="14672"/>
  <c r="C39" i="14672"/>
  <c r="C40" i="14672"/>
  <c r="C41" i="14672"/>
  <c r="C42" i="14672"/>
  <c r="C43" i="14672"/>
  <c r="C44" i="14672"/>
  <c r="C45" i="14672"/>
  <c r="C46" i="14672"/>
  <c r="C47" i="14672"/>
  <c r="C48" i="14672"/>
  <c r="C49" i="14672"/>
  <c r="C50" i="14672"/>
  <c r="C51" i="14672"/>
  <c r="C52" i="14672"/>
  <c r="C53" i="14672"/>
  <c r="C54" i="14672"/>
  <c r="K40" i="14672"/>
  <c r="K43" i="14672"/>
  <c r="K48" i="14672"/>
  <c r="L35" i="14672"/>
  <c r="L42" i="14672"/>
  <c r="L48" i="14672"/>
  <c r="M34" i="14672"/>
  <c r="M41" i="14672"/>
  <c r="M49" i="14672"/>
  <c r="D33" i="14672"/>
  <c r="D34" i="14672"/>
  <c r="D35" i="14672"/>
  <c r="D36" i="14672"/>
  <c r="D37" i="14672"/>
  <c r="D38" i="14672"/>
  <c r="D39" i="14672"/>
  <c r="D40" i="14672"/>
  <c r="D41" i="14672"/>
  <c r="D42" i="14672"/>
  <c r="D43" i="14672"/>
  <c r="D44" i="14672"/>
  <c r="D45" i="14672"/>
  <c r="D46" i="14672"/>
  <c r="D47" i="14672"/>
  <c r="D48" i="14672"/>
  <c r="D49" i="14672"/>
  <c r="D50" i="14672"/>
  <c r="D51" i="14672"/>
  <c r="D52" i="14672"/>
  <c r="D53" i="14672"/>
  <c r="D54" i="14672"/>
  <c r="K39" i="14672"/>
  <c r="K44" i="14672"/>
  <c r="K49" i="14672"/>
  <c r="E33" i="14672"/>
  <c r="E34" i="14672"/>
  <c r="E35" i="14672"/>
  <c r="E36" i="14672"/>
  <c r="E37" i="14672"/>
  <c r="E38" i="14672"/>
  <c r="E39" i="14672"/>
  <c r="E40" i="14672"/>
  <c r="E41" i="14672"/>
  <c r="E42" i="14672"/>
  <c r="E43" i="14672"/>
  <c r="E44" i="14672"/>
  <c r="E45" i="14672"/>
  <c r="E46" i="14672"/>
  <c r="E47" i="14672"/>
  <c r="E48" i="14672"/>
  <c r="E49" i="14672"/>
  <c r="E50" i="14672"/>
  <c r="E51" i="14672"/>
  <c r="E52" i="14672"/>
  <c r="E53" i="14672"/>
  <c r="E54" i="14672"/>
  <c r="K37" i="14672"/>
  <c r="K50" i="14672"/>
  <c r="L38" i="14672"/>
  <c r="L47" i="14672"/>
  <c r="M36" i="14672"/>
  <c r="M45" i="14672"/>
  <c r="M53" i="14672"/>
  <c r="F33" i="14672"/>
  <c r="F34" i="14672"/>
  <c r="F35" i="14672"/>
  <c r="F36" i="14672"/>
  <c r="F37" i="14672"/>
  <c r="F38" i="14672"/>
  <c r="F39" i="14672"/>
  <c r="F40" i="14672"/>
  <c r="F41" i="14672"/>
  <c r="F42" i="14672"/>
  <c r="F43" i="14672"/>
  <c r="F44" i="14672"/>
  <c r="F45" i="14672"/>
  <c r="F46" i="14672"/>
  <c r="F47" i="14672"/>
  <c r="F48" i="14672"/>
  <c r="F49" i="14672"/>
  <c r="F50" i="14672"/>
  <c r="F51" i="14672"/>
  <c r="F52" i="14672"/>
  <c r="F53" i="14672"/>
  <c r="F54" i="14672"/>
  <c r="K38" i="14672"/>
  <c r="K52" i="14672"/>
  <c r="L39" i="14672"/>
  <c r="L52" i="14672"/>
  <c r="M40" i="14672"/>
  <c r="M48" i="14672"/>
  <c r="G33" i="14672"/>
  <c r="G34" i="14672"/>
  <c r="G35" i="14672"/>
  <c r="G36" i="14672"/>
  <c r="G37" i="14672"/>
  <c r="G38" i="14672"/>
  <c r="G39" i="14672"/>
  <c r="G40" i="14672"/>
  <c r="G41" i="14672"/>
  <c r="G42" i="14672"/>
  <c r="G43" i="14672"/>
  <c r="G44" i="14672"/>
  <c r="G45" i="14672"/>
  <c r="G46" i="14672"/>
  <c r="G47" i="14672"/>
  <c r="G48" i="14672"/>
  <c r="G49" i="14672"/>
  <c r="G50" i="14672"/>
  <c r="G51" i="14672"/>
  <c r="G52" i="14672"/>
  <c r="G53" i="14672"/>
  <c r="G54" i="14672"/>
  <c r="K35" i="14672"/>
  <c r="L41" i="14672"/>
  <c r="L54" i="14672"/>
  <c r="M39" i="14672"/>
  <c r="M47" i="14672"/>
  <c r="H33" i="14672"/>
  <c r="H34" i="14672"/>
  <c r="H35" i="14672"/>
  <c r="H36" i="14672"/>
  <c r="H37" i="14672"/>
  <c r="H38" i="14672"/>
  <c r="H39" i="14672"/>
  <c r="H40" i="14672"/>
  <c r="H41" i="14672"/>
  <c r="H42" i="14672"/>
  <c r="H43" i="14672"/>
  <c r="H44" i="14672"/>
  <c r="H45" i="14672"/>
  <c r="H46" i="14672"/>
  <c r="H47" i="14672"/>
  <c r="H48" i="14672"/>
  <c r="H49" i="14672"/>
  <c r="H50" i="14672"/>
  <c r="H51" i="14672"/>
  <c r="H52" i="14672"/>
  <c r="H53" i="14672"/>
  <c r="H54" i="14672"/>
  <c r="K36" i="14672"/>
  <c r="K45" i="14672"/>
  <c r="K54" i="14672"/>
  <c r="L36" i="14672"/>
  <c r="L40" i="14672"/>
  <c r="L46" i="14672"/>
  <c r="L53" i="14672"/>
  <c r="M37" i="14672"/>
  <c r="M44" i="14672"/>
  <c r="M51" i="14672"/>
  <c r="I33" i="14672"/>
  <c r="I34" i="14672"/>
  <c r="I35" i="14672"/>
  <c r="I36" i="14672"/>
  <c r="I37" i="14672"/>
  <c r="I38" i="14672"/>
  <c r="I39" i="14672"/>
  <c r="I40" i="14672"/>
  <c r="I41" i="14672"/>
  <c r="I42" i="14672"/>
  <c r="I43" i="14672"/>
  <c r="I44" i="14672"/>
  <c r="I45" i="14672"/>
  <c r="I46" i="14672"/>
  <c r="I47" i="14672"/>
  <c r="I48" i="14672"/>
  <c r="I49" i="14672"/>
  <c r="I50" i="14672"/>
  <c r="I51" i="14672"/>
  <c r="I52" i="14672"/>
  <c r="I53" i="14672"/>
  <c r="I54" i="14672"/>
  <c r="K34" i="14672"/>
  <c r="K46" i="14672"/>
  <c r="L34" i="14672"/>
  <c r="L43" i="14672"/>
  <c r="L51" i="14672"/>
  <c r="M33" i="14672"/>
  <c r="M42" i="14672"/>
  <c r="M50" i="14672"/>
  <c r="J33" i="14672"/>
  <c r="J34" i="14672"/>
  <c r="J35" i="14672"/>
  <c r="J36" i="14672"/>
  <c r="J37" i="14672"/>
  <c r="J38" i="14672"/>
  <c r="J39" i="14672"/>
  <c r="J40" i="14672"/>
  <c r="J41" i="14672"/>
  <c r="J42" i="14672"/>
  <c r="J43" i="14672"/>
  <c r="J44" i="14672"/>
  <c r="J45" i="14672"/>
  <c r="J46" i="14672"/>
  <c r="J47" i="14672"/>
  <c r="J48" i="14672"/>
  <c r="J49" i="14672"/>
  <c r="J50" i="14672"/>
  <c r="J51" i="14672"/>
  <c r="J52" i="14672"/>
  <c r="J53" i="14672"/>
  <c r="J54" i="14672"/>
  <c r="K33" i="14672"/>
  <c r="K42" i="14672"/>
  <c r="K51" i="14672"/>
  <c r="L37" i="14672"/>
  <c r="L45" i="14672"/>
  <c r="L49" i="14672"/>
  <c r="M35" i="14672"/>
  <c r="M46" i="14672"/>
  <c r="M54" i="14672"/>
  <c r="H63" i="14698"/>
  <c r="B63" i="14698"/>
  <c r="K63" i="14698"/>
  <c r="E63" i="14698"/>
  <c r="N64" i="14704"/>
  <c r="N59" i="14704"/>
  <c r="M59" i="14698"/>
  <c r="J59" i="14698"/>
  <c r="E60" i="14698"/>
  <c r="E59" i="14698"/>
  <c r="B59" i="14698"/>
  <c r="K59" i="14698"/>
  <c r="I59" i="14698"/>
  <c r="F59" i="14698"/>
  <c r="H59" i="14698"/>
  <c r="L59" i="14698"/>
  <c r="D59" i="14698"/>
  <c r="C59" i="14698"/>
  <c r="N51" i="14702"/>
  <c r="G65" i="14698"/>
  <c r="F66" i="14698"/>
  <c r="F67" i="14704"/>
  <c r="G64" i="14698"/>
  <c r="I64" i="14698"/>
  <c r="C64" i="14698"/>
  <c r="D67" i="14704"/>
  <c r="M67" i="14704"/>
  <c r="C62" i="14698"/>
  <c r="N53" i="14702"/>
  <c r="B62" i="14698"/>
  <c r="C65" i="14698"/>
  <c r="B60" i="14698"/>
  <c r="H60" i="14698"/>
  <c r="M62" i="14698"/>
  <c r="L60" i="14698"/>
  <c r="F60" i="14698"/>
  <c r="C60" i="14698"/>
  <c r="B63" i="14702" a="1"/>
  <c r="L63" i="14702" s="1"/>
  <c r="J60" i="14698"/>
  <c r="K60" i="14698"/>
  <c r="D60" i="14698"/>
  <c r="B61" i="14702" a="1"/>
  <c r="K61" i="14702" s="1"/>
  <c r="H92" i="14643"/>
  <c r="I60" i="14698"/>
  <c r="M60" i="14698"/>
  <c r="H93" i="14643"/>
  <c r="E62" i="14698"/>
  <c r="K62" i="14698"/>
  <c r="J62" i="14698"/>
  <c r="C67" i="14704"/>
  <c r="B62" i="14702" a="1"/>
  <c r="I62" i="14702" s="1"/>
  <c r="L62" i="14698"/>
  <c r="J67" i="14704"/>
  <c r="I62" i="14698"/>
  <c r="G62" i="14698"/>
  <c r="H67" i="14704"/>
  <c r="B60" i="14702" a="1"/>
  <c r="B60" i="14702" s="1"/>
  <c r="H97" i="14643"/>
  <c r="H95" i="14643"/>
  <c r="F62" i="14698"/>
  <c r="H62" i="14698"/>
  <c r="B64" i="14702" a="1"/>
  <c r="L64" i="14702" s="1"/>
  <c r="F64" i="14698"/>
  <c r="B64" i="14698"/>
  <c r="D64" i="14698"/>
  <c r="E64" i="14698"/>
  <c r="M64" i="14698"/>
  <c r="J64" i="14698"/>
  <c r="B61" i="14698"/>
  <c r="H64" i="14698"/>
  <c r="K64" i="14698"/>
  <c r="I54" i="14702"/>
  <c r="B65" i="14702" a="1"/>
  <c r="M65" i="14702" s="1"/>
  <c r="N65" i="14704"/>
  <c r="B67" i="14704"/>
  <c r="N49" i="14702"/>
  <c r="M65" i="14698"/>
  <c r="F65" i="14698"/>
  <c r="I65" i="14698"/>
  <c r="D61" i="14698"/>
  <c r="E61" i="14698"/>
  <c r="L67" i="14704"/>
  <c r="H61" i="14698"/>
  <c r="J65" i="14698"/>
  <c r="D65" i="14698"/>
  <c r="L65" i="14698"/>
  <c r="K65" i="14698"/>
  <c r="G67" i="14704"/>
  <c r="B65" i="14698"/>
  <c r="B59" i="14702" a="1"/>
  <c r="K59" i="14702" s="1"/>
  <c r="N47" i="14702"/>
  <c r="I67" i="14704"/>
  <c r="E67" i="14704"/>
  <c r="H99" i="14643"/>
  <c r="M61" i="14698"/>
  <c r="N63" i="14704"/>
  <c r="N62" i="14704"/>
  <c r="L61" i="14698"/>
  <c r="H96" i="14643"/>
  <c r="G61" i="14698"/>
  <c r="H98" i="14643"/>
  <c r="N61" i="14704"/>
  <c r="C61" i="14698"/>
  <c r="K67" i="14704"/>
  <c r="B68" i="14702"/>
  <c r="N46" i="14702"/>
  <c r="N54" i="14698"/>
  <c r="M54" i="14702"/>
  <c r="H65" i="14698"/>
  <c r="B54" i="14702"/>
  <c r="I61" i="14698"/>
  <c r="L54" i="14702"/>
  <c r="B66" i="14702" a="1"/>
  <c r="F66" i="14702" s="1"/>
  <c r="C66" i="14698"/>
  <c r="H66" i="14698"/>
  <c r="I66" i="14698"/>
  <c r="J66" i="14698"/>
  <c r="C54" i="14702"/>
  <c r="J61" i="14698"/>
  <c r="F61" i="14698"/>
  <c r="H54" i="14702"/>
  <c r="G54" i="14702"/>
  <c r="D66" i="14698"/>
  <c r="K66" i="14698"/>
  <c r="G66" i="14698"/>
  <c r="N50" i="14702"/>
  <c r="E66" i="14698"/>
  <c r="N52" i="14702"/>
  <c r="B66" i="14698"/>
  <c r="L66" i="14698"/>
  <c r="E54" i="14702"/>
  <c r="D54" i="14702"/>
  <c r="F54" i="14702"/>
  <c r="K54" i="14702"/>
  <c r="J54" i="14702"/>
  <c r="N48" i="14702"/>
  <c r="J51" i="14683"/>
  <c r="J55" i="14683"/>
  <c r="J53" i="14683"/>
  <c r="J57" i="14683"/>
  <c r="J56" i="14683"/>
  <c r="J49" i="14683"/>
  <c r="J54" i="14683"/>
  <c r="J52" i="14683"/>
  <c r="Y215" i="14701"/>
  <c r="B59" i="14700" a="1"/>
  <c r="G59" i="14700" s="1"/>
  <c r="I215" i="14701"/>
  <c r="J215" i="14701"/>
  <c r="S215" i="14701"/>
  <c r="B215" i="14701"/>
  <c r="C215" i="14701"/>
  <c r="U215" i="14701"/>
  <c r="O215" i="14701"/>
  <c r="R215" i="14701"/>
  <c r="L51" i="14701"/>
  <c r="E51" i="14701"/>
  <c r="E215" i="14701"/>
  <c r="H51" i="14701"/>
  <c r="P215" i="14701"/>
  <c r="D215" i="14701"/>
  <c r="W215" i="14701"/>
  <c r="M215" i="14701"/>
  <c r="H215" i="14701"/>
  <c r="B51" i="14701"/>
  <c r="G51" i="14701"/>
  <c r="Q215" i="14701"/>
  <c r="J51" i="14701"/>
  <c r="F51" i="14701"/>
  <c r="D51" i="14701"/>
  <c r="F215" i="14701"/>
  <c r="T215" i="14701"/>
  <c r="M51" i="14701"/>
  <c r="L215" i="14701"/>
  <c r="K215" i="14701"/>
  <c r="K51" i="14701"/>
  <c r="N215" i="14701"/>
  <c r="V215" i="14701"/>
  <c r="N50" i="14700"/>
  <c r="N47" i="14700"/>
  <c r="F54" i="14700"/>
  <c r="C51" i="14701"/>
  <c r="G215" i="14701"/>
  <c r="J53" i="14701"/>
  <c r="B53" i="14701"/>
  <c r="D53" i="14701"/>
  <c r="H53" i="14701"/>
  <c r="I53" i="14701"/>
  <c r="M53" i="14701"/>
  <c r="C53" i="14701"/>
  <c r="L53" i="14701"/>
  <c r="F53" i="14701"/>
  <c r="K53" i="14701"/>
  <c r="G53" i="14701"/>
  <c r="E53" i="14701"/>
  <c r="K54" i="14700"/>
  <c r="I47" i="14701"/>
  <c r="J47" i="14701"/>
  <c r="C47" i="14701"/>
  <c r="L47" i="14701"/>
  <c r="G47" i="14701"/>
  <c r="M47" i="14701"/>
  <c r="E47" i="14701"/>
  <c r="B47" i="14701"/>
  <c r="K47" i="14701"/>
  <c r="H47" i="14701"/>
  <c r="F47" i="14701"/>
  <c r="D47" i="14701"/>
  <c r="G233" i="14701"/>
  <c r="D233" i="14701"/>
  <c r="Q233" i="14701"/>
  <c r="R233" i="14701"/>
  <c r="U233" i="14701"/>
  <c r="W233" i="14701"/>
  <c r="O233" i="14701"/>
  <c r="K233" i="14701"/>
  <c r="V233" i="14701"/>
  <c r="J233" i="14701"/>
  <c r="Y233" i="14701"/>
  <c r="T233" i="14701"/>
  <c r="X233" i="14701"/>
  <c r="S233" i="14701"/>
  <c r="H233" i="14701"/>
  <c r="P233" i="14701"/>
  <c r="M233" i="14701"/>
  <c r="N233" i="14701"/>
  <c r="C233" i="14701"/>
  <c r="L233" i="14701"/>
  <c r="B233" i="14701"/>
  <c r="F233" i="14701"/>
  <c r="I233" i="14701"/>
  <c r="E233" i="14701"/>
  <c r="C48" i="14701"/>
  <c r="E48" i="14701"/>
  <c r="B48" i="14701"/>
  <c r="G48" i="14701"/>
  <c r="K48" i="14701"/>
  <c r="M48" i="14701"/>
  <c r="I48" i="14701"/>
  <c r="H48" i="14701"/>
  <c r="D48" i="14701"/>
  <c r="L48" i="14701"/>
  <c r="J48" i="14701"/>
  <c r="F48" i="14701"/>
  <c r="L54" i="14700"/>
  <c r="J52" i="14701"/>
  <c r="B52" i="14701"/>
  <c r="L52" i="14701"/>
  <c r="H52" i="14701"/>
  <c r="M52" i="14701"/>
  <c r="C52" i="14701"/>
  <c r="G52" i="14701"/>
  <c r="E52" i="14701"/>
  <c r="D52" i="14701"/>
  <c r="I52" i="14701"/>
  <c r="F52" i="14701"/>
  <c r="K52" i="14701"/>
  <c r="J161" i="14701"/>
  <c r="U161" i="14701"/>
  <c r="W161" i="14701"/>
  <c r="G161" i="14701"/>
  <c r="D161" i="14701"/>
  <c r="B161" i="14701"/>
  <c r="T161" i="14701"/>
  <c r="M161" i="14701"/>
  <c r="V161" i="14701"/>
  <c r="K161" i="14701"/>
  <c r="C161" i="14701"/>
  <c r="S161" i="14701"/>
  <c r="Q161" i="14701"/>
  <c r="I161" i="14701"/>
  <c r="X161" i="14701"/>
  <c r="F161" i="14701"/>
  <c r="E161" i="14701"/>
  <c r="H161" i="14701"/>
  <c r="L161" i="14701"/>
  <c r="N161" i="14701"/>
  <c r="R161" i="14701"/>
  <c r="P161" i="14701"/>
  <c r="Y161" i="14701"/>
  <c r="O161" i="14701"/>
  <c r="C54" i="14700"/>
  <c r="N53" i="14700"/>
  <c r="B50" i="14701"/>
  <c r="F50" i="14701"/>
  <c r="H50" i="14701"/>
  <c r="G50" i="14701"/>
  <c r="I50" i="14701"/>
  <c r="K50" i="14701"/>
  <c r="J50" i="14701"/>
  <c r="E50" i="14701"/>
  <c r="L50" i="14701"/>
  <c r="C50" i="14701"/>
  <c r="M50" i="14701"/>
  <c r="D50" i="14701"/>
  <c r="I54" i="14700"/>
  <c r="B64" i="14700" a="1"/>
  <c r="B61" i="14700" a="1"/>
  <c r="H143" i="14701"/>
  <c r="X143" i="14701"/>
  <c r="J143" i="14701"/>
  <c r="E143" i="14701"/>
  <c r="W143" i="14701"/>
  <c r="L143" i="14701"/>
  <c r="T143" i="14701"/>
  <c r="K143" i="14701"/>
  <c r="V143" i="14701"/>
  <c r="U143" i="14701"/>
  <c r="I143" i="14701"/>
  <c r="D143" i="14701"/>
  <c r="Q143" i="14701"/>
  <c r="O143" i="14701"/>
  <c r="G143" i="14701"/>
  <c r="C143" i="14701"/>
  <c r="Y143" i="14701"/>
  <c r="M143" i="14701"/>
  <c r="F143" i="14701"/>
  <c r="B143" i="14701"/>
  <c r="S143" i="14701"/>
  <c r="R143" i="14701"/>
  <c r="P143" i="14701"/>
  <c r="N143" i="14701"/>
  <c r="F197" i="14701"/>
  <c r="C197" i="14701"/>
  <c r="B197" i="14701"/>
  <c r="T197" i="14701"/>
  <c r="E197" i="14701"/>
  <c r="H197" i="14701"/>
  <c r="D197" i="14701"/>
  <c r="N197" i="14701"/>
  <c r="U197" i="14701"/>
  <c r="M197" i="14701"/>
  <c r="V197" i="14701"/>
  <c r="Q197" i="14701"/>
  <c r="Y197" i="14701"/>
  <c r="J197" i="14701"/>
  <c r="L197" i="14701"/>
  <c r="O197" i="14701"/>
  <c r="X197" i="14701"/>
  <c r="P197" i="14701"/>
  <c r="G197" i="14701"/>
  <c r="I197" i="14701"/>
  <c r="S197" i="14701"/>
  <c r="W197" i="14701"/>
  <c r="R197" i="14701"/>
  <c r="K197" i="14701"/>
  <c r="N51" i="14700"/>
  <c r="G54" i="14700"/>
  <c r="N52" i="14700"/>
  <c r="B49" i="14701"/>
  <c r="G49" i="14701"/>
  <c r="F49" i="14701"/>
  <c r="D49" i="14701"/>
  <c r="I49" i="14701"/>
  <c r="C49" i="14701"/>
  <c r="E49" i="14701"/>
  <c r="H49" i="14701"/>
  <c r="K49" i="14701"/>
  <c r="M49" i="14701"/>
  <c r="J49" i="14701"/>
  <c r="L49" i="14701"/>
  <c r="M54" i="14700"/>
  <c r="B63" i="14700" a="1"/>
  <c r="B65" i="14700" a="1"/>
  <c r="I179" i="14701"/>
  <c r="X179" i="14701"/>
  <c r="W179" i="14701"/>
  <c r="Q179" i="14701"/>
  <c r="V179" i="14701"/>
  <c r="C179" i="14701"/>
  <c r="R179" i="14701"/>
  <c r="F179" i="14701"/>
  <c r="G179" i="14701"/>
  <c r="T179" i="14701"/>
  <c r="N179" i="14701"/>
  <c r="H179" i="14701"/>
  <c r="S179" i="14701"/>
  <c r="M179" i="14701"/>
  <c r="O179" i="14701"/>
  <c r="K179" i="14701"/>
  <c r="B179" i="14701"/>
  <c r="J179" i="14701"/>
  <c r="U179" i="14701"/>
  <c r="Y179" i="14701"/>
  <c r="L179" i="14701"/>
  <c r="E179" i="14701"/>
  <c r="P179" i="14701"/>
  <c r="D179" i="14701"/>
  <c r="J54" i="14700"/>
  <c r="N49" i="14700"/>
  <c r="G46" i="14701"/>
  <c r="F46" i="14701"/>
  <c r="E46" i="14701"/>
  <c r="H46" i="14701"/>
  <c r="K46" i="14701"/>
  <c r="M46" i="14701"/>
  <c r="D46" i="14701"/>
  <c r="L46" i="14701"/>
  <c r="J46" i="14701"/>
  <c r="I46" i="14701"/>
  <c r="C46" i="14701"/>
  <c r="B46" i="14701"/>
  <c r="E54" i="14700"/>
  <c r="B62" i="14700" a="1"/>
  <c r="S125" i="14701"/>
  <c r="V125" i="14701"/>
  <c r="Y125" i="14701"/>
  <c r="K125" i="14701"/>
  <c r="G125" i="14701"/>
  <c r="H125" i="14701"/>
  <c r="N125" i="14701"/>
  <c r="Q125" i="14701"/>
  <c r="T125" i="14701"/>
  <c r="W125" i="14701"/>
  <c r="M125" i="14701"/>
  <c r="J125" i="14701"/>
  <c r="R125" i="14701"/>
  <c r="O125" i="14701"/>
  <c r="D125" i="14701"/>
  <c r="F125" i="14701"/>
  <c r="I125" i="14701"/>
  <c r="L125" i="14701"/>
  <c r="E125" i="14701"/>
  <c r="X125" i="14701"/>
  <c r="P125" i="14701"/>
  <c r="C125" i="14701"/>
  <c r="U125" i="14701"/>
  <c r="B125" i="14701"/>
  <c r="D54" i="14700"/>
  <c r="B60" i="14700" a="1"/>
  <c r="B68" i="14700"/>
  <c r="B66" i="14700" a="1"/>
  <c r="B54" i="14700"/>
  <c r="N46" i="14700"/>
  <c r="V251" i="14701"/>
  <c r="I251" i="14701"/>
  <c r="T251" i="14701"/>
  <c r="R251" i="14701"/>
  <c r="W251" i="14701"/>
  <c r="M251" i="14701"/>
  <c r="S251" i="14701"/>
  <c r="B251" i="14701"/>
  <c r="Q251" i="14701"/>
  <c r="N251" i="14701"/>
  <c r="J251" i="14701"/>
  <c r="P251" i="14701"/>
  <c r="Y251" i="14701"/>
  <c r="X251" i="14701"/>
  <c r="L251" i="14701"/>
  <c r="C251" i="14701"/>
  <c r="G251" i="14701"/>
  <c r="K251" i="14701"/>
  <c r="H251" i="14701"/>
  <c r="D251" i="14701"/>
  <c r="F251" i="14701"/>
  <c r="U251" i="14701"/>
  <c r="E251" i="14701"/>
  <c r="O251" i="14701"/>
  <c r="H54" i="14700"/>
  <c r="N48" i="14700"/>
  <c r="N55" i="14636"/>
  <c r="E15" i="14657" s="1"/>
  <c r="B9" i="14617" a="1"/>
  <c r="B9" i="14617" s="1"/>
  <c r="C24" i="4128" s="1"/>
  <c r="D29" i="14682" a="1"/>
  <c r="D11" i="8"/>
  <c r="C11" i="8"/>
  <c r="L11" i="8"/>
  <c r="E11" i="8"/>
  <c r="G11" i="8"/>
  <c r="F11" i="8"/>
  <c r="B11" i="8"/>
  <c r="I11" i="8"/>
  <c r="H11" i="8"/>
  <c r="M11" i="8"/>
  <c r="K11" i="8"/>
  <c r="J11" i="8"/>
  <c r="F48" i="14649"/>
  <c r="D48" i="14649"/>
  <c r="E48" i="14649"/>
  <c r="B48" i="14649"/>
  <c r="C48" i="14649"/>
  <c r="B22" i="14708" a="1"/>
  <c r="B56" i="14649"/>
  <c r="E11" i="4128"/>
  <c r="J23" i="14707" s="1"/>
  <c r="J30" i="14707" s="1"/>
  <c r="J31" i="14707" s="1"/>
  <c r="D11" i="4128"/>
  <c r="H23" i="14707" s="1"/>
  <c r="H30" i="14707" s="1"/>
  <c r="H31" i="14707" s="1"/>
  <c r="G11" i="4128"/>
  <c r="N23" i="14707" s="1"/>
  <c r="N30" i="14707" s="1"/>
  <c r="N31" i="14707" s="1"/>
  <c r="C11" i="4128"/>
  <c r="F23" i="14707" s="1"/>
  <c r="F30" i="14707" s="1"/>
  <c r="F11" i="4128"/>
  <c r="L23" i="14707" s="1"/>
  <c r="L30" i="14707" s="1"/>
  <c r="L31" i="14707" s="1"/>
  <c r="N7" i="14617"/>
  <c r="N6" i="14617"/>
  <c r="N5" i="14617"/>
  <c r="C6" i="14639" a="1"/>
  <c r="C6" i="14639" s="1"/>
  <c r="N60" i="14636"/>
  <c r="O15" i="14625"/>
  <c r="E30" i="14690" a="1"/>
  <c r="E56" i="14690" a="1"/>
  <c r="E67" i="14690" a="1"/>
  <c r="C44" i="14622" a="1"/>
  <c r="G20" i="14693"/>
  <c r="C16" i="14626"/>
  <c r="C9" i="14626" s="1"/>
  <c r="C9" i="11"/>
  <c r="D9" i="14667"/>
  <c r="D20" i="14706"/>
  <c r="G12" i="14693"/>
  <c r="B19" i="14622" a="1"/>
  <c r="B19" i="14622" s="1"/>
  <c r="D7" i="14622" s="1"/>
  <c r="H19" i="14622" a="1"/>
  <c r="H19" i="14622" s="1"/>
  <c r="H13" i="14628"/>
  <c r="N13" i="14628"/>
  <c r="I13" i="14628"/>
  <c r="L13" i="14628"/>
  <c r="C13" i="14628"/>
  <c r="K13" i="14628"/>
  <c r="J13" i="14628"/>
  <c r="M13" i="14628"/>
  <c r="D13" i="14628"/>
  <c r="E13" i="14628"/>
  <c r="G13" i="14628"/>
  <c r="F13" i="14628"/>
  <c r="D20" i="14628"/>
  <c r="N20" i="14628"/>
  <c r="G20" i="14628"/>
  <c r="E20" i="14628"/>
  <c r="M20" i="14628"/>
  <c r="C20" i="14628"/>
  <c r="H20" i="14628"/>
  <c r="L20" i="14628"/>
  <c r="J20" i="14628"/>
  <c r="F20" i="14628"/>
  <c r="K20" i="14628"/>
  <c r="I20" i="14628"/>
  <c r="B45" i="14649"/>
  <c r="N63" i="14698" l="1"/>
  <c r="C60" i="14702"/>
  <c r="I60" i="14702"/>
  <c r="M60" i="14702"/>
  <c r="J63" i="14702"/>
  <c r="M63" i="14702"/>
  <c r="G63" i="14702"/>
  <c r="C62" i="14702"/>
  <c r="H63" i="14702"/>
  <c r="J64" i="14702"/>
  <c r="H64" i="14702"/>
  <c r="N59" i="14698"/>
  <c r="I64" i="14702"/>
  <c r="B64" i="14702"/>
  <c r="G64" i="14702"/>
  <c r="B63" i="14702"/>
  <c r="D64" i="14702"/>
  <c r="I63" i="14702"/>
  <c r="F63" i="14702"/>
  <c r="K63" i="14702"/>
  <c r="D63" i="14702"/>
  <c r="K64" i="14702"/>
  <c r="E63" i="14702"/>
  <c r="C64" i="14702"/>
  <c r="C63" i="14702"/>
  <c r="E64" i="14702"/>
  <c r="F64" i="14702"/>
  <c r="E62" i="14702"/>
  <c r="M64" i="14702"/>
  <c r="J62" i="14702"/>
  <c r="H61" i="14702"/>
  <c r="B61" i="14702"/>
  <c r="F61" i="14702"/>
  <c r="M61" i="14702"/>
  <c r="G61" i="14702"/>
  <c r="L61" i="14702"/>
  <c r="D61" i="14702"/>
  <c r="C61" i="14702"/>
  <c r="J61" i="14702"/>
  <c r="E61" i="14702"/>
  <c r="I61" i="14702"/>
  <c r="G60" i="14702"/>
  <c r="D60" i="14702"/>
  <c r="K60" i="14702"/>
  <c r="L60" i="14702"/>
  <c r="G67" i="14698"/>
  <c r="E60" i="14702"/>
  <c r="F60" i="14702"/>
  <c r="J60" i="14702"/>
  <c r="F67" i="14698"/>
  <c r="K65" i="14702"/>
  <c r="H60" i="14702"/>
  <c r="F65" i="14702"/>
  <c r="I65" i="14702"/>
  <c r="E65" i="14702"/>
  <c r="N62" i="14698"/>
  <c r="B65" i="14702"/>
  <c r="G65" i="14702"/>
  <c r="J65" i="14702"/>
  <c r="D65" i="14702"/>
  <c r="C65" i="14702"/>
  <c r="N60" i="14698"/>
  <c r="H65" i="14702"/>
  <c r="L65" i="14702"/>
  <c r="G62" i="14702"/>
  <c r="N64" i="14698"/>
  <c r="D62" i="14702"/>
  <c r="J66" i="14702"/>
  <c r="H62" i="14702"/>
  <c r="I66" i="14702"/>
  <c r="L66" i="14702"/>
  <c r="L62" i="14702"/>
  <c r="M66" i="14702"/>
  <c r="M62" i="14702"/>
  <c r="E66" i="14702"/>
  <c r="C66" i="14702"/>
  <c r="F62" i="14702"/>
  <c r="K62" i="14702"/>
  <c r="B62" i="14702"/>
  <c r="D67" i="14698"/>
  <c r="B67" i="14698"/>
  <c r="H66" i="14702"/>
  <c r="B66" i="14702"/>
  <c r="L67" i="14698"/>
  <c r="K66" i="14702"/>
  <c r="G66" i="14702"/>
  <c r="D66" i="14702"/>
  <c r="M67" i="14698"/>
  <c r="J59" i="14702"/>
  <c r="I59" i="14702"/>
  <c r="L59" i="14702"/>
  <c r="N65" i="14698"/>
  <c r="M59" i="14702"/>
  <c r="F59" i="14702"/>
  <c r="C59" i="14702"/>
  <c r="G59" i="14702"/>
  <c r="D59" i="14702"/>
  <c r="E59" i="14702"/>
  <c r="B59" i="14702"/>
  <c r="H59" i="14702"/>
  <c r="N67" i="14704"/>
  <c r="E67" i="14698"/>
  <c r="H67" i="14698"/>
  <c r="K67" i="14698"/>
  <c r="I67" i="14698"/>
  <c r="C67" i="14698"/>
  <c r="N61" i="14698"/>
  <c r="J67" i="14698"/>
  <c r="N66" i="14698"/>
  <c r="B35" i="14632" a="1"/>
  <c r="M38" i="14632" s="1"/>
  <c r="N54" i="14702"/>
  <c r="F59" i="14700"/>
  <c r="H59" i="14700"/>
  <c r="E59" i="14700"/>
  <c r="J59" i="14700"/>
  <c r="B59" i="14700"/>
  <c r="D59" i="14700"/>
  <c r="C59" i="14700"/>
  <c r="I59" i="14700"/>
  <c r="M59" i="14700"/>
  <c r="L59" i="14700"/>
  <c r="K59" i="14700"/>
  <c r="B64" i="14701" a="1"/>
  <c r="J64" i="14701" s="1"/>
  <c r="N51" i="14701"/>
  <c r="F54" i="14701"/>
  <c r="C54" i="14701"/>
  <c r="L54" i="14701"/>
  <c r="N49" i="14701"/>
  <c r="B60" i="14701" a="1"/>
  <c r="C60" i="14701" s="1"/>
  <c r="B59" i="14701" a="1"/>
  <c r="J54" i="14701"/>
  <c r="B62" i="14701" a="1"/>
  <c r="J63" i="14700"/>
  <c r="L63" i="14700"/>
  <c r="B63" i="14700"/>
  <c r="G63" i="14700"/>
  <c r="I63" i="14700"/>
  <c r="H63" i="14700"/>
  <c r="D63" i="14700"/>
  <c r="E63" i="14700"/>
  <c r="C63" i="14700"/>
  <c r="M63" i="14700"/>
  <c r="K63" i="14700"/>
  <c r="F63" i="14700"/>
  <c r="B66" i="14701" a="1"/>
  <c r="B66" i="14700"/>
  <c r="J66" i="14700"/>
  <c r="G66" i="14700"/>
  <c r="F66" i="14700"/>
  <c r="C66" i="14700"/>
  <c r="H66" i="14700"/>
  <c r="I66" i="14700"/>
  <c r="D66" i="14700"/>
  <c r="L66" i="14700"/>
  <c r="E66" i="14700"/>
  <c r="M66" i="14700"/>
  <c r="K66" i="14700"/>
  <c r="M54" i="14701"/>
  <c r="N47" i="14701"/>
  <c r="B61" i="14701" a="1"/>
  <c r="K54" i="14701"/>
  <c r="F60" i="14700"/>
  <c r="G60" i="14700"/>
  <c r="H60" i="14700"/>
  <c r="J60" i="14700"/>
  <c r="M60" i="14700"/>
  <c r="D60" i="14700"/>
  <c r="B60" i="14700"/>
  <c r="E60" i="14700"/>
  <c r="I60" i="14700"/>
  <c r="C60" i="14700"/>
  <c r="K60" i="14700"/>
  <c r="L60" i="14700"/>
  <c r="H54" i="14701"/>
  <c r="K61" i="14700"/>
  <c r="D61" i="14700"/>
  <c r="C61" i="14700"/>
  <c r="F61" i="14700"/>
  <c r="G61" i="14700"/>
  <c r="J61" i="14700"/>
  <c r="H61" i="14700"/>
  <c r="L61" i="14700"/>
  <c r="I61" i="14700"/>
  <c r="M61" i="14700"/>
  <c r="B61" i="14700"/>
  <c r="E61" i="14700"/>
  <c r="B65" i="14701" a="1"/>
  <c r="E54" i="14701"/>
  <c r="H64" i="14700"/>
  <c r="G64" i="14700"/>
  <c r="I64" i="14700"/>
  <c r="C64" i="14700"/>
  <c r="D64" i="14700"/>
  <c r="B64" i="14700"/>
  <c r="M64" i="14700"/>
  <c r="J64" i="14700"/>
  <c r="K64" i="14700"/>
  <c r="F64" i="14700"/>
  <c r="E64" i="14700"/>
  <c r="L64" i="14700"/>
  <c r="B68" i="14701"/>
  <c r="B62" i="14700"/>
  <c r="J62" i="14700"/>
  <c r="L62" i="14700"/>
  <c r="H62" i="14700"/>
  <c r="I62" i="14700"/>
  <c r="M62" i="14700"/>
  <c r="K62" i="14700"/>
  <c r="D62" i="14700"/>
  <c r="C62" i="14700"/>
  <c r="G62" i="14700"/>
  <c r="F62" i="14700"/>
  <c r="E62" i="14700"/>
  <c r="N50" i="14701"/>
  <c r="N54" i="14700"/>
  <c r="D54" i="14701"/>
  <c r="G54" i="14701"/>
  <c r="N52" i="14701"/>
  <c r="N48" i="14701"/>
  <c r="N46" i="14701"/>
  <c r="B54" i="14701"/>
  <c r="B63" i="14701" a="1"/>
  <c r="N53" i="14701"/>
  <c r="I54" i="14701"/>
  <c r="G65" i="14700"/>
  <c r="C65" i="14700"/>
  <c r="J65" i="14700"/>
  <c r="E65" i="14700"/>
  <c r="L65" i="14700"/>
  <c r="F65" i="14700"/>
  <c r="K65" i="14700"/>
  <c r="H65" i="14700"/>
  <c r="D65" i="14700"/>
  <c r="B65" i="14700"/>
  <c r="I65" i="14700"/>
  <c r="M65" i="14700"/>
  <c r="B10" i="14617"/>
  <c r="D30" i="14682"/>
  <c r="D32" i="14682"/>
  <c r="D34" i="14682"/>
  <c r="D36" i="14682"/>
  <c r="D38" i="14682"/>
  <c r="D40" i="14682"/>
  <c r="D42" i="14682"/>
  <c r="D44" i="14682"/>
  <c r="D46" i="14682"/>
  <c r="D48" i="14682"/>
  <c r="D50" i="14682"/>
  <c r="D29" i="14682"/>
  <c r="D31" i="14682"/>
  <c r="D33" i="14682"/>
  <c r="D35" i="14682"/>
  <c r="D37" i="14682"/>
  <c r="D39" i="14682"/>
  <c r="D41" i="14682"/>
  <c r="D43" i="14682"/>
  <c r="D45" i="14682"/>
  <c r="D47" i="14682"/>
  <c r="D49" i="14682"/>
  <c r="N11" i="8"/>
  <c r="B13" i="8" a="1"/>
  <c r="G6" i="14639"/>
  <c r="E6" i="14639"/>
  <c r="E22" i="14708"/>
  <c r="B22" i="14708"/>
  <c r="D22" i="14708"/>
  <c r="F22" i="14708"/>
  <c r="C22" i="14708"/>
  <c r="M6" i="14639"/>
  <c r="F31" i="14707"/>
  <c r="F33" i="14707"/>
  <c r="J6" i="14639"/>
  <c r="N6" i="14639"/>
  <c r="D6" i="14639"/>
  <c r="I6" i="14639"/>
  <c r="F8" i="14643"/>
  <c r="K6" i="14639"/>
  <c r="H6" i="14639"/>
  <c r="F6" i="14639"/>
  <c r="L6" i="14639"/>
  <c r="B44" i="14622"/>
  <c r="B46" i="14622" s="1"/>
  <c r="C19" i="14622"/>
  <c r="B18" i="14622"/>
  <c r="F20" i="14706"/>
  <c r="D16" i="14706"/>
  <c r="F9" i="14667"/>
  <c r="D5" i="14667"/>
  <c r="E44" i="14622"/>
  <c r="D44" i="14622"/>
  <c r="F44" i="14622"/>
  <c r="C44" i="14622"/>
  <c r="G67" i="14690"/>
  <c r="H67" i="14690"/>
  <c r="F67" i="14690"/>
  <c r="E67" i="14690"/>
  <c r="G30" i="14690"/>
  <c r="H30" i="14690"/>
  <c r="F30" i="14690"/>
  <c r="E30" i="14690"/>
  <c r="D21" i="14667"/>
  <c r="D7" i="14706"/>
  <c r="H18" i="14622"/>
  <c r="I19" i="14622"/>
  <c r="C26" i="14626"/>
  <c r="B22" i="14628"/>
  <c r="C22" i="14628" s="1"/>
  <c r="C24" i="14628" s="1"/>
  <c r="D9" i="11"/>
  <c r="C6" i="11"/>
  <c r="G56" i="14690"/>
  <c r="H56" i="14690"/>
  <c r="F56" i="14690"/>
  <c r="E56" i="14690"/>
  <c r="O13" i="14628"/>
  <c r="B17" i="14617" s="1"/>
  <c r="B17" i="8" a="1"/>
  <c r="O20" i="14628"/>
  <c r="C21" i="14628" a="1"/>
  <c r="N63" i="14702" l="1"/>
  <c r="N64" i="14702"/>
  <c r="K67" i="14702"/>
  <c r="N61" i="14702"/>
  <c r="C40" i="14632"/>
  <c r="D67" i="14702"/>
  <c r="N60" i="14702"/>
  <c r="J67" i="14702"/>
  <c r="F67" i="14702"/>
  <c r="B67" i="14702"/>
  <c r="N65" i="14702"/>
  <c r="G67" i="14702"/>
  <c r="H67" i="14702"/>
  <c r="N66" i="14702"/>
  <c r="M67" i="14702"/>
  <c r="E67" i="14702"/>
  <c r="C5" i="14634" a="1"/>
  <c r="H5" i="14634" s="1"/>
  <c r="L67" i="14702"/>
  <c r="N62" i="14702"/>
  <c r="I67" i="14702"/>
  <c r="E38" i="14632"/>
  <c r="J37" i="14632"/>
  <c r="C67" i="14702"/>
  <c r="G42" i="14632"/>
  <c r="B36" i="14632"/>
  <c r="I39" i="14632"/>
  <c r="B41" i="14632"/>
  <c r="N67" i="14698"/>
  <c r="G35" i="14632"/>
  <c r="B35" i="14679" a="1"/>
  <c r="G39" i="14679" s="1"/>
  <c r="N59" i="14702"/>
  <c r="E36" i="14632"/>
  <c r="H42" i="14632"/>
  <c r="I38" i="14632"/>
  <c r="H36" i="14632"/>
  <c r="M39" i="14632"/>
  <c r="I40" i="14632"/>
  <c r="D39" i="14632"/>
  <c r="M36" i="14632"/>
  <c r="K36" i="14632"/>
  <c r="M42" i="14632"/>
  <c r="B42" i="14632"/>
  <c r="E42" i="14632"/>
  <c r="C39" i="14632"/>
  <c r="H39" i="14632"/>
  <c r="M35" i="14632"/>
  <c r="L41" i="14632"/>
  <c r="F40" i="14632"/>
  <c r="K38" i="14632"/>
  <c r="I37" i="14632"/>
  <c r="K39" i="14632"/>
  <c r="J39" i="14632"/>
  <c r="B35" i="14632"/>
  <c r="B37" i="14632"/>
  <c r="L42" i="14632"/>
  <c r="J40" i="14632"/>
  <c r="G38" i="14632"/>
  <c r="C42" i="14632"/>
  <c r="E35" i="14632"/>
  <c r="H37" i="14632"/>
  <c r="C36" i="14632"/>
  <c r="H38" i="14632"/>
  <c r="C37" i="14632"/>
  <c r="H40" i="14632"/>
  <c r="D36" i="14632"/>
  <c r="G36" i="14632"/>
  <c r="K40" i="14632"/>
  <c r="E39" i="14632"/>
  <c r="D41" i="14632"/>
  <c r="L40" i="14632"/>
  <c r="K35" i="14632"/>
  <c r="F42" i="14632"/>
  <c r="F35" i="14632"/>
  <c r="F39" i="14632"/>
  <c r="I41" i="14632"/>
  <c r="I36" i="14632"/>
  <c r="G41" i="14632"/>
  <c r="D37" i="14632"/>
  <c r="C41" i="14632"/>
  <c r="M41" i="14632"/>
  <c r="B38" i="14632"/>
  <c r="G37" i="14632"/>
  <c r="H35" i="14632"/>
  <c r="B39" i="14632"/>
  <c r="I42" i="14632"/>
  <c r="K37" i="14632"/>
  <c r="B40" i="14632"/>
  <c r="C35" i="14632"/>
  <c r="F37" i="14632"/>
  <c r="L39" i="14632"/>
  <c r="J41" i="14632"/>
  <c r="K42" i="14632"/>
  <c r="L38" i="14632"/>
  <c r="J36" i="14632"/>
  <c r="J42" i="14632"/>
  <c r="L35" i="14632"/>
  <c r="G40" i="14632"/>
  <c r="E41" i="14632"/>
  <c r="J35" i="14632"/>
  <c r="H41" i="14632"/>
  <c r="K41" i="14632"/>
  <c r="F38" i="14632"/>
  <c r="C38" i="14632"/>
  <c r="D40" i="14632"/>
  <c r="L36" i="14632"/>
  <c r="I35" i="14632"/>
  <c r="D35" i="14632"/>
  <c r="J38" i="14632"/>
  <c r="F36" i="14632"/>
  <c r="D38" i="14632"/>
  <c r="L37" i="14632"/>
  <c r="E40" i="14632"/>
  <c r="M40" i="14632"/>
  <c r="F41" i="14632"/>
  <c r="D42" i="14632"/>
  <c r="M37" i="14632"/>
  <c r="E37" i="14632"/>
  <c r="G39" i="14632"/>
  <c r="N59" i="14700"/>
  <c r="B64" i="14701"/>
  <c r="E64" i="14701"/>
  <c r="H60" i="14701"/>
  <c r="L64" i="14701"/>
  <c r="F64" i="14701"/>
  <c r="G64" i="14701"/>
  <c r="I64" i="14701"/>
  <c r="K64" i="14701"/>
  <c r="M64" i="14701"/>
  <c r="C64" i="14701"/>
  <c r="H64" i="14701"/>
  <c r="D64" i="14701"/>
  <c r="N65" i="14700"/>
  <c r="H67" i="14700"/>
  <c r="L60" i="14701"/>
  <c r="M60" i="14701"/>
  <c r="B60" i="14701"/>
  <c r="F60" i="14701"/>
  <c r="I60" i="14701"/>
  <c r="K60" i="14701"/>
  <c r="J60" i="14701"/>
  <c r="D60" i="14701"/>
  <c r="E60" i="14701"/>
  <c r="G60" i="14701"/>
  <c r="J67" i="14700"/>
  <c r="L63" i="14701"/>
  <c r="F63" i="14701"/>
  <c r="K63" i="14701"/>
  <c r="M63" i="14701"/>
  <c r="G63" i="14701"/>
  <c r="I63" i="14701"/>
  <c r="D63" i="14701"/>
  <c r="C63" i="14701"/>
  <c r="E63" i="14701"/>
  <c r="B63" i="14701"/>
  <c r="J63" i="14701"/>
  <c r="H63" i="14701"/>
  <c r="L65" i="14701"/>
  <c r="D65" i="14701"/>
  <c r="H65" i="14701"/>
  <c r="J65" i="14701"/>
  <c r="C65" i="14701"/>
  <c r="I65" i="14701"/>
  <c r="M65" i="14701"/>
  <c r="G65" i="14701"/>
  <c r="B65" i="14701"/>
  <c r="E65" i="14701"/>
  <c r="K65" i="14701"/>
  <c r="F65" i="14701"/>
  <c r="G67" i="14700"/>
  <c r="N54" i="14701"/>
  <c r="F67" i="14700"/>
  <c r="N61" i="14700"/>
  <c r="L67" i="14700"/>
  <c r="K67" i="14700"/>
  <c r="C61" i="14701"/>
  <c r="G61" i="14701"/>
  <c r="E61" i="14701"/>
  <c r="D61" i="14701"/>
  <c r="J61" i="14701"/>
  <c r="L61" i="14701"/>
  <c r="M61" i="14701"/>
  <c r="B61" i="14701"/>
  <c r="I61" i="14701"/>
  <c r="K61" i="14701"/>
  <c r="F61" i="14701"/>
  <c r="H61" i="14701"/>
  <c r="N64" i="14700"/>
  <c r="C67" i="14700"/>
  <c r="N63" i="14700"/>
  <c r="I67" i="14700"/>
  <c r="N66" i="14700"/>
  <c r="E67" i="14700"/>
  <c r="I66" i="14701"/>
  <c r="B66" i="14701"/>
  <c r="G66" i="14701"/>
  <c r="C66" i="14701"/>
  <c r="E66" i="14701"/>
  <c r="J66" i="14701"/>
  <c r="M66" i="14701"/>
  <c r="D66" i="14701"/>
  <c r="L66" i="14701"/>
  <c r="K66" i="14701"/>
  <c r="H66" i="14701"/>
  <c r="F66" i="14701"/>
  <c r="B67" i="14700"/>
  <c r="N60" i="14700"/>
  <c r="B35" i="14638" a="1"/>
  <c r="M62" i="14701"/>
  <c r="I62" i="14701"/>
  <c r="F62" i="14701"/>
  <c r="D62" i="14701"/>
  <c r="L62" i="14701"/>
  <c r="H62" i="14701"/>
  <c r="B62" i="14701"/>
  <c r="J62" i="14701"/>
  <c r="E62" i="14701"/>
  <c r="C62" i="14701"/>
  <c r="K62" i="14701"/>
  <c r="G62" i="14701"/>
  <c r="N62" i="14700"/>
  <c r="D67" i="14700"/>
  <c r="M67" i="14700"/>
  <c r="L59" i="14701"/>
  <c r="I59" i="14701"/>
  <c r="F59" i="14701"/>
  <c r="K59" i="14701"/>
  <c r="M59" i="14701"/>
  <c r="B59" i="14701"/>
  <c r="E59" i="14701"/>
  <c r="H59" i="14701"/>
  <c r="C59" i="14701"/>
  <c r="J59" i="14701"/>
  <c r="G59" i="14701"/>
  <c r="D59" i="14701"/>
  <c r="N34" i="14672"/>
  <c r="N33" i="14672"/>
  <c r="N41" i="14672"/>
  <c r="N48" i="14672"/>
  <c r="N53" i="14672"/>
  <c r="B4" i="14694" a="1"/>
  <c r="B11" i="14617"/>
  <c r="B23" i="14708" s="1"/>
  <c r="D51" i="14682"/>
  <c r="N54" i="14672"/>
  <c r="N44" i="14672"/>
  <c r="N46" i="14672"/>
  <c r="N42" i="14672"/>
  <c r="B60" i="14672"/>
  <c r="N38" i="14672"/>
  <c r="H55" i="14672"/>
  <c r="H60" i="14672"/>
  <c r="G60" i="14672"/>
  <c r="M55" i="14672"/>
  <c r="M60" i="14672"/>
  <c r="I60" i="14672"/>
  <c r="K60" i="14672"/>
  <c r="J60" i="14672"/>
  <c r="L60" i="14672"/>
  <c r="E60" i="14672"/>
  <c r="C60" i="14672"/>
  <c r="F60" i="14672"/>
  <c r="D60" i="14672"/>
  <c r="B55" i="14672"/>
  <c r="G55" i="14672"/>
  <c r="I55" i="14672"/>
  <c r="K55" i="14672"/>
  <c r="J55" i="14672"/>
  <c r="L55" i="14672"/>
  <c r="E55" i="14672"/>
  <c r="C55" i="14672"/>
  <c r="F55" i="14672"/>
  <c r="D55" i="14672"/>
  <c r="N37" i="14672"/>
  <c r="N47" i="14672"/>
  <c r="N43" i="14672"/>
  <c r="N36" i="14672"/>
  <c r="N45" i="14672"/>
  <c r="N40" i="14672"/>
  <c r="N50" i="14672"/>
  <c r="N52" i="14672"/>
  <c r="N35" i="14672"/>
  <c r="M13" i="8"/>
  <c r="J13" i="8"/>
  <c r="C13" i="8"/>
  <c r="D13" i="8"/>
  <c r="I13" i="8"/>
  <c r="E13" i="8"/>
  <c r="L13" i="8"/>
  <c r="B13" i="8"/>
  <c r="G13" i="8"/>
  <c r="F13" i="8"/>
  <c r="K13" i="8"/>
  <c r="H13" i="8"/>
  <c r="N39" i="14672"/>
  <c r="N49" i="14672"/>
  <c r="B33" i="14673" s="1" a="1"/>
  <c r="N51" i="14672"/>
  <c r="B4" i="14692" a="1"/>
  <c r="B5" i="14695" a="1"/>
  <c r="O6" i="14639"/>
  <c r="B4" i="14694"/>
  <c r="G4" i="14694"/>
  <c r="D4" i="14694"/>
  <c r="E4" i="14694"/>
  <c r="C4" i="14694"/>
  <c r="H4" i="14694"/>
  <c r="F4" i="14694"/>
  <c r="M16" i="14662"/>
  <c r="M73" i="14662" s="1"/>
  <c r="G11" i="14626"/>
  <c r="G9" i="14626" s="1"/>
  <c r="G29" i="14626" s="1"/>
  <c r="D42" i="14706"/>
  <c r="D28" i="14667"/>
  <c r="I18" i="14622"/>
  <c r="B4" i="14692"/>
  <c r="C4" i="14692"/>
  <c r="E4" i="14692"/>
  <c r="G4" i="14692"/>
  <c r="F4" i="14692"/>
  <c r="D4" i="14692"/>
  <c r="H4" i="14692"/>
  <c r="B5" i="14695"/>
  <c r="G5" i="14695"/>
  <c r="E5" i="14695"/>
  <c r="C5" i="14695"/>
  <c r="H5" i="14695"/>
  <c r="D5" i="14695"/>
  <c r="F5" i="14695"/>
  <c r="C7" i="14675" a="1"/>
  <c r="F46" i="14622"/>
  <c r="C7" i="14674" a="1"/>
  <c r="E46" i="14622"/>
  <c r="H9" i="14667"/>
  <c r="F5" i="14667"/>
  <c r="C16" i="14649"/>
  <c r="B24" i="14649" s="1"/>
  <c r="D6" i="11"/>
  <c r="D32" i="11" s="1"/>
  <c r="C32" i="11"/>
  <c r="C7" i="14634" a="1"/>
  <c r="C46" i="14622"/>
  <c r="D46" i="14622"/>
  <c r="C7" i="14639" a="1"/>
  <c r="H20" i="14706"/>
  <c r="F16" i="14706"/>
  <c r="K21" i="14628"/>
  <c r="J21" i="14628"/>
  <c r="G21" i="14628"/>
  <c r="I21" i="14628"/>
  <c r="N21" i="14628"/>
  <c r="F21" i="14628"/>
  <c r="C21" i="14628"/>
  <c r="M21" i="14628"/>
  <c r="D21" i="14628"/>
  <c r="E21" i="14628"/>
  <c r="H21" i="14628"/>
  <c r="L21" i="14628"/>
  <c r="I17" i="8"/>
  <c r="I18" i="8" s="1"/>
  <c r="G17" i="8"/>
  <c r="G18" i="8" s="1"/>
  <c r="K17" i="8"/>
  <c r="K18" i="8" s="1"/>
  <c r="H17" i="8"/>
  <c r="H18" i="8" s="1"/>
  <c r="F17" i="8"/>
  <c r="F18" i="8" s="1"/>
  <c r="C17" i="8"/>
  <c r="C18" i="8" s="1"/>
  <c r="E17" i="8"/>
  <c r="E18" i="8" s="1"/>
  <c r="D17" i="8"/>
  <c r="D18" i="8" s="1"/>
  <c r="M17" i="8"/>
  <c r="M18" i="8" s="1"/>
  <c r="J17" i="8"/>
  <c r="J18" i="8" s="1"/>
  <c r="B17" i="8"/>
  <c r="L17" i="8"/>
  <c r="L18" i="8" s="1"/>
  <c r="C17" i="14617"/>
  <c r="B18" i="14617"/>
  <c r="B33" i="14673" l="1"/>
  <c r="B34" i="14673"/>
  <c r="B35" i="14673"/>
  <c r="B36" i="14673"/>
  <c r="B37" i="14673"/>
  <c r="B38" i="14673"/>
  <c r="B39" i="14673"/>
  <c r="B40" i="14673"/>
  <c r="B41" i="14673"/>
  <c r="B42" i="14673"/>
  <c r="B43" i="14673"/>
  <c r="B44" i="14673"/>
  <c r="B45" i="14673"/>
  <c r="B46" i="14673"/>
  <c r="B47" i="14673"/>
  <c r="B48" i="14673"/>
  <c r="B49" i="14673"/>
  <c r="B50" i="14673"/>
  <c r="B51" i="14673"/>
  <c r="B52" i="14673"/>
  <c r="B53" i="14673"/>
  <c r="B54" i="14673"/>
  <c r="F36" i="14673"/>
  <c r="F41" i="14673"/>
  <c r="F45" i="14673"/>
  <c r="F49" i="14673"/>
  <c r="F52" i="14673"/>
  <c r="L33" i="14673"/>
  <c r="L41" i="14673"/>
  <c r="L48" i="14673"/>
  <c r="M34" i="14673"/>
  <c r="M42" i="14673"/>
  <c r="M49" i="14673"/>
  <c r="C33" i="14673"/>
  <c r="C34" i="14673"/>
  <c r="C35" i="14673"/>
  <c r="C36" i="14673"/>
  <c r="C37" i="14673"/>
  <c r="C38" i="14673"/>
  <c r="C39" i="14673"/>
  <c r="C40" i="14673"/>
  <c r="C41" i="14673"/>
  <c r="C42" i="14673"/>
  <c r="C43" i="14673"/>
  <c r="C44" i="14673"/>
  <c r="C45" i="14673"/>
  <c r="C46" i="14673"/>
  <c r="C47" i="14673"/>
  <c r="C48" i="14673"/>
  <c r="C49" i="14673"/>
  <c r="C50" i="14673"/>
  <c r="C51" i="14673"/>
  <c r="C52" i="14673"/>
  <c r="C53" i="14673"/>
  <c r="C54" i="14673"/>
  <c r="F35" i="14673"/>
  <c r="F37" i="14673"/>
  <c r="F40" i="14673"/>
  <c r="F44" i="14673"/>
  <c r="F47" i="14673"/>
  <c r="F51" i="14673"/>
  <c r="L36" i="14673"/>
  <c r="L42" i="14673"/>
  <c r="L50" i="14673"/>
  <c r="M35" i="14673"/>
  <c r="M41" i="14673"/>
  <c r="M46" i="14673"/>
  <c r="M52" i="14673"/>
  <c r="D33" i="14673"/>
  <c r="D34" i="14673"/>
  <c r="D35" i="14673"/>
  <c r="D36" i="14673"/>
  <c r="D37" i="14673"/>
  <c r="D38" i="14673"/>
  <c r="D39" i="14673"/>
  <c r="D40" i="14673"/>
  <c r="D41" i="14673"/>
  <c r="D42" i="14673"/>
  <c r="D43" i="14673"/>
  <c r="D44" i="14673"/>
  <c r="D45" i="14673"/>
  <c r="D46" i="14673"/>
  <c r="D47" i="14673"/>
  <c r="D48" i="14673"/>
  <c r="D49" i="14673"/>
  <c r="D50" i="14673"/>
  <c r="D51" i="14673"/>
  <c r="D52" i="14673"/>
  <c r="D53" i="14673"/>
  <c r="D54" i="14673"/>
  <c r="F34" i="14673"/>
  <c r="F38" i="14673"/>
  <c r="F42" i="14673"/>
  <c r="F46" i="14673"/>
  <c r="F50" i="14673"/>
  <c r="F54" i="14673"/>
  <c r="L39" i="14673"/>
  <c r="L44" i="14673"/>
  <c r="L51" i="14673"/>
  <c r="M33" i="14673"/>
  <c r="M39" i="14673"/>
  <c r="M47" i="14673"/>
  <c r="M53" i="14673"/>
  <c r="E33" i="14673"/>
  <c r="E34" i="14673"/>
  <c r="E35" i="14673"/>
  <c r="E36" i="14673"/>
  <c r="E37" i="14673"/>
  <c r="E38" i="14673"/>
  <c r="E39" i="14673"/>
  <c r="E40" i="14673"/>
  <c r="E41" i="14673"/>
  <c r="E42" i="14673"/>
  <c r="E43" i="14673"/>
  <c r="E44" i="14673"/>
  <c r="E45" i="14673"/>
  <c r="E46" i="14673"/>
  <c r="E47" i="14673"/>
  <c r="E48" i="14673"/>
  <c r="E49" i="14673"/>
  <c r="E50" i="14673"/>
  <c r="E51" i="14673"/>
  <c r="E52" i="14673"/>
  <c r="E53" i="14673"/>
  <c r="E54" i="14673"/>
  <c r="F33" i="14673"/>
  <c r="F39" i="14673"/>
  <c r="F43" i="14673"/>
  <c r="F48" i="14673"/>
  <c r="F53" i="14673"/>
  <c r="L35" i="14673"/>
  <c r="L43" i="14673"/>
  <c r="L49" i="14673"/>
  <c r="M36" i="14673"/>
  <c r="M40" i="14673"/>
  <c r="M44" i="14673"/>
  <c r="M50" i="14673"/>
  <c r="G33" i="14673"/>
  <c r="G34" i="14673"/>
  <c r="G35" i="14673"/>
  <c r="G36" i="14673"/>
  <c r="G37" i="14673"/>
  <c r="G38" i="14673"/>
  <c r="G39" i="14673"/>
  <c r="G40" i="14673"/>
  <c r="G41" i="14673"/>
  <c r="G42" i="14673"/>
  <c r="G43" i="14673"/>
  <c r="G44" i="14673"/>
  <c r="G45" i="14673"/>
  <c r="G46" i="14673"/>
  <c r="G47" i="14673"/>
  <c r="G48" i="14673"/>
  <c r="G49" i="14673"/>
  <c r="G50" i="14673"/>
  <c r="G51" i="14673"/>
  <c r="G52" i="14673"/>
  <c r="G53" i="14673"/>
  <c r="G54" i="14673"/>
  <c r="K35" i="14673"/>
  <c r="K41" i="14673"/>
  <c r="K46" i="14673"/>
  <c r="K51" i="14673"/>
  <c r="L38" i="14673"/>
  <c r="L47" i="14673"/>
  <c r="L54" i="14673"/>
  <c r="M38" i="14673"/>
  <c r="M45" i="14673"/>
  <c r="M51" i="14673"/>
  <c r="H33" i="14673"/>
  <c r="H34" i="14673"/>
  <c r="H35" i="14673"/>
  <c r="H36" i="14673"/>
  <c r="H37" i="14673"/>
  <c r="H38" i="14673"/>
  <c r="H39" i="14673"/>
  <c r="H40" i="14673"/>
  <c r="H41" i="14673"/>
  <c r="H42" i="14673"/>
  <c r="H43" i="14673"/>
  <c r="H44" i="14673"/>
  <c r="H45" i="14673"/>
  <c r="H46" i="14673"/>
  <c r="H47" i="14673"/>
  <c r="H48" i="14673"/>
  <c r="H49" i="14673"/>
  <c r="H50" i="14673"/>
  <c r="H51" i="14673"/>
  <c r="H52" i="14673"/>
  <c r="H53" i="14673"/>
  <c r="H54" i="14673"/>
  <c r="K36" i="14673"/>
  <c r="K38" i="14673"/>
  <c r="K40" i="14673"/>
  <c r="K44" i="14673"/>
  <c r="K47" i="14673"/>
  <c r="K50" i="14673"/>
  <c r="K54" i="14673"/>
  <c r="L34" i="14673"/>
  <c r="L40" i="14673"/>
  <c r="L46" i="14673"/>
  <c r="L53" i="14673"/>
  <c r="M37" i="14673"/>
  <c r="M43" i="14673"/>
  <c r="M48" i="14673"/>
  <c r="M54" i="14673"/>
  <c r="I33" i="14673"/>
  <c r="I34" i="14673"/>
  <c r="I35" i="14673"/>
  <c r="I36" i="14673"/>
  <c r="I37" i="14673"/>
  <c r="I38" i="14673"/>
  <c r="I39" i="14673"/>
  <c r="I40" i="14673"/>
  <c r="I41" i="14673"/>
  <c r="I42" i="14673"/>
  <c r="I43" i="14673"/>
  <c r="I44" i="14673"/>
  <c r="I45" i="14673"/>
  <c r="I46" i="14673"/>
  <c r="I47" i="14673"/>
  <c r="I48" i="14673"/>
  <c r="I49" i="14673"/>
  <c r="I50" i="14673"/>
  <c r="I51" i="14673"/>
  <c r="I52" i="14673"/>
  <c r="I53" i="14673"/>
  <c r="I54" i="14673"/>
  <c r="K34" i="14673"/>
  <c r="K43" i="14673"/>
  <c r="K48" i="14673"/>
  <c r="K52" i="14673"/>
  <c r="J33" i="14673"/>
  <c r="J34" i="14673"/>
  <c r="J35" i="14673"/>
  <c r="J36" i="14673"/>
  <c r="J37" i="14673"/>
  <c r="J38" i="14673"/>
  <c r="J39" i="14673"/>
  <c r="J40" i="14673"/>
  <c r="J41" i="14673"/>
  <c r="J42" i="14673"/>
  <c r="J43" i="14673"/>
  <c r="J44" i="14673"/>
  <c r="J45" i="14673"/>
  <c r="J46" i="14673"/>
  <c r="J47" i="14673"/>
  <c r="J48" i="14673"/>
  <c r="J49" i="14673"/>
  <c r="J50" i="14673"/>
  <c r="J51" i="14673"/>
  <c r="J52" i="14673"/>
  <c r="J53" i="14673"/>
  <c r="J54" i="14673"/>
  <c r="K33" i="14673"/>
  <c r="K37" i="14673"/>
  <c r="K39" i="14673"/>
  <c r="K42" i="14673"/>
  <c r="K45" i="14673"/>
  <c r="K49" i="14673"/>
  <c r="K53" i="14673"/>
  <c r="L37" i="14673"/>
  <c r="L45" i="14673"/>
  <c r="L52" i="14673"/>
  <c r="L5" i="14634"/>
  <c r="E5" i="14634"/>
  <c r="C42" i="14679"/>
  <c r="L37" i="14679"/>
  <c r="N67" i="14702"/>
  <c r="D5" i="14634"/>
  <c r="J5" i="14634"/>
  <c r="M5" i="14634"/>
  <c r="F5" i="14634"/>
  <c r="I5" i="14634"/>
  <c r="G5" i="14634"/>
  <c r="K5" i="14634"/>
  <c r="C5" i="14634"/>
  <c r="N5" i="14634"/>
  <c r="C5" i="14675" a="1"/>
  <c r="N5" i="14675" s="1"/>
  <c r="C41" i="14679"/>
  <c r="M38" i="14679"/>
  <c r="K42" i="14679"/>
  <c r="K38" i="14679"/>
  <c r="D37" i="14679"/>
  <c r="D41" i="14679"/>
  <c r="K51" i="14632" a="1"/>
  <c r="K51" i="14632" s="1"/>
  <c r="F39" i="14679"/>
  <c r="J37" i="14679"/>
  <c r="M41" i="14679"/>
  <c r="H35" i="14679"/>
  <c r="G36" i="14679"/>
  <c r="L36" i="14679"/>
  <c r="C40" i="14679"/>
  <c r="K39" i="14679"/>
  <c r="B37" i="14679"/>
  <c r="M51" i="14632" a="1"/>
  <c r="M51" i="14632" s="1"/>
  <c r="N53" i="14632" a="1"/>
  <c r="N53" i="14632" s="1"/>
  <c r="L52" i="14632" a="1"/>
  <c r="L52" i="14632" s="1"/>
  <c r="G42" i="14679"/>
  <c r="I42" i="14679"/>
  <c r="I35" i="14679"/>
  <c r="B36" i="14679"/>
  <c r="H36" i="14679"/>
  <c r="E36" i="14679"/>
  <c r="D38" i="14679"/>
  <c r="D39" i="14679"/>
  <c r="G40" i="14679"/>
  <c r="B39" i="14679"/>
  <c r="E41" i="14679"/>
  <c r="I39" i="14679"/>
  <c r="F49" i="14632" a="1"/>
  <c r="F49" i="14632" s="1"/>
  <c r="K35" i="14679"/>
  <c r="L35" i="14679"/>
  <c r="L39" i="14679"/>
  <c r="C38" i="14679"/>
  <c r="H41" i="14679"/>
  <c r="B35" i="14679"/>
  <c r="M39" i="14679"/>
  <c r="L41" i="14679"/>
  <c r="I36" i="14679"/>
  <c r="L40" i="14679"/>
  <c r="B38" i="14679"/>
  <c r="G41" i="14679"/>
  <c r="H42" i="14679"/>
  <c r="G35" i="14679"/>
  <c r="B40" i="14679"/>
  <c r="C36" i="14679"/>
  <c r="D36" i="14679"/>
  <c r="J39" i="14679"/>
  <c r="J40" i="14679"/>
  <c r="D35" i="14679"/>
  <c r="E40" i="14679"/>
  <c r="F37" i="14679"/>
  <c r="F40" i="14679"/>
  <c r="D40" i="14679"/>
  <c r="B42" i="14679"/>
  <c r="J38" i="14679"/>
  <c r="H39" i="14679"/>
  <c r="H50" i="14632" a="1"/>
  <c r="H50" i="14632" s="1"/>
  <c r="I43" i="14632"/>
  <c r="L38" i="14679"/>
  <c r="K37" i="14679"/>
  <c r="E35" i="14679"/>
  <c r="F35" i="14679"/>
  <c r="K36" i="14679"/>
  <c r="F42" i="14679"/>
  <c r="H43" i="14632"/>
  <c r="M43" i="14632"/>
  <c r="M40" i="14679"/>
  <c r="I41" i="14679"/>
  <c r="C39" i="14679"/>
  <c r="G38" i="14679"/>
  <c r="M42" i="14679"/>
  <c r="C37" i="14679"/>
  <c r="H40" i="14679"/>
  <c r="F41" i="14679"/>
  <c r="H37" i="14679"/>
  <c r="C35" i="14679"/>
  <c r="J36" i="14679"/>
  <c r="J42" i="14679"/>
  <c r="J41" i="14679"/>
  <c r="L42" i="14679"/>
  <c r="G37" i="14679"/>
  <c r="H38" i="14679"/>
  <c r="E39" i="14679"/>
  <c r="I40" i="14679"/>
  <c r="J35" i="14679"/>
  <c r="E37" i="14679"/>
  <c r="I37" i="14679"/>
  <c r="E42" i="14679"/>
  <c r="B41" i="14679"/>
  <c r="M35" i="14679"/>
  <c r="M37" i="14679"/>
  <c r="F38" i="14679"/>
  <c r="I38" i="14679"/>
  <c r="K41" i="14679"/>
  <c r="M36" i="14679"/>
  <c r="D42" i="14679"/>
  <c r="F36" i="14679"/>
  <c r="K40" i="14679"/>
  <c r="E38" i="14679"/>
  <c r="N35" i="14632"/>
  <c r="K50" i="14632" a="1"/>
  <c r="K50" i="14632" s="1"/>
  <c r="I49" i="14632" a="1"/>
  <c r="I49" i="14632" s="1"/>
  <c r="N39" i="14632"/>
  <c r="O54" i="14632" a="1"/>
  <c r="O54" i="14632" s="1"/>
  <c r="P51" i="14632" a="1"/>
  <c r="P51" i="14632" s="1"/>
  <c r="N49" i="14632" a="1"/>
  <c r="N49" i="14632" s="1"/>
  <c r="M52" i="14632" a="1"/>
  <c r="M52" i="14632" s="1"/>
  <c r="R53" i="14632" a="1"/>
  <c r="R53" i="14632" s="1"/>
  <c r="M53" i="14632" a="1"/>
  <c r="M53" i="14632" s="1"/>
  <c r="Q52" i="14632" a="1"/>
  <c r="Q52" i="14632" s="1"/>
  <c r="M48" i="14632" a="1"/>
  <c r="M48" i="14632" s="1"/>
  <c r="N54" i="14632" a="1"/>
  <c r="N54" i="14632" s="1"/>
  <c r="S54" i="14632" a="1"/>
  <c r="S54" i="14632" s="1"/>
  <c r="G54" i="14638" s="1"/>
  <c r="H48" i="14632" a="1"/>
  <c r="H48" i="14632" s="1"/>
  <c r="O50" i="14632" a="1"/>
  <c r="O50" i="14632" s="1"/>
  <c r="J50" i="14632" a="1"/>
  <c r="J50" i="14632" s="1"/>
  <c r="J52" i="14632" a="1"/>
  <c r="J52" i="14632" s="1"/>
  <c r="M49" i="14632" a="1"/>
  <c r="M49" i="14632" s="1"/>
  <c r="N36" i="14632"/>
  <c r="G53" i="14632" a="1"/>
  <c r="G53" i="14632" s="1"/>
  <c r="H54" i="14632" a="1"/>
  <c r="H54" i="14632" s="1"/>
  <c r="H49" i="14632" a="1"/>
  <c r="H49" i="14632" s="1"/>
  <c r="F52" i="14632" a="1"/>
  <c r="F52" i="14632" s="1"/>
  <c r="J49" i="14632" a="1"/>
  <c r="J49" i="14632" s="1"/>
  <c r="I50" i="14632" a="1"/>
  <c r="I50" i="14632" s="1"/>
  <c r="B43" i="14632"/>
  <c r="L51" i="14632" a="1"/>
  <c r="L51" i="14632" s="1"/>
  <c r="L53" i="14632" a="1"/>
  <c r="L53" i="14632" s="1"/>
  <c r="D50" i="14632" a="1"/>
  <c r="D50" i="14632" s="1"/>
  <c r="I51" i="14632" a="1"/>
  <c r="I51" i="14632" s="1"/>
  <c r="K53" i="14632" a="1"/>
  <c r="K53" i="14632" s="1"/>
  <c r="M54" i="14632" a="1"/>
  <c r="M54" i="14632" s="1"/>
  <c r="E51" i="14632" a="1"/>
  <c r="E51" i="14632" s="1"/>
  <c r="I48" i="14632" a="1"/>
  <c r="I48" i="14632" s="1"/>
  <c r="P54" i="14632" a="1"/>
  <c r="P54" i="14632" s="1"/>
  <c r="L54" i="14632" a="1"/>
  <c r="L54" i="14632" s="1"/>
  <c r="G48" i="14632" a="1"/>
  <c r="G48" i="14632" s="1"/>
  <c r="B48" i="14632" a="1"/>
  <c r="B48" i="14632" s="1"/>
  <c r="B55" i="14632" s="1"/>
  <c r="C49" i="14632" a="1"/>
  <c r="C49" i="14632" s="1"/>
  <c r="F51" i="14632" a="1"/>
  <c r="F51" i="14632" s="1"/>
  <c r="F43" i="14632"/>
  <c r="G43" i="14632"/>
  <c r="G49" i="14632" a="1"/>
  <c r="G49" i="14632" s="1"/>
  <c r="F48" i="14632" a="1"/>
  <c r="F48" i="14632" s="1"/>
  <c r="K52" i="14632" a="1"/>
  <c r="K52" i="14632" s="1"/>
  <c r="N37" i="14632"/>
  <c r="J51" i="14632" a="1"/>
  <c r="J51" i="14632" s="1"/>
  <c r="J54" i="14632" a="1"/>
  <c r="J54" i="14632" s="1"/>
  <c r="H53" i="14632" a="1"/>
  <c r="H53" i="14632" s="1"/>
  <c r="J48" i="14632" a="1"/>
  <c r="J48" i="14632" s="1"/>
  <c r="N41" i="14632"/>
  <c r="K48" i="14632" a="1"/>
  <c r="K48" i="14632" s="1"/>
  <c r="O51" i="14632" a="1"/>
  <c r="O51" i="14632" s="1"/>
  <c r="J53" i="14632" a="1"/>
  <c r="J53" i="14632" s="1"/>
  <c r="K49" i="14632" a="1"/>
  <c r="K49" i="14632" s="1"/>
  <c r="E50" i="14632" a="1"/>
  <c r="E50" i="14632" s="1"/>
  <c r="N51" i="14632" a="1"/>
  <c r="N51" i="14632" s="1"/>
  <c r="I52" i="14632" a="1"/>
  <c r="I52" i="14632" s="1"/>
  <c r="N52" i="14632" a="1"/>
  <c r="N52" i="14632" s="1"/>
  <c r="G52" i="14632" a="1"/>
  <c r="G52" i="14632" s="1"/>
  <c r="L49" i="14632" a="1"/>
  <c r="L49" i="14632" s="1"/>
  <c r="H51" i="14632" a="1"/>
  <c r="H51" i="14632" s="1"/>
  <c r="L50" i="14632" a="1"/>
  <c r="L50" i="14632" s="1"/>
  <c r="I54" i="14632" a="1"/>
  <c r="I54" i="14632" s="1"/>
  <c r="P53" i="14632" a="1"/>
  <c r="P53" i="14632" s="1"/>
  <c r="K54" i="14632" a="1"/>
  <c r="K54" i="14632" s="1"/>
  <c r="R54" i="14632" a="1"/>
  <c r="R54" i="14632" s="1"/>
  <c r="C43" i="14632"/>
  <c r="O52" i="14632" a="1"/>
  <c r="O52" i="14632" s="1"/>
  <c r="H52" i="14632" a="1"/>
  <c r="H52" i="14632" s="1"/>
  <c r="L48" i="14632" a="1"/>
  <c r="L48" i="14632" s="1"/>
  <c r="D49" i="14632" a="1"/>
  <c r="D49" i="14632" s="1"/>
  <c r="K43" i="14632"/>
  <c r="E49" i="14632" a="1"/>
  <c r="E49" i="14632" s="1"/>
  <c r="P52" i="14632" a="1"/>
  <c r="P52" i="14632" s="1"/>
  <c r="C48" i="14632" a="1"/>
  <c r="C48" i="14632" s="1"/>
  <c r="N38" i="14632"/>
  <c r="Q54" i="14632" a="1"/>
  <c r="Q54" i="14632" s="1"/>
  <c r="D48" i="14632" a="1"/>
  <c r="D48" i="14632" s="1"/>
  <c r="Q53" i="14632" a="1"/>
  <c r="Q53" i="14632" s="1"/>
  <c r="M50" i="14632" a="1"/>
  <c r="M50" i="14632" s="1"/>
  <c r="N42" i="14632"/>
  <c r="I53" i="14632" a="1"/>
  <c r="I53" i="14632" s="1"/>
  <c r="O53" i="14632" a="1"/>
  <c r="O53" i="14632" s="1"/>
  <c r="L43" i="14632"/>
  <c r="N40" i="14632"/>
  <c r="E48" i="14632" a="1"/>
  <c r="E48" i="14632" s="1"/>
  <c r="F50" i="14632" a="1"/>
  <c r="F50" i="14632" s="1"/>
  <c r="J43" i="14632"/>
  <c r="N50" i="14632" a="1"/>
  <c r="N50" i="14632" s="1"/>
  <c r="G50" i="14632" a="1"/>
  <c r="G50" i="14632" s="1"/>
  <c r="D43" i="14632"/>
  <c r="E43" i="14632"/>
  <c r="G51" i="14632" a="1"/>
  <c r="G51" i="14632" s="1"/>
  <c r="N64" i="14701"/>
  <c r="N60" i="14701"/>
  <c r="M67" i="14701"/>
  <c r="D67" i="14701"/>
  <c r="K67" i="14701"/>
  <c r="N62" i="14701"/>
  <c r="N63" i="14701"/>
  <c r="F67" i="14701"/>
  <c r="N65" i="14701"/>
  <c r="I67" i="14701"/>
  <c r="L67" i="14701"/>
  <c r="G67" i="14701"/>
  <c r="J67" i="14701"/>
  <c r="C67" i="14701"/>
  <c r="G42" i="14638"/>
  <c r="M35" i="14638"/>
  <c r="B35" i="14638"/>
  <c r="B39" i="14638"/>
  <c r="J39" i="14638"/>
  <c r="C41" i="14638"/>
  <c r="I38" i="14638"/>
  <c r="D39" i="14638"/>
  <c r="B36" i="14638"/>
  <c r="H39" i="14638"/>
  <c r="F41" i="14638"/>
  <c r="K36" i="14638"/>
  <c r="H41" i="14638"/>
  <c r="H40" i="14638"/>
  <c r="E39" i="14638"/>
  <c r="K35" i="14638"/>
  <c r="K37" i="14638"/>
  <c r="B41" i="14638"/>
  <c r="F40" i="14638"/>
  <c r="D42" i="14638"/>
  <c r="L40" i="14638"/>
  <c r="H37" i="14638"/>
  <c r="J37" i="14638"/>
  <c r="C42" i="14638"/>
  <c r="D38" i="14638"/>
  <c r="M38" i="14638"/>
  <c r="C37" i="14638"/>
  <c r="B38" i="14638"/>
  <c r="L37" i="14638"/>
  <c r="F38" i="14638"/>
  <c r="I42" i="14638"/>
  <c r="M42" i="14638"/>
  <c r="E40" i="14638"/>
  <c r="I37" i="14638"/>
  <c r="J35" i="14638"/>
  <c r="K40" i="14638"/>
  <c r="M40" i="14638"/>
  <c r="J38" i="14638"/>
  <c r="J42" i="14638"/>
  <c r="E42" i="14638"/>
  <c r="C35" i="14638"/>
  <c r="I39" i="14638"/>
  <c r="J36" i="14638"/>
  <c r="L38" i="14638"/>
  <c r="D35" i="14638"/>
  <c r="G37" i="14638"/>
  <c r="G39" i="14638"/>
  <c r="F39" i="14638"/>
  <c r="L41" i="14638"/>
  <c r="L42" i="14638"/>
  <c r="C38" i="14638"/>
  <c r="J41" i="14638"/>
  <c r="L39" i="14638"/>
  <c r="M37" i="14638"/>
  <c r="J40" i="14638"/>
  <c r="B40" i="14638"/>
  <c r="K39" i="14638"/>
  <c r="E35" i="14638"/>
  <c r="F37" i="14638"/>
  <c r="G36" i="14638"/>
  <c r="G38" i="14638"/>
  <c r="K41" i="14638"/>
  <c r="L35" i="14638"/>
  <c r="H36" i="14638"/>
  <c r="F36" i="14638"/>
  <c r="F35" i="14638"/>
  <c r="D41" i="14638"/>
  <c r="G35" i="14638"/>
  <c r="C36" i="14638"/>
  <c r="M36" i="14638"/>
  <c r="L36" i="14638"/>
  <c r="M39" i="14638"/>
  <c r="F42" i="14638"/>
  <c r="C40" i="14638"/>
  <c r="H42" i="14638"/>
  <c r="E38" i="14638"/>
  <c r="K38" i="14638"/>
  <c r="H35" i="14638"/>
  <c r="D37" i="14638"/>
  <c r="D36" i="14638"/>
  <c r="H38" i="14638"/>
  <c r="G40" i="14638"/>
  <c r="E36" i="14638"/>
  <c r="B37" i="14638"/>
  <c r="I35" i="14638"/>
  <c r="M41" i="14638"/>
  <c r="I40" i="14638"/>
  <c r="E37" i="14638"/>
  <c r="I41" i="14638"/>
  <c r="E41" i="14638"/>
  <c r="I36" i="14638"/>
  <c r="B42" i="14638"/>
  <c r="K42" i="14638"/>
  <c r="D40" i="14638"/>
  <c r="C39" i="14638"/>
  <c r="G41" i="14638"/>
  <c r="H67" i="14701"/>
  <c r="N66" i="14701"/>
  <c r="N61" i="14701"/>
  <c r="E67" i="14701"/>
  <c r="C5" i="14639" a="1"/>
  <c r="N67" i="14700"/>
  <c r="N59" i="14701"/>
  <c r="B35" i="14678" a="1"/>
  <c r="B67" i="14701"/>
  <c r="C9" i="14617" a="1"/>
  <c r="N55" i="14672"/>
  <c r="F15" i="14657" s="1"/>
  <c r="E29" i="14682" a="1"/>
  <c r="N13" i="8"/>
  <c r="B13" i="14617" s="1"/>
  <c r="C6" i="14674" a="1"/>
  <c r="H6" i="14674" s="1"/>
  <c r="N60" i="14672"/>
  <c r="D7" i="14690" a="1"/>
  <c r="E7" i="14690" s="1"/>
  <c r="E9" i="14690" s="1"/>
  <c r="C7" i="14639"/>
  <c r="H7" i="14639"/>
  <c r="N7" i="14639"/>
  <c r="M7" i="14639"/>
  <c r="K7" i="14639"/>
  <c r="L7" i="14639"/>
  <c r="D7" i="14639"/>
  <c r="E7" i="14639"/>
  <c r="I7" i="14639"/>
  <c r="G7" i="14639"/>
  <c r="J7" i="14639"/>
  <c r="F7" i="14639"/>
  <c r="C15" i="14649"/>
  <c r="H26" i="14622"/>
  <c r="C82" i="14689" a="1"/>
  <c r="J9" i="14667"/>
  <c r="H5" i="14667"/>
  <c r="F42" i="14706"/>
  <c r="D39" i="14706"/>
  <c r="J20" i="14706"/>
  <c r="H16" i="14706"/>
  <c r="G7" i="14634"/>
  <c r="I7" i="14634"/>
  <c r="K7" i="14634"/>
  <c r="E7" i="14634"/>
  <c r="L7" i="14634"/>
  <c r="H7" i="14634"/>
  <c r="H9" i="14634" s="1"/>
  <c r="C7" i="14634"/>
  <c r="J7" i="14634"/>
  <c r="J9" i="14634" s="1"/>
  <c r="M7" i="14634"/>
  <c r="M9" i="14634" s="1"/>
  <c r="D7" i="14634"/>
  <c r="D9" i="14634" s="1"/>
  <c r="N7" i="14634"/>
  <c r="F7" i="14634"/>
  <c r="E16" i="11" a="1"/>
  <c r="B26" i="14622"/>
  <c r="B28" i="14622" s="1"/>
  <c r="E32" i="11"/>
  <c r="E22" i="11" a="1"/>
  <c r="E6" i="11" a="1"/>
  <c r="I7" i="14674"/>
  <c r="K7" i="14674"/>
  <c r="L7" i="14674"/>
  <c r="E7" i="14674"/>
  <c r="H7" i="14674"/>
  <c r="J7" i="14674"/>
  <c r="F7" i="14674"/>
  <c r="M7" i="14674"/>
  <c r="C7" i="14674"/>
  <c r="D7" i="14674"/>
  <c r="G7" i="14674"/>
  <c r="N7" i="14674"/>
  <c r="E7" i="14675"/>
  <c r="I7" i="14675"/>
  <c r="D7" i="14675"/>
  <c r="H7" i="14675"/>
  <c r="G7" i="14675"/>
  <c r="L7" i="14675"/>
  <c r="K7" i="14675"/>
  <c r="J7" i="14675"/>
  <c r="M7" i="14675"/>
  <c r="F7" i="14675"/>
  <c r="N7" i="14675"/>
  <c r="C7" i="14675"/>
  <c r="F28" i="14667"/>
  <c r="D26" i="14667"/>
  <c r="B40" i="14649"/>
  <c r="C18" i="14617"/>
  <c r="B24" i="14708"/>
  <c r="B18" i="8"/>
  <c r="N17" i="8"/>
  <c r="O21" i="14628"/>
  <c r="D22" i="14628"/>
  <c r="D24" i="14628" s="1"/>
  <c r="L9" i="14634" l="1"/>
  <c r="E9" i="14634"/>
  <c r="S55" i="14632"/>
  <c r="G9" i="14634"/>
  <c r="I9" i="14634"/>
  <c r="F9" i="14634"/>
  <c r="K9" i="14634"/>
  <c r="N9" i="14634"/>
  <c r="C5" i="14675"/>
  <c r="F5" i="14675"/>
  <c r="M5" i="14675"/>
  <c r="E5" i="14675"/>
  <c r="N38" i="14679"/>
  <c r="G5" i="14675"/>
  <c r="C55" i="14632"/>
  <c r="D50" i="14679" a="1"/>
  <c r="D50" i="14679" s="1"/>
  <c r="D5" i="14675"/>
  <c r="H5" i="14675"/>
  <c r="J5" i="14675"/>
  <c r="K5" i="14675"/>
  <c r="I5" i="14675"/>
  <c r="L5" i="14675"/>
  <c r="N36" i="14679"/>
  <c r="J48" i="14679" a="1"/>
  <c r="J48" i="14679" s="1"/>
  <c r="L48" i="14679" a="1"/>
  <c r="L48" i="14679" s="1"/>
  <c r="M54" i="14679" a="1"/>
  <c r="M54" i="14679" s="1"/>
  <c r="R55" i="14632"/>
  <c r="N53" i="14679" a="1"/>
  <c r="N53" i="14679" s="1"/>
  <c r="K49" i="14679" a="1"/>
  <c r="K49" i="14679" s="1"/>
  <c r="G50" i="14679" a="1"/>
  <c r="G50" i="14679" s="1"/>
  <c r="H50" i="14679" a="1"/>
  <c r="H50" i="14679" s="1"/>
  <c r="H48" i="14679" a="1"/>
  <c r="H48" i="14679" s="1"/>
  <c r="E49" i="14679" a="1"/>
  <c r="E49" i="14679" s="1"/>
  <c r="R54" i="14679" a="1"/>
  <c r="R54" i="14679" s="1"/>
  <c r="K52" i="14679" a="1"/>
  <c r="K52" i="14679" s="1"/>
  <c r="I48" i="14679" a="1"/>
  <c r="I48" i="14679" s="1"/>
  <c r="N37" i="14679"/>
  <c r="N51" i="14679" a="1"/>
  <c r="N51" i="14679" s="1"/>
  <c r="R53" i="14679" a="1"/>
  <c r="R53" i="14679" s="1"/>
  <c r="D55" i="14632"/>
  <c r="G53" i="14679" a="1"/>
  <c r="G53" i="14679" s="1"/>
  <c r="L51" i="14679" a="1"/>
  <c r="L51" i="14679" s="1"/>
  <c r="N52" i="14679" a="1"/>
  <c r="N52" i="14679" s="1"/>
  <c r="G51" i="14679" a="1"/>
  <c r="G51" i="14679" s="1"/>
  <c r="H49" i="14679" a="1"/>
  <c r="H49" i="14679" s="1"/>
  <c r="O52" i="14679" a="1"/>
  <c r="O52" i="14679" s="1"/>
  <c r="O51" i="14679" a="1"/>
  <c r="O51" i="14679" s="1"/>
  <c r="P51" i="14679" a="1"/>
  <c r="P51" i="14679" s="1"/>
  <c r="J43" i="14679"/>
  <c r="I53" i="14679" a="1"/>
  <c r="I53" i="14679" s="1"/>
  <c r="L53" i="14679" a="1"/>
  <c r="L53" i="14679" s="1"/>
  <c r="L49" i="14679" a="1"/>
  <c r="L49" i="14679" s="1"/>
  <c r="O53" i="14679" a="1"/>
  <c r="O53" i="14679" s="1"/>
  <c r="M53" i="14679" a="1"/>
  <c r="M53" i="14679" s="1"/>
  <c r="S54" i="14679" a="1"/>
  <c r="S54" i="14679" s="1"/>
  <c r="S55" i="14679" s="1"/>
  <c r="L50" i="14679" a="1"/>
  <c r="L50" i="14679" s="1"/>
  <c r="D43" i="14679"/>
  <c r="G43" i="14679"/>
  <c r="K43" i="14679"/>
  <c r="N54" i="14679" a="1"/>
  <c r="N54" i="14679" s="1"/>
  <c r="Q52" i="14679" a="1"/>
  <c r="Q52" i="14679" s="1"/>
  <c r="P54" i="14679" a="1"/>
  <c r="P54" i="14679" s="1"/>
  <c r="J54" i="14679" a="1"/>
  <c r="J54" i="14679" s="1"/>
  <c r="P53" i="14679" a="1"/>
  <c r="P53" i="14679" s="1"/>
  <c r="K51" i="14679" a="1"/>
  <c r="K51" i="14679" s="1"/>
  <c r="M43" i="14679"/>
  <c r="M51" i="14679" a="1"/>
  <c r="M51" i="14679" s="1"/>
  <c r="F50" i="14679" a="1"/>
  <c r="F50" i="14679" s="1"/>
  <c r="P52" i="14679" a="1"/>
  <c r="P52" i="14679" s="1"/>
  <c r="K48" i="14679" a="1"/>
  <c r="K48" i="14679" s="1"/>
  <c r="G48" i="14679" a="1"/>
  <c r="G48" i="14679" s="1"/>
  <c r="H43" i="14679"/>
  <c r="O50" i="14679" a="1"/>
  <c r="O50" i="14679" s="1"/>
  <c r="D48" i="14679" a="1"/>
  <c r="D48" i="14679" s="1"/>
  <c r="L43" i="14679"/>
  <c r="M50" i="14679" a="1"/>
  <c r="M50" i="14679" s="1"/>
  <c r="I49" i="14679" a="1"/>
  <c r="I49" i="14679" s="1"/>
  <c r="M48" i="14679" a="1"/>
  <c r="M48" i="14679" s="1"/>
  <c r="F53" i="14638" a="1"/>
  <c r="H52" i="14679" a="1"/>
  <c r="H52" i="14679" s="1"/>
  <c r="M49" i="14679" a="1"/>
  <c r="M49" i="14679" s="1"/>
  <c r="Q54" i="14679" a="1"/>
  <c r="Q54" i="14679" s="1"/>
  <c r="J50" i="14679" a="1"/>
  <c r="J50" i="14679" s="1"/>
  <c r="N49" i="14679" a="1"/>
  <c r="N49" i="14679" s="1"/>
  <c r="J51" i="14679" a="1"/>
  <c r="J51" i="14679" s="1"/>
  <c r="N50" i="14679" a="1"/>
  <c r="N50" i="14679" s="1"/>
  <c r="C50" i="14638" a="1"/>
  <c r="C52" i="14638" s="1"/>
  <c r="N43" i="14632"/>
  <c r="N42" i="14679"/>
  <c r="E50" i="14679" a="1"/>
  <c r="E50" i="14679" s="1"/>
  <c r="J52" i="14679" a="1"/>
  <c r="J52" i="14679" s="1"/>
  <c r="K50" i="14679" a="1"/>
  <c r="K50" i="14679" s="1"/>
  <c r="L52" i="14679" a="1"/>
  <c r="L52" i="14679" s="1"/>
  <c r="F43" i="14679"/>
  <c r="I50" i="14679" a="1"/>
  <c r="I50" i="14679" s="1"/>
  <c r="Q53" i="14679" a="1"/>
  <c r="Q53" i="14679" s="1"/>
  <c r="D51" i="14638" a="1"/>
  <c r="D53" i="14638" s="1"/>
  <c r="N41" i="14679"/>
  <c r="J49" i="14679" a="1"/>
  <c r="J49" i="14679" s="1"/>
  <c r="E43" i="14679"/>
  <c r="L55" i="14632"/>
  <c r="J55" i="14632"/>
  <c r="M55" i="14632"/>
  <c r="I43" i="14679"/>
  <c r="K54" i="14679" a="1"/>
  <c r="K54" i="14679" s="1"/>
  <c r="G55" i="14632"/>
  <c r="I55" i="14632"/>
  <c r="H55" i="14632"/>
  <c r="O54" i="14679" a="1"/>
  <c r="O54" i="14679" s="1"/>
  <c r="H51" i="14679" a="1"/>
  <c r="H51" i="14679" s="1"/>
  <c r="N35" i="14679"/>
  <c r="E48" i="14679" a="1"/>
  <c r="E48" i="14679" s="1"/>
  <c r="B48" i="14679" a="1"/>
  <c r="B48" i="14679" s="1"/>
  <c r="G52" i="14679" a="1"/>
  <c r="G52" i="14679" s="1"/>
  <c r="M52" i="14679" a="1"/>
  <c r="M52" i="14679" s="1"/>
  <c r="I51" i="14679" a="1"/>
  <c r="I51" i="14679" s="1"/>
  <c r="J53" i="14679" a="1"/>
  <c r="J53" i="14679" s="1"/>
  <c r="N40" i="14679"/>
  <c r="E51" i="14679" a="1"/>
  <c r="E51" i="14679" s="1"/>
  <c r="C48" i="14679" a="1"/>
  <c r="C48" i="14679" s="1"/>
  <c r="L54" i="14679" a="1"/>
  <c r="L54" i="14679" s="1"/>
  <c r="I52" i="14679" a="1"/>
  <c r="I52" i="14679" s="1"/>
  <c r="B43" i="14679"/>
  <c r="D49" i="14679" a="1"/>
  <c r="D49" i="14679" s="1"/>
  <c r="G49" i="14679" a="1"/>
  <c r="G49" i="14679" s="1"/>
  <c r="F49" i="14679" a="1"/>
  <c r="F49" i="14679" s="1"/>
  <c r="C49" i="14679" a="1"/>
  <c r="C49" i="14679" s="1"/>
  <c r="I54" i="14679" a="1"/>
  <c r="I54" i="14679" s="1"/>
  <c r="O55" i="14632"/>
  <c r="K53" i="14679" a="1"/>
  <c r="K53" i="14679" s="1"/>
  <c r="H54" i="14679" a="1"/>
  <c r="H54" i="14679" s="1"/>
  <c r="C43" i="14679"/>
  <c r="F48" i="14679" a="1"/>
  <c r="F48" i="14679" s="1"/>
  <c r="F52" i="14679" a="1"/>
  <c r="F52" i="14679" s="1"/>
  <c r="F51" i="14679" a="1"/>
  <c r="F51" i="14679" s="1"/>
  <c r="H53" i="14679" a="1"/>
  <c r="H53" i="14679" s="1"/>
  <c r="N39" i="14679"/>
  <c r="E55" i="14632"/>
  <c r="F55" i="14632"/>
  <c r="P55" i="14632"/>
  <c r="N55" i="14632"/>
  <c r="Q55" i="14632"/>
  <c r="K55" i="14632"/>
  <c r="B49" i="14638" a="1"/>
  <c r="B49" i="14638" s="1"/>
  <c r="E52" i="14638" a="1"/>
  <c r="E54" i="14638" s="1"/>
  <c r="P51" i="14638" a="1"/>
  <c r="P51" i="14638" s="1"/>
  <c r="M48" i="14638" a="1"/>
  <c r="M48" i="14638" s="1"/>
  <c r="N49" i="14638" a="1"/>
  <c r="N49" i="14638" s="1"/>
  <c r="R53" i="14638" a="1"/>
  <c r="R53" i="14638" s="1"/>
  <c r="O50" i="14638" a="1"/>
  <c r="O50" i="14638" s="1"/>
  <c r="S54" i="14638" a="1"/>
  <c r="S54" i="14638" s="1"/>
  <c r="M43" i="14638"/>
  <c r="Q52" i="14638" a="1"/>
  <c r="Q52" i="14638" s="1"/>
  <c r="J49" i="14638" a="1"/>
  <c r="J49" i="14638" s="1"/>
  <c r="M52" i="14638" a="1"/>
  <c r="M52" i="14638" s="1"/>
  <c r="N53" i="14638" a="1"/>
  <c r="N53" i="14638" s="1"/>
  <c r="O54" i="14638" a="1"/>
  <c r="O54" i="14638" s="1"/>
  <c r="L51" i="14638" a="1"/>
  <c r="L51" i="14638" s="1"/>
  <c r="I43" i="14638"/>
  <c r="I48" i="14638" a="1"/>
  <c r="I48" i="14638" s="1"/>
  <c r="K50" i="14638" a="1"/>
  <c r="K50" i="14638" s="1"/>
  <c r="N37" i="14638"/>
  <c r="K49" i="14638" a="1"/>
  <c r="K49" i="14638" s="1"/>
  <c r="J48" i="14638" a="1"/>
  <c r="J48" i="14638" s="1"/>
  <c r="O53" i="14638" a="1"/>
  <c r="O53" i="14638" s="1"/>
  <c r="M51" i="14638" a="1"/>
  <c r="M51" i="14638" s="1"/>
  <c r="N52" i="14638" a="1"/>
  <c r="N52" i="14638" s="1"/>
  <c r="J43" i="14638"/>
  <c r="P54" i="14638" a="1"/>
  <c r="P54" i="14638" s="1"/>
  <c r="L50" i="14638" a="1"/>
  <c r="L50" i="14638" s="1"/>
  <c r="G50" i="14638" a="1"/>
  <c r="G50" i="14638" s="1"/>
  <c r="J53" i="14638" a="1"/>
  <c r="J53" i="14638" s="1"/>
  <c r="E48" i="14638" a="1"/>
  <c r="E48" i="14638" s="1"/>
  <c r="H51" i="14638" a="1"/>
  <c r="H51" i="14638" s="1"/>
  <c r="K54" i="14638" a="1"/>
  <c r="K54" i="14638" s="1"/>
  <c r="I52" i="14638" a="1"/>
  <c r="I52" i="14638" s="1"/>
  <c r="F49" i="14638" a="1"/>
  <c r="F49" i="14638" s="1"/>
  <c r="E43" i="14638"/>
  <c r="C5" i="14674" a="1"/>
  <c r="N67" i="14701"/>
  <c r="H52" i="14638" a="1"/>
  <c r="H52" i="14638" s="1"/>
  <c r="E49" i="14638" a="1"/>
  <c r="E49" i="14638" s="1"/>
  <c r="G51" i="14638" a="1"/>
  <c r="G51" i="14638" s="1"/>
  <c r="F50" i="14638" a="1"/>
  <c r="F50" i="14638" s="1"/>
  <c r="D43" i="14638"/>
  <c r="J54" i="14638" a="1"/>
  <c r="J54" i="14638" s="1"/>
  <c r="I53" i="14638" a="1"/>
  <c r="I53" i="14638" s="1"/>
  <c r="D48" i="14638" a="1"/>
  <c r="D48" i="14638" s="1"/>
  <c r="N36" i="14638"/>
  <c r="L37" i="14678"/>
  <c r="K41" i="14678"/>
  <c r="I39" i="14678"/>
  <c r="D41" i="14678"/>
  <c r="G36" i="14678"/>
  <c r="I42" i="14678"/>
  <c r="J40" i="14678"/>
  <c r="L35" i="14678"/>
  <c r="G38" i="14678"/>
  <c r="L42" i="14678"/>
  <c r="M41" i="14678"/>
  <c r="C39" i="14678"/>
  <c r="F38" i="14678"/>
  <c r="M42" i="14678"/>
  <c r="F40" i="14678"/>
  <c r="K38" i="14678"/>
  <c r="M40" i="14678"/>
  <c r="H37" i="14678"/>
  <c r="D40" i="14678"/>
  <c r="E39" i="14678"/>
  <c r="H35" i="14678"/>
  <c r="M39" i="14678"/>
  <c r="D38" i="14678"/>
  <c r="B35" i="14678"/>
  <c r="C37" i="14678"/>
  <c r="I40" i="14678"/>
  <c r="C36" i="14678"/>
  <c r="H38" i="14678"/>
  <c r="D36" i="14678"/>
  <c r="G39" i="14678"/>
  <c r="L41" i="14678"/>
  <c r="E40" i="14678"/>
  <c r="K35" i="14678"/>
  <c r="B38" i="14678"/>
  <c r="E36" i="14678"/>
  <c r="F42" i="14678"/>
  <c r="E35" i="14678"/>
  <c r="M37" i="14678"/>
  <c r="I35" i="14678"/>
  <c r="K37" i="14678"/>
  <c r="I37" i="14678"/>
  <c r="J39" i="14678"/>
  <c r="L40" i="14678"/>
  <c r="C40" i="14678"/>
  <c r="G42" i="14678"/>
  <c r="I36" i="14678"/>
  <c r="L36" i="14678"/>
  <c r="E41" i="14678"/>
  <c r="L39" i="14678"/>
  <c r="C38" i="14678"/>
  <c r="B42" i="14678"/>
  <c r="I41" i="14678"/>
  <c r="G41" i="14678"/>
  <c r="E38" i="14678"/>
  <c r="J36" i="14678"/>
  <c r="J38" i="14678"/>
  <c r="F39" i="14678"/>
  <c r="K40" i="14678"/>
  <c r="G40" i="14678"/>
  <c r="J35" i="14678"/>
  <c r="H36" i="14678"/>
  <c r="J41" i="14678"/>
  <c r="M36" i="14678"/>
  <c r="J42" i="14678"/>
  <c r="B39" i="14678"/>
  <c r="K36" i="14678"/>
  <c r="E42" i="14678"/>
  <c r="E37" i="14678"/>
  <c r="C41" i="14678"/>
  <c r="H40" i="14678"/>
  <c r="F35" i="14678"/>
  <c r="B36" i="14678"/>
  <c r="G35" i="14678"/>
  <c r="B37" i="14678"/>
  <c r="G37" i="14678"/>
  <c r="H39" i="14678"/>
  <c r="M35" i="14678"/>
  <c r="L38" i="14678"/>
  <c r="K39" i="14678"/>
  <c r="B41" i="14678"/>
  <c r="K42" i="14678"/>
  <c r="D37" i="14678"/>
  <c r="D35" i="14678"/>
  <c r="I38" i="14678"/>
  <c r="C35" i="14678"/>
  <c r="D42" i="14678"/>
  <c r="F41" i="14678"/>
  <c r="F36" i="14678"/>
  <c r="H41" i="14678"/>
  <c r="D39" i="14678"/>
  <c r="F37" i="14678"/>
  <c r="H42" i="14678"/>
  <c r="M38" i="14678"/>
  <c r="B40" i="14678"/>
  <c r="C42" i="14678"/>
  <c r="J37" i="14678"/>
  <c r="N42" i="14638"/>
  <c r="K52" i="14638" a="1"/>
  <c r="K52" i="14638" s="1"/>
  <c r="M54" i="14638" a="1"/>
  <c r="M54" i="14638" s="1"/>
  <c r="G43" i="14638"/>
  <c r="G48" i="14638" a="1"/>
  <c r="G48" i="14638" s="1"/>
  <c r="J51" i="14638" a="1"/>
  <c r="J51" i="14638" s="1"/>
  <c r="H49" i="14638" a="1"/>
  <c r="H49" i="14638" s="1"/>
  <c r="L53" i="14638" a="1"/>
  <c r="L53" i="14638" s="1"/>
  <c r="I50" i="14638" a="1"/>
  <c r="I50" i="14638" s="1"/>
  <c r="N40" i="14638"/>
  <c r="K51" i="14638" a="1"/>
  <c r="K51" i="14638" s="1"/>
  <c r="L52" i="14638" a="1"/>
  <c r="L52" i="14638" s="1"/>
  <c r="H43" i="14638"/>
  <c r="I49" i="14638" a="1"/>
  <c r="I49" i="14638" s="1"/>
  <c r="H48" i="14638" a="1"/>
  <c r="H48" i="14638" s="1"/>
  <c r="M53" i="14638" a="1"/>
  <c r="M53" i="14638" s="1"/>
  <c r="J50" i="14638" a="1"/>
  <c r="J50" i="14638" s="1"/>
  <c r="N54" i="14638" a="1"/>
  <c r="N54" i="14638" s="1"/>
  <c r="L54" i="14638" a="1"/>
  <c r="L54" i="14638" s="1"/>
  <c r="K53" i="14638" a="1"/>
  <c r="K53" i="14638" s="1"/>
  <c r="H50" i="14638" a="1"/>
  <c r="H50" i="14638" s="1"/>
  <c r="G49" i="14638" a="1"/>
  <c r="G49" i="14638" s="1"/>
  <c r="J52" i="14638" a="1"/>
  <c r="J52" i="14638" s="1"/>
  <c r="F43" i="14638"/>
  <c r="I51" i="14638" a="1"/>
  <c r="I51" i="14638" s="1"/>
  <c r="F48" i="14638" a="1"/>
  <c r="F48" i="14638" s="1"/>
  <c r="N41" i="14638"/>
  <c r="M5" i="14639"/>
  <c r="M9" i="14639" s="1"/>
  <c r="C5" i="14639"/>
  <c r="C9" i="14639" s="1"/>
  <c r="L5" i="14639"/>
  <c r="L9" i="14639" s="1"/>
  <c r="J5" i="14639"/>
  <c r="J9" i="14639" s="1"/>
  <c r="I5" i="14639"/>
  <c r="I9" i="14639" s="1"/>
  <c r="D5" i="14639"/>
  <c r="D9" i="14639" s="1"/>
  <c r="F5" i="14639"/>
  <c r="F9" i="14639" s="1"/>
  <c r="H5" i="14639"/>
  <c r="H9" i="14639" s="1"/>
  <c r="K5" i="14639"/>
  <c r="K9" i="14639" s="1"/>
  <c r="N5" i="14639"/>
  <c r="N9" i="14639" s="1"/>
  <c r="G5" i="14639"/>
  <c r="G9" i="14639" s="1"/>
  <c r="E5" i="14639"/>
  <c r="E9" i="14639" s="1"/>
  <c r="F51" i="14638" a="1"/>
  <c r="F51" i="14638" s="1"/>
  <c r="C43" i="14638"/>
  <c r="H53" i="14638" a="1"/>
  <c r="H53" i="14638" s="1"/>
  <c r="G52" i="14638" a="1"/>
  <c r="G52" i="14638" s="1"/>
  <c r="D49" i="14638" a="1"/>
  <c r="D49" i="14638" s="1"/>
  <c r="I54" i="14638" a="1"/>
  <c r="I54" i="14638" s="1"/>
  <c r="C48" i="14638" a="1"/>
  <c r="C48" i="14638" s="1"/>
  <c r="E50" i="14638" a="1"/>
  <c r="E50" i="14638" s="1"/>
  <c r="N38" i="14638"/>
  <c r="K48" i="14638" a="1"/>
  <c r="K48" i="14638" s="1"/>
  <c r="N51" i="14638" a="1"/>
  <c r="N51" i="14638" s="1"/>
  <c r="K43" i="14638"/>
  <c r="M50" i="14638" a="1"/>
  <c r="M50" i="14638" s="1"/>
  <c r="P53" i="14638" a="1"/>
  <c r="P53" i="14638" s="1"/>
  <c r="Q54" i="14638" a="1"/>
  <c r="Q54" i="14638" s="1"/>
  <c r="O52" i="14638" a="1"/>
  <c r="O52" i="14638" s="1"/>
  <c r="L49" i="14638" a="1"/>
  <c r="L49" i="14638" s="1"/>
  <c r="N39" i="14638"/>
  <c r="O51" i="14638" a="1"/>
  <c r="O51" i="14638" s="1"/>
  <c r="R54" i="14638" a="1"/>
  <c r="R54" i="14638" s="1"/>
  <c r="P52" i="14638" a="1"/>
  <c r="P52" i="14638" s="1"/>
  <c r="Q53" i="14638" a="1"/>
  <c r="Q53" i="14638" s="1"/>
  <c r="L48" i="14638" a="1"/>
  <c r="L48" i="14638" s="1"/>
  <c r="L43" i="14638"/>
  <c r="N50" i="14638" a="1"/>
  <c r="N50" i="14638" s="1"/>
  <c r="M49" i="14638" a="1"/>
  <c r="M49" i="14638" s="1"/>
  <c r="B48" i="14638" a="1"/>
  <c r="B48" i="14638" s="1"/>
  <c r="E51" i="14638" a="1"/>
  <c r="E51" i="14638" s="1"/>
  <c r="B43" i="14638"/>
  <c r="H54" i="14638" a="1"/>
  <c r="H54" i="14638" s="1"/>
  <c r="C49" i="14638" a="1"/>
  <c r="C49" i="14638" s="1"/>
  <c r="N35" i="14638"/>
  <c r="D50" i="14638" a="1"/>
  <c r="D50" i="14638" s="1"/>
  <c r="F52" i="14638" a="1"/>
  <c r="F52" i="14638" s="1"/>
  <c r="G53" i="14638" a="1"/>
  <c r="G53" i="14638" s="1"/>
  <c r="B20" i="14617"/>
  <c r="B42" i="14649" s="1"/>
  <c r="C56" i="14649" s="1"/>
  <c r="D44" i="14710"/>
  <c r="C11" i="14617"/>
  <c r="C10" i="14617"/>
  <c r="C9" i="14617"/>
  <c r="F54" i="14638"/>
  <c r="F53" i="14638"/>
  <c r="E29" i="14682"/>
  <c r="E31" i="14682"/>
  <c r="E33" i="14682"/>
  <c r="E35" i="14682"/>
  <c r="E37" i="14682"/>
  <c r="E39" i="14682"/>
  <c r="E41" i="14682"/>
  <c r="E43" i="14682"/>
  <c r="E45" i="14682"/>
  <c r="E47" i="14682"/>
  <c r="E49" i="14682"/>
  <c r="E30" i="14682"/>
  <c r="E32" i="14682"/>
  <c r="E34" i="14682"/>
  <c r="E36" i="14682"/>
  <c r="E38" i="14682"/>
  <c r="E40" i="14682"/>
  <c r="E42" i="14682"/>
  <c r="E44" i="14682"/>
  <c r="E46" i="14682"/>
  <c r="E48" i="14682"/>
  <c r="E50" i="14682"/>
  <c r="G8" i="14643"/>
  <c r="I6" i="14674"/>
  <c r="K6" i="14674"/>
  <c r="C13" i="14617"/>
  <c r="C33" i="4128" s="1"/>
  <c r="F15" i="14707"/>
  <c r="F6" i="14674"/>
  <c r="M6" i="14674"/>
  <c r="E6" i="14674"/>
  <c r="J6" i="14674"/>
  <c r="C6" i="14674"/>
  <c r="D6" i="14674"/>
  <c r="G6" i="14674"/>
  <c r="N6" i="14674"/>
  <c r="L6" i="14674"/>
  <c r="D7" i="14690"/>
  <c r="D9" i="14690" s="1"/>
  <c r="H7" i="14690"/>
  <c r="H9" i="14690" s="1"/>
  <c r="F7" i="14690"/>
  <c r="F9" i="14690" s="1"/>
  <c r="G7" i="14690"/>
  <c r="G9" i="14690" s="1"/>
  <c r="O7" i="14674"/>
  <c r="E13" i="11"/>
  <c r="E8" i="11"/>
  <c r="E10" i="11"/>
  <c r="E6" i="11"/>
  <c r="E14" i="11"/>
  <c r="E7" i="11"/>
  <c r="E9" i="11"/>
  <c r="E12" i="11"/>
  <c r="E11" i="11"/>
  <c r="E18" i="11"/>
  <c r="E19" i="11"/>
  <c r="E20" i="11"/>
  <c r="E17" i="11"/>
  <c r="E16" i="11"/>
  <c r="D45" i="14706"/>
  <c r="D47" i="14706"/>
  <c r="E39" i="14706" s="1"/>
  <c r="E51" i="14706"/>
  <c r="C82" i="14689"/>
  <c r="G82" i="14689"/>
  <c r="F82" i="14689"/>
  <c r="D82" i="14689"/>
  <c r="E82" i="14689"/>
  <c r="D6" i="14706"/>
  <c r="D22" i="14667"/>
  <c r="B35" i="14625"/>
  <c r="I26" i="14622"/>
  <c r="H28" i="14622"/>
  <c r="I28" i="14622" s="1"/>
  <c r="B36" i="11" s="1"/>
  <c r="B37" i="11" s="1"/>
  <c r="B38" i="11" s="1"/>
  <c r="O7" i="14639"/>
  <c r="F55" i="14649"/>
  <c r="D44" i="14667"/>
  <c r="D46" i="14667"/>
  <c r="E26" i="14667" s="1"/>
  <c r="E50" i="14667"/>
  <c r="O7" i="14675"/>
  <c r="E27" i="11"/>
  <c r="E28" i="11"/>
  <c r="E29" i="11"/>
  <c r="E24" i="11"/>
  <c r="E30" i="11"/>
  <c r="E26" i="11"/>
  <c r="E23" i="11"/>
  <c r="E25" i="11"/>
  <c r="E22" i="11"/>
  <c r="O7" i="14634"/>
  <c r="O9" i="14634" s="1"/>
  <c r="O15" i="14634" s="1"/>
  <c r="C9" i="14634"/>
  <c r="C12" i="14634" s="1" a="1"/>
  <c r="L20" i="14706"/>
  <c r="J16" i="14706"/>
  <c r="L9" i="14667"/>
  <c r="J5" i="14667"/>
  <c r="E22" i="14628"/>
  <c r="E24" i="14628" s="1"/>
  <c r="N18" i="8"/>
  <c r="B20" i="8" a="1"/>
  <c r="D51" i="14638" l="1"/>
  <c r="D52" i="14638"/>
  <c r="C51" i="14638"/>
  <c r="C54" i="14638"/>
  <c r="C50" i="14638"/>
  <c r="C53" i="14638"/>
  <c r="D54" i="14638"/>
  <c r="D55" i="14638" s="1"/>
  <c r="E52" i="14638"/>
  <c r="B54" i="14638"/>
  <c r="E53" i="14638"/>
  <c r="M55" i="14679"/>
  <c r="B51" i="14638"/>
  <c r="O5" i="14675"/>
  <c r="Q55" i="14679"/>
  <c r="R55" i="14679"/>
  <c r="L55" i="14679"/>
  <c r="S57" i="14632"/>
  <c r="H40" i="14667" s="1"/>
  <c r="H50" i="14667" s="1"/>
  <c r="C45" i="14649" s="1"/>
  <c r="J55" i="14679"/>
  <c r="O55" i="14679"/>
  <c r="N55" i="14679"/>
  <c r="H55" i="14679"/>
  <c r="P55" i="14679"/>
  <c r="N43" i="14679"/>
  <c r="K55" i="14679"/>
  <c r="I55" i="14679"/>
  <c r="C15" i="14633" a="1"/>
  <c r="J15" i="14633" s="1"/>
  <c r="B50" i="14638"/>
  <c r="B52" i="14638"/>
  <c r="B53" i="14638"/>
  <c r="L55" i="14638"/>
  <c r="C20" i="14617"/>
  <c r="G55" i="14638"/>
  <c r="N36" i="14678"/>
  <c r="K49" i="14678" a="1"/>
  <c r="K49" i="14678" s="1"/>
  <c r="J43" i="14678"/>
  <c r="L50" i="14678" a="1"/>
  <c r="L50" i="14678" s="1"/>
  <c r="O53" i="14678" a="1"/>
  <c r="O53" i="14678" s="1"/>
  <c r="J48" i="14678" a="1"/>
  <c r="J48" i="14678" s="1"/>
  <c r="N52" i="14678" a="1"/>
  <c r="N52" i="14678" s="1"/>
  <c r="P54" i="14678" a="1"/>
  <c r="P54" i="14678" s="1"/>
  <c r="M51" i="14678" a="1"/>
  <c r="M51" i="14678" s="1"/>
  <c r="G53" i="14678" a="1"/>
  <c r="G53" i="14678" s="1"/>
  <c r="F52" i="14678" a="1"/>
  <c r="F52" i="14678" s="1"/>
  <c r="H54" i="14678" a="1"/>
  <c r="H54" i="14678" s="1"/>
  <c r="C49" i="14678" a="1"/>
  <c r="C49" i="14678" s="1"/>
  <c r="N35" i="14678"/>
  <c r="E51" i="14678" a="1"/>
  <c r="E51" i="14678" s="1"/>
  <c r="D50" i="14678" a="1"/>
  <c r="D50" i="14678" s="1"/>
  <c r="B48" i="14678" a="1"/>
  <c r="B48" i="14678" s="1"/>
  <c r="B43" i="14678"/>
  <c r="E49" i="14678" a="1"/>
  <c r="E49" i="14678" s="1"/>
  <c r="J54" i="14678" a="1"/>
  <c r="J54" i="14678" s="1"/>
  <c r="I53" i="14678" a="1"/>
  <c r="I53" i="14678" s="1"/>
  <c r="D48" i="14678" a="1"/>
  <c r="D48" i="14678" s="1"/>
  <c r="F50" i="14678" a="1"/>
  <c r="F50" i="14678" s="1"/>
  <c r="G51" i="14678" a="1"/>
  <c r="G51" i="14678" s="1"/>
  <c r="H52" i="14678" a="1"/>
  <c r="H52" i="14678" s="1"/>
  <c r="D43" i="14678"/>
  <c r="F48" i="14678" a="1"/>
  <c r="F48" i="14678" s="1"/>
  <c r="K53" i="14678" a="1"/>
  <c r="K53" i="14678" s="1"/>
  <c r="L54" i="14678" a="1"/>
  <c r="L54" i="14678" s="1"/>
  <c r="J52" i="14678" a="1"/>
  <c r="J52" i="14678" s="1"/>
  <c r="F43" i="14678"/>
  <c r="I51" i="14678" a="1"/>
  <c r="I51" i="14678" s="1"/>
  <c r="H50" i="14678" a="1"/>
  <c r="H50" i="14678" s="1"/>
  <c r="G49" i="14678" a="1"/>
  <c r="G49" i="14678" s="1"/>
  <c r="O5" i="14639"/>
  <c r="O9" i="14639" s="1"/>
  <c r="O15" i="14639" s="1"/>
  <c r="M10" i="14640" s="1"/>
  <c r="N40" i="14678"/>
  <c r="N38" i="14678"/>
  <c r="N51" i="14678" a="1"/>
  <c r="N51" i="14678" s="1"/>
  <c r="O52" i="14678" a="1"/>
  <c r="O52" i="14678" s="1"/>
  <c r="K43" i="14678"/>
  <c r="K48" i="14678" a="1"/>
  <c r="K48" i="14678" s="1"/>
  <c r="P53" i="14678" a="1"/>
  <c r="P53" i="14678" s="1"/>
  <c r="Q54" i="14678" a="1"/>
  <c r="Q54" i="14678" s="1"/>
  <c r="L49" i="14678" a="1"/>
  <c r="L49" i="14678" s="1"/>
  <c r="M50" i="14678" a="1"/>
  <c r="M50" i="14678" s="1"/>
  <c r="M53" i="14678" a="1"/>
  <c r="M53" i="14678" s="1"/>
  <c r="I49" i="14678" a="1"/>
  <c r="I49" i="14678" s="1"/>
  <c r="H43" i="14678"/>
  <c r="L52" i="14678" a="1"/>
  <c r="L52" i="14678" s="1"/>
  <c r="J50" i="14678" a="1"/>
  <c r="J50" i="14678" s="1"/>
  <c r="K51" i="14678" a="1"/>
  <c r="K51" i="14678" s="1"/>
  <c r="H48" i="14678" a="1"/>
  <c r="H48" i="14678" s="1"/>
  <c r="N54" i="14678" a="1"/>
  <c r="N54" i="14678" s="1"/>
  <c r="H55" i="14638"/>
  <c r="N41" i="14678"/>
  <c r="M49" i="14678" a="1"/>
  <c r="M49" i="14678" s="1"/>
  <c r="N50" i="14678" a="1"/>
  <c r="N50" i="14678" s="1"/>
  <c r="O51" i="14678" a="1"/>
  <c r="O51" i="14678" s="1"/>
  <c r="P52" i="14678" a="1"/>
  <c r="P52" i="14678" s="1"/>
  <c r="L48" i="14678" a="1"/>
  <c r="L48" i="14678" s="1"/>
  <c r="Q53" i="14678" a="1"/>
  <c r="Q53" i="14678" s="1"/>
  <c r="L43" i="14678"/>
  <c r="R54" i="14678" a="1"/>
  <c r="R54" i="14678" s="1"/>
  <c r="J55" i="14638"/>
  <c r="Q55" i="14638"/>
  <c r="E52" i="14678" a="1"/>
  <c r="N43" i="14638"/>
  <c r="K55" i="14638"/>
  <c r="G54" i="14678"/>
  <c r="S55" i="14638"/>
  <c r="C12" i="14639" a="1"/>
  <c r="J12" i="14639" s="1"/>
  <c r="C50" i="14678" a="1"/>
  <c r="O55" i="14638"/>
  <c r="Q52" i="14678" a="1"/>
  <c r="Q52" i="14678" s="1"/>
  <c r="O50" i="14678" a="1"/>
  <c r="O50" i="14678" s="1"/>
  <c r="S54" i="14678" a="1"/>
  <c r="S54" i="14678" s="1"/>
  <c r="N49" i="14678" a="1"/>
  <c r="N49" i="14678" s="1"/>
  <c r="M48" i="14678" a="1"/>
  <c r="M48" i="14678" s="1"/>
  <c r="M43" i="14678"/>
  <c r="R53" i="14678" a="1"/>
  <c r="R53" i="14678" s="1"/>
  <c r="P51" i="14678" a="1"/>
  <c r="P51" i="14678" s="1"/>
  <c r="N39" i="14678"/>
  <c r="R55" i="14638"/>
  <c r="F53" i="14678" a="1"/>
  <c r="I55" i="14638"/>
  <c r="N55" i="14638"/>
  <c r="B49" i="14678" a="1"/>
  <c r="N42" i="14678"/>
  <c r="K50" i="14678" a="1"/>
  <c r="K50" i="14678" s="1"/>
  <c r="L51" i="14678" a="1"/>
  <c r="L51" i="14678" s="1"/>
  <c r="J49" i="14678" a="1"/>
  <c r="J49" i="14678" s="1"/>
  <c r="M52" i="14678" a="1"/>
  <c r="M52" i="14678" s="1"/>
  <c r="N53" i="14678" a="1"/>
  <c r="N53" i="14678" s="1"/>
  <c r="O54" i="14678" a="1"/>
  <c r="O54" i="14678" s="1"/>
  <c r="I48" i="14678" a="1"/>
  <c r="I48" i="14678" s="1"/>
  <c r="I43" i="14678"/>
  <c r="M55" i="14638"/>
  <c r="N37" i="14678"/>
  <c r="E5" i="14674"/>
  <c r="E9" i="14674" s="1"/>
  <c r="H5" i="14674"/>
  <c r="H9" i="14674" s="1"/>
  <c r="J5" i="14674"/>
  <c r="J9" i="14674" s="1"/>
  <c r="L5" i="14674"/>
  <c r="L9" i="14674" s="1"/>
  <c r="D5" i="14674"/>
  <c r="D9" i="14674" s="1"/>
  <c r="M5" i="14674"/>
  <c r="M9" i="14674" s="1"/>
  <c r="K5" i="14674"/>
  <c r="K9" i="14674" s="1"/>
  <c r="C5" i="14674"/>
  <c r="C9" i="14674" s="1"/>
  <c r="G5" i="14674"/>
  <c r="G9" i="14674" s="1"/>
  <c r="F5" i="14674"/>
  <c r="F9" i="14674" s="1"/>
  <c r="I5" i="14674"/>
  <c r="I9" i="14674" s="1"/>
  <c r="N5" i="14674"/>
  <c r="N9" i="14674" s="1"/>
  <c r="D51" i="14678" a="1"/>
  <c r="P55" i="14638"/>
  <c r="C43" i="14678"/>
  <c r="E50" i="14678" a="1"/>
  <c r="E50" i="14678" s="1"/>
  <c r="H53" i="14678" a="1"/>
  <c r="H53" i="14678" s="1"/>
  <c r="F51" i="14678" a="1"/>
  <c r="F51" i="14678" s="1"/>
  <c r="C48" i="14678" a="1"/>
  <c r="C48" i="14678" s="1"/>
  <c r="I54" i="14678" a="1"/>
  <c r="I54" i="14678" s="1"/>
  <c r="G52" i="14678" a="1"/>
  <c r="G52" i="14678" s="1"/>
  <c r="D49" i="14678" a="1"/>
  <c r="D49" i="14678" s="1"/>
  <c r="H49" i="14678" a="1"/>
  <c r="H49" i="14678" s="1"/>
  <c r="J51" i="14678" a="1"/>
  <c r="J51" i="14678" s="1"/>
  <c r="G48" i="14678" a="1"/>
  <c r="G48" i="14678" s="1"/>
  <c r="I50" i="14678" a="1"/>
  <c r="I50" i="14678" s="1"/>
  <c r="L53" i="14678" a="1"/>
  <c r="L53" i="14678" s="1"/>
  <c r="G43" i="14678"/>
  <c r="K52" i="14678" a="1"/>
  <c r="K52" i="14678" s="1"/>
  <c r="M54" i="14678" a="1"/>
  <c r="M54" i="14678" s="1"/>
  <c r="H51" i="14678" a="1"/>
  <c r="H51" i="14678" s="1"/>
  <c r="I52" i="14678" a="1"/>
  <c r="I52" i="14678" s="1"/>
  <c r="E43" i="14678"/>
  <c r="K54" i="14678" a="1"/>
  <c r="K54" i="14678" s="1"/>
  <c r="F49" i="14678" a="1"/>
  <c r="F49" i="14678" s="1"/>
  <c r="J53" i="14678" a="1"/>
  <c r="J53" i="14678" s="1"/>
  <c r="E48" i="14678" a="1"/>
  <c r="E48" i="14678" s="1"/>
  <c r="G50" i="14678" a="1"/>
  <c r="G50" i="14678" s="1"/>
  <c r="B23" i="14617"/>
  <c r="C12" i="4128" s="1"/>
  <c r="N48" i="14673"/>
  <c r="N35" i="14673"/>
  <c r="N43" i="14673"/>
  <c r="N40" i="14673"/>
  <c r="N52" i="14673"/>
  <c r="N34" i="14673"/>
  <c r="N50" i="14673"/>
  <c r="N45" i="14673"/>
  <c r="N47" i="14673"/>
  <c r="N38" i="14673"/>
  <c r="N46" i="14673"/>
  <c r="N39" i="14673"/>
  <c r="N44" i="14673"/>
  <c r="N53" i="14673"/>
  <c r="N41" i="14673"/>
  <c r="N42" i="14673"/>
  <c r="F55" i="14638"/>
  <c r="G60" i="14673"/>
  <c r="C55" i="14638"/>
  <c r="F55" i="14673"/>
  <c r="L60" i="14673"/>
  <c r="C55" i="14673"/>
  <c r="N54" i="14673"/>
  <c r="N49" i="14673"/>
  <c r="E51" i="14682"/>
  <c r="E55" i="14673"/>
  <c r="N33" i="14673"/>
  <c r="J55" i="14673"/>
  <c r="B55" i="14673"/>
  <c r="J60" i="14673"/>
  <c r="C60" i="14673"/>
  <c r="I60" i="14673"/>
  <c r="K55" i="14673"/>
  <c r="D55" i="14673"/>
  <c r="I55" i="14673"/>
  <c r="H55" i="14673"/>
  <c r="N36" i="14673"/>
  <c r="N37" i="14673"/>
  <c r="M55" i="14673"/>
  <c r="B60" i="14673"/>
  <c r="F60" i="14673"/>
  <c r="K60" i="14673"/>
  <c r="D60" i="14673"/>
  <c r="E60" i="14673"/>
  <c r="M60" i="14673"/>
  <c r="H60" i="14673"/>
  <c r="L55" i="14673"/>
  <c r="G55" i="14673"/>
  <c r="N51" i="14673"/>
  <c r="M10" i="14631"/>
  <c r="N10" i="14631" s="1"/>
  <c r="D9" i="14617" s="1" a="1"/>
  <c r="D12" i="14634"/>
  <c r="F12" i="14634"/>
  <c r="H12" i="14634"/>
  <c r="J12" i="14634"/>
  <c r="L12" i="14634"/>
  <c r="N12" i="14634"/>
  <c r="C12" i="14634"/>
  <c r="E12" i="14634"/>
  <c r="G12" i="14634"/>
  <c r="I12" i="14634"/>
  <c r="K12" i="14634"/>
  <c r="M12" i="14634"/>
  <c r="O6" i="14674"/>
  <c r="D15" i="14649" a="1"/>
  <c r="G15" i="14649" s="1"/>
  <c r="D48" i="14667"/>
  <c r="E44" i="14667"/>
  <c r="B34" i="11"/>
  <c r="B35" i="11" s="1"/>
  <c r="D27" i="14690"/>
  <c r="C27" i="14626"/>
  <c r="C19" i="14626" s="1"/>
  <c r="C29" i="14626" s="1"/>
  <c r="G31" i="14626" s="1"/>
  <c r="C30" i="14622"/>
  <c r="D13" i="14667"/>
  <c r="D24" i="14667" s="1"/>
  <c r="E22" i="14667" s="1"/>
  <c r="D49" i="14706"/>
  <c r="E45" i="14706"/>
  <c r="N9" i="14667"/>
  <c r="N5" i="14667" s="1"/>
  <c r="L5" i="14667"/>
  <c r="N20" i="14706"/>
  <c r="N16" i="14706" s="1"/>
  <c r="L16" i="14706"/>
  <c r="E37" i="14667"/>
  <c r="E45" i="14667"/>
  <c r="E27" i="14667"/>
  <c r="E32" i="14667"/>
  <c r="E38" i="14667"/>
  <c r="E30" i="14667"/>
  <c r="E34" i="14667"/>
  <c r="E41" i="14667"/>
  <c r="E40" i="14667"/>
  <c r="E43" i="14667"/>
  <c r="E39" i="14667"/>
  <c r="E35" i="14667"/>
  <c r="E29" i="14667"/>
  <c r="E33" i="14667"/>
  <c r="E42" i="14667"/>
  <c r="E28" i="14667"/>
  <c r="B27" i="14684"/>
  <c r="D82" i="14649"/>
  <c r="C82" i="14649" s="1"/>
  <c r="C85" i="14648"/>
  <c r="C87" i="14648" s="1"/>
  <c r="B9" i="14648"/>
  <c r="D5" i="14706"/>
  <c r="D24" i="14706" s="1"/>
  <c r="D54" i="14706" s="1"/>
  <c r="E26" i="14706"/>
  <c r="E27" i="14706"/>
  <c r="E37" i="14706"/>
  <c r="E36" i="14706"/>
  <c r="E29" i="14706"/>
  <c r="E41" i="14706"/>
  <c r="E32" i="14706"/>
  <c r="E46" i="14706"/>
  <c r="E31" i="14706"/>
  <c r="E28" i="14706"/>
  <c r="E40" i="14706"/>
  <c r="E43" i="14706"/>
  <c r="E34" i="14706"/>
  <c r="E35" i="14706"/>
  <c r="E30" i="14706"/>
  <c r="E42" i="14706"/>
  <c r="E20" i="8"/>
  <c r="H20" i="8"/>
  <c r="I20" i="8"/>
  <c r="F20" i="8"/>
  <c r="C20" i="8"/>
  <c r="D20" i="8"/>
  <c r="B20" i="8"/>
  <c r="K20" i="8"/>
  <c r="J20" i="8"/>
  <c r="G20" i="8"/>
  <c r="L20" i="8"/>
  <c r="M20" i="8"/>
  <c r="F22" i="14628"/>
  <c r="F24" i="14628" s="1"/>
  <c r="I15" i="14633" l="1"/>
  <c r="G15" i="14633"/>
  <c r="D15" i="14633"/>
  <c r="E55" i="14638"/>
  <c r="H30" i="14706"/>
  <c r="H51" i="14706" s="1"/>
  <c r="S57" i="14679"/>
  <c r="N30" i="14706" s="1"/>
  <c r="N51" i="14706" s="1"/>
  <c r="B55" i="14638"/>
  <c r="E15" i="14633"/>
  <c r="H15" i="14633"/>
  <c r="L15" i="14633"/>
  <c r="K15" i="14633"/>
  <c r="C15" i="14633"/>
  <c r="F15" i="14633"/>
  <c r="N15" i="14633"/>
  <c r="M15" i="14633"/>
  <c r="F12" i="14639"/>
  <c r="H12" i="14639"/>
  <c r="D12" i="14639"/>
  <c r="M12" i="14639"/>
  <c r="K12" i="14639"/>
  <c r="I12" i="14639"/>
  <c r="G12" i="14639"/>
  <c r="E12" i="14639"/>
  <c r="C12" i="14639"/>
  <c r="N12" i="14639"/>
  <c r="L12" i="14639"/>
  <c r="N10" i="14640"/>
  <c r="G9" i="14617" s="1" a="1"/>
  <c r="G9" i="14617" s="1"/>
  <c r="B11" i="14640" a="1"/>
  <c r="E11" i="14640" s="1"/>
  <c r="K55" i="14678"/>
  <c r="I55" i="14678"/>
  <c r="C12" i="14674" a="1"/>
  <c r="E12" i="14674" s="1"/>
  <c r="Q55" i="14678"/>
  <c r="E52" i="14679" a="1"/>
  <c r="H55" i="14678"/>
  <c r="J55" i="14678"/>
  <c r="D51" i="14679" a="1"/>
  <c r="P55" i="14678"/>
  <c r="C53" i="14678"/>
  <c r="C54" i="14678"/>
  <c r="C51" i="14678"/>
  <c r="C50" i="14678"/>
  <c r="C52" i="14678"/>
  <c r="E52" i="14678"/>
  <c r="E53" i="14678"/>
  <c r="E54" i="14678"/>
  <c r="O5" i="14674"/>
  <c r="O9" i="14674" s="1"/>
  <c r="O15" i="14674" s="1"/>
  <c r="M10" i="14670" s="1"/>
  <c r="F53" i="14679" a="1"/>
  <c r="R55" i="14678"/>
  <c r="L55" i="14678"/>
  <c r="M55" i="14678"/>
  <c r="N43" i="14678"/>
  <c r="F54" i="14678"/>
  <c r="F53" i="14678"/>
  <c r="G55" i="14678"/>
  <c r="D52" i="14678"/>
  <c r="D51" i="14678"/>
  <c r="D53" i="14678"/>
  <c r="D54" i="14678"/>
  <c r="B49" i="14679" a="1"/>
  <c r="N55" i="14678"/>
  <c r="B53" i="14678"/>
  <c r="B54" i="14678"/>
  <c r="B50" i="14678"/>
  <c r="B51" i="14678"/>
  <c r="B52" i="14678"/>
  <c r="B49" i="14678"/>
  <c r="S55" i="14678"/>
  <c r="G54" i="14679"/>
  <c r="G55" i="14679" s="1"/>
  <c r="S57" i="14638"/>
  <c r="C50" i="14679" a="1"/>
  <c r="O55" i="14678"/>
  <c r="C22" i="14617" a="1"/>
  <c r="C23" i="14617" s="1"/>
  <c r="F29" i="14682" a="1"/>
  <c r="F33" i="14682" s="1"/>
  <c r="N55" i="14673"/>
  <c r="H8" i="14643" s="1"/>
  <c r="N60" i="14673"/>
  <c r="C6" i="14675" a="1"/>
  <c r="H6" i="14675" s="1"/>
  <c r="H9" i="14675" s="1"/>
  <c r="B11" i="14631" a="1"/>
  <c r="F11" i="14631" s="1"/>
  <c r="D10" i="14617"/>
  <c r="D9" i="14617"/>
  <c r="E47" i="14706"/>
  <c r="E15" i="14649"/>
  <c r="D53" i="14667"/>
  <c r="C91" i="14649" s="1"/>
  <c r="D15" i="14649"/>
  <c r="F15" i="14649"/>
  <c r="E46" i="14667"/>
  <c r="E5" i="14706"/>
  <c r="E14" i="14706"/>
  <c r="E9" i="14706"/>
  <c r="E12" i="14706"/>
  <c r="E11" i="14706"/>
  <c r="E8" i="14706"/>
  <c r="E22" i="14706"/>
  <c r="E19" i="14706"/>
  <c r="E18" i="14706"/>
  <c r="E17" i="14706"/>
  <c r="E10" i="14706"/>
  <c r="E13" i="14706"/>
  <c r="E20" i="14706"/>
  <c r="E16" i="14706"/>
  <c r="E7" i="14706"/>
  <c r="E49" i="14706"/>
  <c r="D91" i="14649"/>
  <c r="E48" i="14667"/>
  <c r="E6" i="14706"/>
  <c r="E13" i="14667"/>
  <c r="E6" i="14667"/>
  <c r="E18" i="14667"/>
  <c r="E7" i="14667"/>
  <c r="E17" i="14667"/>
  <c r="E15" i="14667"/>
  <c r="E11" i="14667"/>
  <c r="E16" i="14667"/>
  <c r="E19" i="14667"/>
  <c r="E8" i="14667"/>
  <c r="E20" i="14667"/>
  <c r="E14" i="14667"/>
  <c r="E9" i="14667"/>
  <c r="E21" i="14667"/>
  <c r="E5" i="14667"/>
  <c r="B30" i="14622"/>
  <c r="C31" i="14622"/>
  <c r="F28" i="14690"/>
  <c r="G22" i="14628"/>
  <c r="G24" i="14628" s="1"/>
  <c r="N20" i="8"/>
  <c r="B23" i="8" a="1"/>
  <c r="C15" i="14641" l="1" a="1"/>
  <c r="E15" i="14641" s="1"/>
  <c r="N40" i="14667"/>
  <c r="N50" i="14667" s="1"/>
  <c r="O15" i="14633"/>
  <c r="B11" i="14640"/>
  <c r="K11" i="14640"/>
  <c r="N12" i="14674"/>
  <c r="G15" i="14657"/>
  <c r="G10" i="14617"/>
  <c r="G11" i="14617" s="1"/>
  <c r="H9" i="14617" s="1" a="1"/>
  <c r="J12" i="14674"/>
  <c r="M12" i="14674"/>
  <c r="G12" i="14674"/>
  <c r="C12" i="14674"/>
  <c r="L12" i="14674"/>
  <c r="H12" i="14674"/>
  <c r="F12" i="14674"/>
  <c r="D12" i="14674"/>
  <c r="H11" i="14640"/>
  <c r="I11" i="14640"/>
  <c r="F11" i="14640"/>
  <c r="K12" i="14674"/>
  <c r="I12" i="14674"/>
  <c r="J11" i="14640"/>
  <c r="M11" i="14640"/>
  <c r="C11" i="14640"/>
  <c r="G11" i="14640"/>
  <c r="L11" i="14640"/>
  <c r="D11" i="14640"/>
  <c r="C22" i="14617"/>
  <c r="E55" i="14678"/>
  <c r="F55" i="14678"/>
  <c r="C55" i="14678"/>
  <c r="N10" i="14670"/>
  <c r="J9" i="14617" s="1" a="1"/>
  <c r="J10" i="14617" s="1"/>
  <c r="B11" i="14670" a="1"/>
  <c r="K11" i="14670" s="1"/>
  <c r="S57" i="14678"/>
  <c r="B50" i="14679"/>
  <c r="B54" i="14679"/>
  <c r="B53" i="14679"/>
  <c r="B52" i="14679"/>
  <c r="B51" i="14679"/>
  <c r="B49" i="14679"/>
  <c r="D53" i="14679"/>
  <c r="D51" i="14679"/>
  <c r="D54" i="14679"/>
  <c r="D52" i="14679"/>
  <c r="C53" i="14679"/>
  <c r="C54" i="14679"/>
  <c r="C52" i="14679"/>
  <c r="C51" i="14679"/>
  <c r="C50" i="14679"/>
  <c r="F54" i="14679"/>
  <c r="F53" i="14679"/>
  <c r="J30" i="14706"/>
  <c r="J51" i="14706" s="1"/>
  <c r="J40" i="14667"/>
  <c r="J50" i="14667" s="1"/>
  <c r="D45" i="14649" s="1"/>
  <c r="D55" i="14678"/>
  <c r="E54" i="14679"/>
  <c r="E52" i="14679"/>
  <c r="E53" i="14679"/>
  <c r="B55" i="14678"/>
  <c r="I15" i="14641"/>
  <c r="N15" i="14641"/>
  <c r="J15" i="14641"/>
  <c r="C15" i="14641"/>
  <c r="G15" i="14641"/>
  <c r="L15" i="14641"/>
  <c r="D15" i="14641"/>
  <c r="H15" i="14641"/>
  <c r="F15" i="14641"/>
  <c r="M15" i="14641"/>
  <c r="K15" i="14641"/>
  <c r="F31" i="14682"/>
  <c r="F32" i="14682"/>
  <c r="F50" i="14682"/>
  <c r="F47" i="14682"/>
  <c r="F48" i="14682"/>
  <c r="F45" i="14682"/>
  <c r="F29" i="14682"/>
  <c r="F44" i="14682"/>
  <c r="F41" i="14682"/>
  <c r="F39" i="14682"/>
  <c r="F34" i="14682"/>
  <c r="F46" i="14682"/>
  <c r="C6" i="14675"/>
  <c r="C9" i="14675" s="1"/>
  <c r="F42" i="14682"/>
  <c r="F40" i="14682"/>
  <c r="F37" i="14682"/>
  <c r="F30" i="14682"/>
  <c r="F49" i="14682"/>
  <c r="F43" i="14682"/>
  <c r="N6" i="14675"/>
  <c r="N9" i="14675" s="1"/>
  <c r="F38" i="14682"/>
  <c r="F35" i="14682"/>
  <c r="F36" i="14682"/>
  <c r="M6" i="14675"/>
  <c r="M9" i="14675" s="1"/>
  <c r="K6" i="14675"/>
  <c r="K9" i="14675" s="1"/>
  <c r="J6" i="14675"/>
  <c r="J9" i="14675" s="1"/>
  <c r="G6" i="14675"/>
  <c r="G9" i="14675" s="1"/>
  <c r="D6" i="14675"/>
  <c r="D9" i="14675" s="1"/>
  <c r="I6" i="14675"/>
  <c r="I9" i="14675" s="1"/>
  <c r="L6" i="14675"/>
  <c r="L9" i="14675" s="1"/>
  <c r="F6" i="14675"/>
  <c r="F9" i="14675" s="1"/>
  <c r="E6" i="14675"/>
  <c r="E9" i="14675" s="1"/>
  <c r="J11" i="14631"/>
  <c r="K11" i="14631"/>
  <c r="B11" i="14631"/>
  <c r="M11" i="14631"/>
  <c r="D11" i="14631"/>
  <c r="C11" i="14631"/>
  <c r="H11" i="14631"/>
  <c r="E11" i="14631"/>
  <c r="I11" i="14631"/>
  <c r="L11" i="14631"/>
  <c r="G11" i="14631"/>
  <c r="F9" i="14617"/>
  <c r="I9" i="14617"/>
  <c r="D11" i="14617"/>
  <c r="E9" i="14617" s="1" a="1"/>
  <c r="D24" i="4128"/>
  <c r="E24" i="14667"/>
  <c r="B23" i="14649"/>
  <c r="C84" i="14690"/>
  <c r="D18" i="14649" a="1"/>
  <c r="D18" i="14649" s="1"/>
  <c r="E24" i="14706"/>
  <c r="C20" i="14634" a="1"/>
  <c r="O12" i="14634"/>
  <c r="C13" i="14634" a="1"/>
  <c r="C20" i="14639" a="1"/>
  <c r="O12" i="14639"/>
  <c r="C13" i="14639" a="1"/>
  <c r="G23" i="8"/>
  <c r="I23" i="8"/>
  <c r="L23" i="8"/>
  <c r="B23" i="8"/>
  <c r="M23" i="8"/>
  <c r="K23" i="8"/>
  <c r="J23" i="8"/>
  <c r="D23" i="8"/>
  <c r="F23" i="8"/>
  <c r="E23" i="8"/>
  <c r="H23" i="8"/>
  <c r="C23" i="8"/>
  <c r="H22" i="14628"/>
  <c r="H24" i="14628" s="1"/>
  <c r="O12" i="14674" l="1"/>
  <c r="C20" i="14674" a="1"/>
  <c r="G20" i="14674" s="1"/>
  <c r="C13" i="14674" a="1"/>
  <c r="N13" i="14674" s="1"/>
  <c r="N11" i="14640"/>
  <c r="B13" i="14640" a="1"/>
  <c r="C13" i="14640" s="1"/>
  <c r="J11" i="14670"/>
  <c r="L11" i="14670"/>
  <c r="F11" i="14670"/>
  <c r="I11" i="14670"/>
  <c r="M11" i="14670"/>
  <c r="H11" i="14670"/>
  <c r="G11" i="14670"/>
  <c r="C11" i="14670"/>
  <c r="E11" i="14670"/>
  <c r="E55" i="14679"/>
  <c r="B11" i="14670"/>
  <c r="D11" i="14670"/>
  <c r="J9" i="14617"/>
  <c r="L9" i="14617" s="1"/>
  <c r="E24" i="4128"/>
  <c r="F55" i="14679"/>
  <c r="B55" i="14679"/>
  <c r="C15" i="14676" a="1"/>
  <c r="F15" i="14676" s="1"/>
  <c r="D55" i="14679"/>
  <c r="C55" i="14679"/>
  <c r="L40" i="14667"/>
  <c r="L50" i="14667" s="1"/>
  <c r="L30" i="14706"/>
  <c r="L51" i="14706" s="1"/>
  <c r="O15" i="14641"/>
  <c r="F51" i="14682"/>
  <c r="B53" i="14682" s="1" a="1"/>
  <c r="F53" i="14682" s="1"/>
  <c r="C12" i="14675" a="1"/>
  <c r="E12" i="14675" s="1"/>
  <c r="O6" i="14675"/>
  <c r="O9" i="14675" s="1"/>
  <c r="O15" i="14675" s="1"/>
  <c r="M10" i="14671" s="1"/>
  <c r="N10" i="14671" s="1"/>
  <c r="M9" i="14617" s="1" a="1"/>
  <c r="B13" i="14631" a="1"/>
  <c r="K13" i="14631" s="1"/>
  <c r="N11" i="14631"/>
  <c r="G13" i="14640"/>
  <c r="B13" i="14640"/>
  <c r="H10" i="14617"/>
  <c r="H9" i="14617"/>
  <c r="H11" i="14617"/>
  <c r="D23" i="14708"/>
  <c r="G13" i="14617"/>
  <c r="E11" i="14617"/>
  <c r="E10" i="14617"/>
  <c r="E9" i="14617"/>
  <c r="D13" i="14617"/>
  <c r="C23" i="14708"/>
  <c r="G18" i="14649"/>
  <c r="F18" i="14649"/>
  <c r="E18" i="14649"/>
  <c r="C13" i="14639"/>
  <c r="F13" i="14639"/>
  <c r="J13" i="14639"/>
  <c r="K13" i="14639"/>
  <c r="H13" i="14639"/>
  <c r="G13" i="14639"/>
  <c r="M13" i="14639"/>
  <c r="E13" i="14639"/>
  <c r="L13" i="14639"/>
  <c r="N13" i="14639"/>
  <c r="I13" i="14639"/>
  <c r="D13" i="14639"/>
  <c r="F20" i="14639"/>
  <c r="K20" i="14639"/>
  <c r="E20" i="14639"/>
  <c r="M20" i="14639"/>
  <c r="J20" i="14639"/>
  <c r="I20" i="14639"/>
  <c r="N20" i="14639"/>
  <c r="L20" i="14639"/>
  <c r="C20" i="14639"/>
  <c r="G20" i="14639"/>
  <c r="H20" i="14639"/>
  <c r="D20" i="14639"/>
  <c r="J13" i="14634"/>
  <c r="N13" i="14634"/>
  <c r="K13" i="14634"/>
  <c r="F13" i="14634"/>
  <c r="G13" i="14634"/>
  <c r="C13" i="14634"/>
  <c r="L13" i="14634"/>
  <c r="E13" i="14634"/>
  <c r="I13" i="14634"/>
  <c r="M13" i="14634"/>
  <c r="H13" i="14634"/>
  <c r="D13" i="14634"/>
  <c r="D20" i="14634"/>
  <c r="G20" i="14634"/>
  <c r="J20" i="14634"/>
  <c r="E20" i="14634"/>
  <c r="I20" i="14634"/>
  <c r="M20" i="14634"/>
  <c r="C20" i="14634"/>
  <c r="K20" i="14634"/>
  <c r="H20" i="14634"/>
  <c r="L20" i="14634"/>
  <c r="N20" i="14634"/>
  <c r="F20" i="14634"/>
  <c r="C13" i="14674"/>
  <c r="J13" i="14674"/>
  <c r="L13" i="14674"/>
  <c r="M13" i="14674"/>
  <c r="I13" i="14674"/>
  <c r="N23" i="8"/>
  <c r="I22" i="14628"/>
  <c r="I24" i="14628" s="1"/>
  <c r="D13" i="14674" l="1"/>
  <c r="G13" i="14674"/>
  <c r="E13" i="14674"/>
  <c r="F13" i="14674"/>
  <c r="J13" i="14640"/>
  <c r="L20" i="14674"/>
  <c r="K13" i="14674"/>
  <c r="H13" i="14674"/>
  <c r="D13" i="14640"/>
  <c r="E13" i="14640"/>
  <c r="H13" i="14640"/>
  <c r="M13" i="14640"/>
  <c r="K13" i="14640"/>
  <c r="J20" i="14674"/>
  <c r="H20" i="14674"/>
  <c r="M20" i="14674"/>
  <c r="I13" i="14640"/>
  <c r="K20" i="14674"/>
  <c r="F20" i="14674"/>
  <c r="N20" i="14674"/>
  <c r="C20" i="14674"/>
  <c r="I20" i="14674"/>
  <c r="E20" i="14674"/>
  <c r="D20" i="14674"/>
  <c r="F13" i="14640"/>
  <c r="L13" i="14640"/>
  <c r="G15" i="14676"/>
  <c r="J11" i="14617"/>
  <c r="K9" i="14617" s="1" a="1"/>
  <c r="K11" i="14617" s="1"/>
  <c r="B13" i="14670" a="1"/>
  <c r="E13" i="14670" s="1"/>
  <c r="N11" i="14670"/>
  <c r="C15" i="14677" a="1"/>
  <c r="L15" i="14677" s="1"/>
  <c r="I15" i="14676"/>
  <c r="D15" i="14676"/>
  <c r="L15" i="14676"/>
  <c r="C15" i="14676"/>
  <c r="F24" i="4128"/>
  <c r="H15" i="14676"/>
  <c r="K15" i="14676"/>
  <c r="N15" i="14676"/>
  <c r="E15" i="14676"/>
  <c r="M15" i="14676"/>
  <c r="J15" i="14676"/>
  <c r="E45" i="14649"/>
  <c r="F45" i="14649"/>
  <c r="E53" i="14682"/>
  <c r="D53" i="14682"/>
  <c r="C53" i="14682"/>
  <c r="B53" i="14682"/>
  <c r="M12" i="14675"/>
  <c r="C12" i="14675"/>
  <c r="L12" i="14675"/>
  <c r="D12" i="14675"/>
  <c r="N12" i="14675"/>
  <c r="J12" i="14675"/>
  <c r="F12" i="14675"/>
  <c r="I12" i="14675"/>
  <c r="H12" i="14675"/>
  <c r="K12" i="14675"/>
  <c r="G12" i="14675"/>
  <c r="B11" i="14671" a="1"/>
  <c r="M11" i="14671" s="1"/>
  <c r="M13" i="14631"/>
  <c r="H13" i="14631"/>
  <c r="C13" i="14631"/>
  <c r="B13" i="14631"/>
  <c r="E13" i="14631"/>
  <c r="I13" i="14631"/>
  <c r="F13" i="14631"/>
  <c r="L13" i="14631"/>
  <c r="G13" i="14631"/>
  <c r="D13" i="14631"/>
  <c r="J13" i="14631"/>
  <c r="M10" i="14617"/>
  <c r="M9" i="14617"/>
  <c r="H13" i="14617"/>
  <c r="J15" i="14707"/>
  <c r="H15" i="14707"/>
  <c r="I13" i="14617"/>
  <c r="E13" i="14617"/>
  <c r="F13" i="14617"/>
  <c r="B26" i="14649"/>
  <c r="C23" i="14649" s="1" a="1"/>
  <c r="C23" i="14649" s="1"/>
  <c r="O13" i="14634"/>
  <c r="D17" i="14617" s="1"/>
  <c r="B17" i="14631" a="1"/>
  <c r="C21" i="14634" a="1"/>
  <c r="O20" i="14634"/>
  <c r="C21" i="14639" a="1"/>
  <c r="O20" i="14639"/>
  <c r="B17" i="14640" a="1"/>
  <c r="O13" i="14639"/>
  <c r="G17" i="14617" s="1"/>
  <c r="J22" i="14628"/>
  <c r="J24" i="14628" s="1"/>
  <c r="B17" i="14670" l="1" a="1"/>
  <c r="C17" i="14670" s="1"/>
  <c r="O13" i="14674"/>
  <c r="J17" i="14617" s="1"/>
  <c r="K17" i="14617" s="1"/>
  <c r="F15" i="14677"/>
  <c r="H13" i="14670"/>
  <c r="B13" i="14670"/>
  <c r="F13" i="14670"/>
  <c r="G13" i="14670"/>
  <c r="I13" i="14670"/>
  <c r="D13" i="14670"/>
  <c r="E23" i="14708"/>
  <c r="J13" i="14617"/>
  <c r="L13" i="14617" s="1"/>
  <c r="K10" i="14617"/>
  <c r="N13" i="14640"/>
  <c r="C21" i="14674" a="1"/>
  <c r="J21" i="14674" s="1"/>
  <c r="O20" i="14674"/>
  <c r="K9" i="14617"/>
  <c r="D15" i="14677"/>
  <c r="M15" i="14677"/>
  <c r="M13" i="14670"/>
  <c r="K15" i="14677"/>
  <c r="K13" i="14670"/>
  <c r="C13" i="14670"/>
  <c r="L13" i="14670"/>
  <c r="J13" i="14670"/>
  <c r="G15" i="14677"/>
  <c r="J15" i="14677"/>
  <c r="N15" i="14677"/>
  <c r="E15" i="14677"/>
  <c r="I15" i="14677"/>
  <c r="H15" i="14677"/>
  <c r="C15" i="14677"/>
  <c r="C12" i="14696" a="1"/>
  <c r="C12" i="14696" s="1"/>
  <c r="B40" i="14708" s="1"/>
  <c r="O15" i="14676"/>
  <c r="J11" i="14671"/>
  <c r="F11" i="14671"/>
  <c r="C11" i="14671"/>
  <c r="K11" i="14671"/>
  <c r="I11" i="14671"/>
  <c r="D11" i="14671"/>
  <c r="E11" i="14671"/>
  <c r="L11" i="14671"/>
  <c r="B11" i="14671"/>
  <c r="G11" i="14671"/>
  <c r="H11" i="14671"/>
  <c r="N13" i="14631"/>
  <c r="M11" i="14617"/>
  <c r="N9" i="14617" s="1" a="1"/>
  <c r="G24" i="4128"/>
  <c r="O9" i="14617"/>
  <c r="C26" i="14649"/>
  <c r="C24" i="14649"/>
  <c r="C25" i="14649"/>
  <c r="I17" i="14617"/>
  <c r="H17" i="14617"/>
  <c r="H17" i="14631"/>
  <c r="C17" i="14631"/>
  <c r="I17" i="14631"/>
  <c r="L17" i="14631"/>
  <c r="M17" i="14631"/>
  <c r="K17" i="14631"/>
  <c r="J17" i="14631"/>
  <c r="D17" i="14631"/>
  <c r="G17" i="14631"/>
  <c r="B17" i="14631"/>
  <c r="F17" i="14631"/>
  <c r="E17" i="14631"/>
  <c r="C20" i="14675" a="1"/>
  <c r="O12" i="14675"/>
  <c r="C13" i="14675" a="1"/>
  <c r="I17" i="14640"/>
  <c r="F17" i="14640"/>
  <c r="C17" i="14640"/>
  <c r="L17" i="14640"/>
  <c r="K17" i="14640"/>
  <c r="M17" i="14640"/>
  <c r="D17" i="14640"/>
  <c r="G17" i="14640"/>
  <c r="H17" i="14640"/>
  <c r="E17" i="14640"/>
  <c r="J17" i="14640"/>
  <c r="B17" i="14640"/>
  <c r="L21" i="14639"/>
  <c r="H21" i="14639"/>
  <c r="G21" i="14639"/>
  <c r="D21" i="14639"/>
  <c r="K21" i="14639"/>
  <c r="J21" i="14639"/>
  <c r="C21" i="14639"/>
  <c r="N21" i="14639"/>
  <c r="E21" i="14639"/>
  <c r="I21" i="14639"/>
  <c r="F21" i="14639"/>
  <c r="M21" i="14639"/>
  <c r="F21" i="14634"/>
  <c r="M21" i="14634"/>
  <c r="J21" i="14634"/>
  <c r="G21" i="14634"/>
  <c r="E21" i="14634"/>
  <c r="N21" i="14634"/>
  <c r="H21" i="14634"/>
  <c r="L21" i="14634"/>
  <c r="D21" i="14634"/>
  <c r="I21" i="14634"/>
  <c r="C21" i="14634"/>
  <c r="K21" i="14634"/>
  <c r="F17" i="14617"/>
  <c r="E17" i="14617"/>
  <c r="K22" i="14628"/>
  <c r="K24" i="14628" s="1"/>
  <c r="F17" i="14670" l="1"/>
  <c r="I17" i="14670"/>
  <c r="L17" i="14670"/>
  <c r="D17" i="14670"/>
  <c r="M17" i="14670"/>
  <c r="H17" i="14670"/>
  <c r="J17" i="14670"/>
  <c r="K17" i="14670"/>
  <c r="B17" i="14670"/>
  <c r="E17" i="14670"/>
  <c r="G17" i="14670"/>
  <c r="L17" i="14617"/>
  <c r="L15" i="14707"/>
  <c r="K13" i="14617"/>
  <c r="K21" i="14674"/>
  <c r="E21" i="14674"/>
  <c r="L21" i="14674"/>
  <c r="H21" i="14674"/>
  <c r="G21" i="14674"/>
  <c r="C21" i="14674"/>
  <c r="I21" i="14674"/>
  <c r="F21" i="14674"/>
  <c r="M21" i="14674"/>
  <c r="N21" i="14674"/>
  <c r="D21" i="14674"/>
  <c r="N13" i="14670"/>
  <c r="O15" i="14677"/>
  <c r="G12" i="14696"/>
  <c r="F12" i="14696"/>
  <c r="E12" i="14696"/>
  <c r="D12" i="14696"/>
  <c r="N11" i="14671"/>
  <c r="B13" i="14671" a="1"/>
  <c r="F13" i="14671" s="1"/>
  <c r="N10" i="14617"/>
  <c r="N11" i="14617"/>
  <c r="N9" i="14617"/>
  <c r="M13" i="14617"/>
  <c r="F23" i="14708"/>
  <c r="N17" i="14640"/>
  <c r="E13" i="14675"/>
  <c r="D13" i="14675"/>
  <c r="K13" i="14675"/>
  <c r="I13" i="14675"/>
  <c r="L13" i="14675"/>
  <c r="N13" i="14675"/>
  <c r="F13" i="14675"/>
  <c r="J13" i="14675"/>
  <c r="H13" i="14675"/>
  <c r="C13" i="14675"/>
  <c r="G13" i="14675"/>
  <c r="M13" i="14675"/>
  <c r="K20" i="14675"/>
  <c r="M20" i="14675"/>
  <c r="C20" i="14675"/>
  <c r="H20" i="14675"/>
  <c r="D20" i="14675"/>
  <c r="L20" i="14675"/>
  <c r="I20" i="14675"/>
  <c r="J20" i="14675"/>
  <c r="E20" i="14675"/>
  <c r="G20" i="14675"/>
  <c r="N20" i="14675"/>
  <c r="F20" i="14675"/>
  <c r="O21" i="14634"/>
  <c r="O21" i="14639"/>
  <c r="N17" i="14631"/>
  <c r="L22" i="14628"/>
  <c r="L24" i="14628" s="1"/>
  <c r="N17" i="14670" l="1"/>
  <c r="O21" i="14674"/>
  <c r="C40" i="14708" a="1"/>
  <c r="F40" i="14708" s="1"/>
  <c r="B13" i="14671"/>
  <c r="I13" i="14671"/>
  <c r="D13" i="14671"/>
  <c r="G13" i="14671"/>
  <c r="L13" i="14671"/>
  <c r="M13" i="14671"/>
  <c r="J13" i="14671"/>
  <c r="C13" i="14671"/>
  <c r="E13" i="14671"/>
  <c r="H13" i="14671"/>
  <c r="K13" i="14671"/>
  <c r="N13" i="14617"/>
  <c r="N15" i="14707"/>
  <c r="O13" i="14617"/>
  <c r="B17" i="14671" a="1"/>
  <c r="O13" i="14675"/>
  <c r="M17" i="14617" s="1"/>
  <c r="O20" i="14675"/>
  <c r="C21" i="14675" a="1"/>
  <c r="M22" i="14628"/>
  <c r="M24" i="14628" s="1"/>
  <c r="D40" i="14708" l="1"/>
  <c r="C40" i="14708"/>
  <c r="E40" i="14708"/>
  <c r="N13" i="14671"/>
  <c r="D17" i="14671"/>
  <c r="C17" i="14671"/>
  <c r="B17" i="14671"/>
  <c r="M17" i="14671"/>
  <c r="H17" i="14671"/>
  <c r="L17" i="14671"/>
  <c r="I17" i="14671"/>
  <c r="F17" i="14671"/>
  <c r="J17" i="14671"/>
  <c r="G17" i="14671"/>
  <c r="E17" i="14671"/>
  <c r="K17" i="14671"/>
  <c r="N21" i="14675"/>
  <c r="D21" i="14675"/>
  <c r="H21" i="14675"/>
  <c r="E21" i="14675"/>
  <c r="F21" i="14675"/>
  <c r="J21" i="14675"/>
  <c r="L21" i="14675"/>
  <c r="I21" i="14675"/>
  <c r="M21" i="14675"/>
  <c r="G21" i="14675"/>
  <c r="C21" i="14675"/>
  <c r="K21" i="14675"/>
  <c r="N17" i="14617"/>
  <c r="O17" i="14617"/>
  <c r="N22" i="14628"/>
  <c r="N24" i="14628" l="1"/>
  <c r="C22" i="14625" s="1" a="1"/>
  <c r="O22" i="14628"/>
  <c r="F21" i="14667" s="1"/>
  <c r="O21" i="14675"/>
  <c r="N17" i="14671"/>
  <c r="F7" i="14706" l="1"/>
  <c r="O24" i="14628"/>
  <c r="J22" i="14625"/>
  <c r="E22" i="14625"/>
  <c r="H22" i="14625"/>
  <c r="F22" i="14625"/>
  <c r="L22" i="14625"/>
  <c r="I22" i="14625"/>
  <c r="D22" i="14625"/>
  <c r="M22" i="14625"/>
  <c r="K22" i="14625"/>
  <c r="N22" i="14625"/>
  <c r="G22" i="14625"/>
  <c r="C22" i="14625"/>
  <c r="C22" i="14634"/>
  <c r="C24" i="14634" l="1"/>
  <c r="H26" i="14634"/>
  <c r="D22" i="14634"/>
  <c r="D24" i="14634" s="1"/>
  <c r="F29" i="14706"/>
  <c r="F41" i="14667"/>
  <c r="O22" i="14625"/>
  <c r="C9" i="14633" l="1" a="1"/>
  <c r="E22" i="14634"/>
  <c r="E24" i="14634" s="1"/>
  <c r="C9" i="14633" l="1"/>
  <c r="I9" i="14633"/>
  <c r="E9" i="14633"/>
  <c r="N9" i="14633"/>
  <c r="G9" i="14633"/>
  <c r="L9" i="14633"/>
  <c r="D9" i="14633"/>
  <c r="J9" i="14633"/>
  <c r="F9" i="14633"/>
  <c r="M9" i="14633"/>
  <c r="K9" i="14633"/>
  <c r="H9" i="14633"/>
  <c r="F22" i="14634"/>
  <c r="F24" i="14634" s="1"/>
  <c r="O9" i="14633" l="1"/>
  <c r="G22" i="14634"/>
  <c r="G24" i="14634" s="1"/>
  <c r="H22" i="14634" l="1"/>
  <c r="H24" i="14634" s="1"/>
  <c r="I22" i="14634" l="1"/>
  <c r="I24" i="14634" s="1"/>
  <c r="J22" i="14634" l="1"/>
  <c r="J24" i="14634" s="1"/>
  <c r="K22" i="14634" l="1"/>
  <c r="K24" i="14634" s="1"/>
  <c r="L22" i="14634" l="1"/>
  <c r="L24" i="14634" s="1"/>
  <c r="M22" i="14634" l="1"/>
  <c r="M24" i="14634" s="1"/>
  <c r="N22" i="14634" l="1"/>
  <c r="N24" i="14634" l="1"/>
  <c r="C22" i="14633" s="1" a="1"/>
  <c r="O22" i="14634"/>
  <c r="H21" i="14667" s="1"/>
  <c r="H7" i="14706" l="1"/>
  <c r="O24" i="14634"/>
  <c r="L22" i="14633"/>
  <c r="J22" i="14633"/>
  <c r="D22" i="14633"/>
  <c r="H22" i="14633"/>
  <c r="K22" i="14633"/>
  <c r="I22" i="14633"/>
  <c r="N22" i="14633"/>
  <c r="C22" i="14633"/>
  <c r="F22" i="14633"/>
  <c r="G22" i="14633"/>
  <c r="M22" i="14633"/>
  <c r="E22" i="14633"/>
  <c r="C22" i="14639"/>
  <c r="C24" i="14639" l="1"/>
  <c r="H26" i="14639"/>
  <c r="O22" i="14633"/>
  <c r="D22" i="14639"/>
  <c r="D24" i="14639" s="1"/>
  <c r="H41" i="14667"/>
  <c r="H29" i="14706"/>
  <c r="C9" i="14641" l="1" a="1"/>
  <c r="E22" i="14639"/>
  <c r="E24" i="14639" s="1"/>
  <c r="C9" i="14641" l="1"/>
  <c r="K9" i="14641"/>
  <c r="L9" i="14641"/>
  <c r="M9" i="14641"/>
  <c r="N9" i="14641"/>
  <c r="J9" i="14641"/>
  <c r="F9" i="14641"/>
  <c r="D9" i="14641"/>
  <c r="I9" i="14641"/>
  <c r="E9" i="14641"/>
  <c r="G9" i="14641"/>
  <c r="H9" i="14641"/>
  <c r="F22" i="14639"/>
  <c r="F24" i="14639" s="1"/>
  <c r="O9" i="14641" l="1"/>
  <c r="G22" i="14639"/>
  <c r="G24" i="14639" s="1"/>
  <c r="H22" i="14639" l="1"/>
  <c r="H24" i="14639" s="1"/>
  <c r="I22" i="14639" l="1"/>
  <c r="I24" i="14639" s="1"/>
  <c r="J22" i="14639" l="1"/>
  <c r="J24" i="14639" s="1"/>
  <c r="K22" i="14639" l="1"/>
  <c r="K24" i="14639" s="1"/>
  <c r="L22" i="14639" l="1"/>
  <c r="L24" i="14639" s="1"/>
  <c r="M22" i="14639" l="1"/>
  <c r="M24" i="14639" s="1"/>
  <c r="N22" i="14639" l="1"/>
  <c r="N24" i="14639" l="1"/>
  <c r="C22" i="14641" s="1" a="1"/>
  <c r="O22" i="14639"/>
  <c r="J21" i="14667" s="1"/>
  <c r="J7" i="14706" l="1"/>
  <c r="O24" i="14639"/>
  <c r="I22" i="14641"/>
  <c r="F22" i="14641"/>
  <c r="H22" i="14641"/>
  <c r="G22" i="14641"/>
  <c r="M22" i="14641"/>
  <c r="L22" i="14641"/>
  <c r="N22" i="14641"/>
  <c r="C22" i="14641"/>
  <c r="E22" i="14641"/>
  <c r="D22" i="14641"/>
  <c r="J22" i="14641"/>
  <c r="K22" i="14641"/>
  <c r="C22" i="14674"/>
  <c r="H26" i="14674" l="1"/>
  <c r="C24" i="14674"/>
  <c r="D22" i="14674"/>
  <c r="D24" i="14674" s="1"/>
  <c r="O22" i="14641"/>
  <c r="J29" i="14706"/>
  <c r="J41" i="14667"/>
  <c r="C9" i="14676" l="1" a="1"/>
  <c r="E22" i="14674"/>
  <c r="E24" i="14674" s="1"/>
  <c r="K9" i="14676" l="1"/>
  <c r="D9" i="14676"/>
  <c r="L9" i="14676"/>
  <c r="N9" i="14676"/>
  <c r="F9" i="14676"/>
  <c r="J9" i="14676"/>
  <c r="M9" i="14676"/>
  <c r="E9" i="14676"/>
  <c r="I9" i="14676"/>
  <c r="G9" i="14676"/>
  <c r="C9" i="14676"/>
  <c r="H9" i="14676"/>
  <c r="F22" i="14674"/>
  <c r="F24" i="14674" s="1"/>
  <c r="O9" i="14676" l="1"/>
  <c r="G22" i="14674"/>
  <c r="G24" i="14674" s="1"/>
  <c r="H22" i="14674" l="1"/>
  <c r="H24" i="14674" s="1"/>
  <c r="I22" i="14674" l="1"/>
  <c r="I24" i="14674" s="1"/>
  <c r="J22" i="14674" l="1"/>
  <c r="J24" i="14674" s="1"/>
  <c r="K22" i="14674" l="1"/>
  <c r="K24" i="14674" s="1"/>
  <c r="L22" i="14674" l="1"/>
  <c r="L24" i="14674" s="1"/>
  <c r="M22" i="14674" l="1"/>
  <c r="M24" i="14674" s="1"/>
  <c r="N22" i="14674" l="1"/>
  <c r="N24" i="14674" l="1"/>
  <c r="C22" i="14676" s="1" a="1"/>
  <c r="O22" i="14674"/>
  <c r="L21" i="14667" s="1"/>
  <c r="L7" i="14706" l="1"/>
  <c r="O24" i="14674"/>
  <c r="G22" i="14676"/>
  <c r="I22" i="14676"/>
  <c r="M22" i="14676"/>
  <c r="L22" i="14676"/>
  <c r="J22" i="14676"/>
  <c r="N22" i="14676"/>
  <c r="K22" i="14676"/>
  <c r="D22" i="14676"/>
  <c r="H22" i="14676"/>
  <c r="F22" i="14676"/>
  <c r="E22" i="14676"/>
  <c r="C22" i="14676"/>
  <c r="C22" i="14675"/>
  <c r="C24" i="14675" l="1"/>
  <c r="H26" i="14675"/>
  <c r="O22" i="14676"/>
  <c r="L41" i="14667"/>
  <c r="L29" i="14706"/>
  <c r="D22" i="14675"/>
  <c r="D24" i="14675" s="1"/>
  <c r="C9" i="14677" l="1" a="1"/>
  <c r="E22" i="14675"/>
  <c r="E24" i="14675" s="1"/>
  <c r="C9" i="14677" l="1"/>
  <c r="L9" i="14677"/>
  <c r="F9" i="14677"/>
  <c r="J9" i="14677"/>
  <c r="M9" i="14677"/>
  <c r="E9" i="14677"/>
  <c r="I9" i="14677"/>
  <c r="D9" i="14677"/>
  <c r="N9" i="14677"/>
  <c r="K9" i="14677"/>
  <c r="G9" i="14677"/>
  <c r="H9" i="14677"/>
  <c r="F22" i="14675"/>
  <c r="F24" i="14675" s="1"/>
  <c r="O9" i="14677" l="1"/>
  <c r="G22" i="14675"/>
  <c r="G24" i="14675" s="1"/>
  <c r="H22" i="14675" l="1"/>
  <c r="H24" i="14675" s="1"/>
  <c r="I22" i="14675" l="1"/>
  <c r="I24" i="14675" s="1"/>
  <c r="J22" i="14675" l="1"/>
  <c r="J24" i="14675" s="1"/>
  <c r="K22" i="14675" l="1"/>
  <c r="K24" i="14675" s="1"/>
  <c r="L22" i="14675" l="1"/>
  <c r="L24" i="14675" s="1"/>
  <c r="M22" i="14675" l="1"/>
  <c r="M24" i="14675" s="1"/>
  <c r="N22" i="14675" l="1"/>
  <c r="N24" i="14675" l="1"/>
  <c r="C22" i="14677" s="1" a="1"/>
  <c r="O22" i="14675"/>
  <c r="N21" i="14667" s="1"/>
  <c r="N7" i="14706" l="1"/>
  <c r="O24" i="14675"/>
  <c r="N22" i="14677"/>
  <c r="I22" i="14677"/>
  <c r="G22" i="14677"/>
  <c r="E22" i="14677"/>
  <c r="L22" i="14677"/>
  <c r="M22" i="14677"/>
  <c r="H22" i="14677"/>
  <c r="C22" i="14677"/>
  <c r="K22" i="14677"/>
  <c r="J22" i="14677"/>
  <c r="F22" i="14677"/>
  <c r="D22" i="14677"/>
  <c r="O22" i="14677" l="1"/>
  <c r="N41" i="14667"/>
  <c r="N29" i="14706"/>
  <c r="G20" i="14629" l="1"/>
  <c r="B16" i="14631" s="1" a="1"/>
  <c r="G16" i="14631" s="1"/>
  <c r="N20" i="14629" l="1"/>
  <c r="G27" i="14629"/>
  <c r="B15" i="14631" s="1" a="1"/>
  <c r="G15" i="14631" s="1"/>
  <c r="K16" i="14631"/>
  <c r="F16" i="14631"/>
  <c r="L16" i="14631"/>
  <c r="J16" i="14631"/>
  <c r="M16" i="14631"/>
  <c r="H16" i="14631"/>
  <c r="B16" i="14631"/>
  <c r="C16" i="14631"/>
  <c r="I16" i="14631"/>
  <c r="E16" i="14631"/>
  <c r="D16" i="14631"/>
  <c r="N27" i="14629"/>
  <c r="D14" i="14657" s="1"/>
  <c r="D16" i="14617"/>
  <c r="D18" i="14617" l="1"/>
  <c r="C24" i="14708" s="1"/>
  <c r="E44" i="14710"/>
  <c r="O23" i="14629" a="1"/>
  <c r="O7" i="14629" a="1"/>
  <c r="O18" i="14629" a="1"/>
  <c r="B58" i="14629" a="1"/>
  <c r="N16" i="14631"/>
  <c r="H15" i="14631"/>
  <c r="H18" i="14631" s="1"/>
  <c r="L15" i="14631"/>
  <c r="L18" i="14631" s="1"/>
  <c r="D15" i="14631"/>
  <c r="D18" i="14631" s="1"/>
  <c r="B15" i="14631"/>
  <c r="B18" i="14631" s="1"/>
  <c r="M15" i="14631"/>
  <c r="M18" i="14631" s="1"/>
  <c r="I15" i="14631"/>
  <c r="I18" i="14631" s="1"/>
  <c r="K15" i="14631"/>
  <c r="K18" i="14631" s="1"/>
  <c r="C15" i="14631"/>
  <c r="C18" i="14631" s="1"/>
  <c r="E15" i="14631"/>
  <c r="E18" i="14631" s="1"/>
  <c r="J15" i="14631"/>
  <c r="J18" i="14631" s="1"/>
  <c r="F15" i="14631"/>
  <c r="F18" i="14631" s="1"/>
  <c r="G18" i="14631"/>
  <c r="N58" i="14629"/>
  <c r="E7" i="14643"/>
  <c r="E10" i="14643" s="1"/>
  <c r="O9" i="14629"/>
  <c r="O23" i="14629"/>
  <c r="O25" i="14629"/>
  <c r="O19" i="14629"/>
  <c r="O8" i="14629"/>
  <c r="O24" i="14629"/>
  <c r="O11" i="14629"/>
  <c r="O20" i="14629"/>
  <c r="O14" i="14629"/>
  <c r="O13" i="14629"/>
  <c r="O15" i="14629"/>
  <c r="O12" i="14629"/>
  <c r="O10" i="14629"/>
  <c r="O7" i="14629"/>
  <c r="O18" i="14629"/>
  <c r="E18" i="14617"/>
  <c r="D33" i="4128"/>
  <c r="D20" i="14617"/>
  <c r="F18" i="14617"/>
  <c r="C40" i="14649" l="1"/>
  <c r="B20" i="14631" a="1"/>
  <c r="M20" i="14631" s="1"/>
  <c r="B58" i="14629"/>
  <c r="C58" i="14629"/>
  <c r="D58" i="14629"/>
  <c r="E58" i="14629"/>
  <c r="F58" i="14629"/>
  <c r="K58" i="14629"/>
  <c r="L58" i="14629"/>
  <c r="M58" i="14629"/>
  <c r="H58" i="14629"/>
  <c r="I58" i="14629"/>
  <c r="J58" i="14629"/>
  <c r="G58" i="14629"/>
  <c r="N15" i="14631"/>
  <c r="O27" i="14629"/>
  <c r="O33" i="14629" a="1"/>
  <c r="N18" i="14631"/>
  <c r="C42" i="14649"/>
  <c r="C57" i="14649" s="1"/>
  <c r="E20" i="14617"/>
  <c r="D23" i="14617"/>
  <c r="O55" i="14629"/>
  <c r="F20" i="14631" l="1"/>
  <c r="J14" i="14633"/>
  <c r="N14" i="14633"/>
  <c r="I14" i="14633"/>
  <c r="M14" i="14633"/>
  <c r="L14" i="14633"/>
  <c r="G14" i="14633"/>
  <c r="F14" i="14633"/>
  <c r="E14" i="14633"/>
  <c r="D14" i="14633"/>
  <c r="H14" i="14633"/>
  <c r="C14" i="14633"/>
  <c r="K14" i="14633"/>
  <c r="G20" i="14631"/>
  <c r="E20" i="14631"/>
  <c r="J20" i="14631"/>
  <c r="H20" i="14631"/>
  <c r="B20" i="14631"/>
  <c r="I20" i="14631"/>
  <c r="L20" i="14631"/>
  <c r="K20" i="14631"/>
  <c r="D20" i="14631"/>
  <c r="C20" i="14631"/>
  <c r="O34" i="14629"/>
  <c r="O36" i="14629"/>
  <c r="O38" i="14629"/>
  <c r="O40" i="14629"/>
  <c r="O42" i="14629"/>
  <c r="O44" i="14629"/>
  <c r="O46" i="14629"/>
  <c r="O48" i="14629"/>
  <c r="O50" i="14629"/>
  <c r="O52" i="14629"/>
  <c r="O54" i="14629"/>
  <c r="O33" i="14629"/>
  <c r="O35" i="14629"/>
  <c r="O37" i="14629"/>
  <c r="O39" i="14629"/>
  <c r="O41" i="14629"/>
  <c r="O43" i="14629"/>
  <c r="O45" i="14629"/>
  <c r="O47" i="14629"/>
  <c r="O49" i="14629"/>
  <c r="O51" i="14629"/>
  <c r="O53" i="14629"/>
  <c r="E22" i="14617" a="1"/>
  <c r="F23" i="14617"/>
  <c r="D12" i="4128"/>
  <c r="O14" i="14633" l="1"/>
  <c r="N20" i="14631"/>
  <c r="B23" i="14631" a="1"/>
  <c r="E23" i="14617"/>
  <c r="E22" i="14617"/>
  <c r="M23" i="14631" l="1"/>
  <c r="E23" i="14631"/>
  <c r="F23" i="14631"/>
  <c r="J23" i="14631"/>
  <c r="H23" i="14631"/>
  <c r="G23" i="14631"/>
  <c r="B23" i="14631"/>
  <c r="I23" i="14631"/>
  <c r="K23" i="14631"/>
  <c r="L23" i="14631"/>
  <c r="D23" i="14631"/>
  <c r="C23" i="14631"/>
  <c r="N23" i="14631" l="1"/>
  <c r="B48" i="14622" l="1" a="1"/>
  <c r="B48" i="14622"/>
  <c r="C84" i="14689" s="1"/>
  <c r="C86" i="14689" s="1"/>
  <c r="B58" i="14673" a="1"/>
  <c r="M58" i="14673"/>
  <c r="F58" i="14673"/>
  <c r="E58" i="14673"/>
  <c r="C58" i="14673"/>
  <c r="G5" i="14684" a="1"/>
  <c r="G5" i="14684"/>
  <c r="G6" i="14684"/>
  <c r="L58" i="14673"/>
  <c r="K58" i="14673"/>
  <c r="J58" i="14673"/>
  <c r="I58" i="14673"/>
  <c r="H58" i="14673"/>
  <c r="D58" i="14673"/>
  <c r="B58" i="14672" a="1"/>
  <c r="M58" i="14672"/>
  <c r="F58" i="14672"/>
  <c r="D58" i="14672"/>
  <c r="C58" i="14672"/>
  <c r="D23" i="14643" a="1"/>
  <c r="B58" i="14673"/>
  <c r="B15" i="14671" a="1"/>
  <c r="B15" i="14671"/>
  <c r="C15" i="14671"/>
  <c r="D15" i="14671"/>
  <c r="E15" i="14671"/>
  <c r="F15" i="14671"/>
  <c r="H15" i="14671"/>
  <c r="I15" i="14671"/>
  <c r="J15" i="14671"/>
  <c r="K15" i="14671"/>
  <c r="L15" i="14671"/>
  <c r="M15" i="14671"/>
  <c r="B16" i="14671" a="1"/>
  <c r="B16" i="14671"/>
  <c r="F5" i="14684" a="1"/>
  <c r="F5" i="14684"/>
  <c r="F6" i="14684"/>
  <c r="L58" i="14672"/>
  <c r="K58" i="14672"/>
  <c r="J58" i="14672"/>
  <c r="I58" i="14672"/>
  <c r="H58" i="14672"/>
  <c r="E58" i="14672"/>
  <c r="B58" i="14636" a="1"/>
  <c r="M58" i="14636"/>
  <c r="F58" i="14636"/>
  <c r="E58" i="14636"/>
  <c r="D58" i="14636"/>
  <c r="C58" i="14636"/>
  <c r="K22" i="14617" a="1"/>
  <c r="K22" i="14617"/>
  <c r="B58" i="14672"/>
  <c r="B15" i="14670" a="1"/>
  <c r="E5" i="14684" a="1"/>
  <c r="E5" i="14684"/>
  <c r="E6" i="14684"/>
  <c r="L58" i="14636"/>
  <c r="K58" i="14636"/>
  <c r="J58" i="14636"/>
  <c r="I58" i="14636"/>
  <c r="H58" i="14636"/>
  <c r="H22" i="14617" a="1"/>
  <c r="H22" i="14617"/>
  <c r="B58" i="14636"/>
  <c r="B15" i="14640" a="1"/>
  <c r="D5" i="14684" a="1"/>
  <c r="D5" i="14684"/>
  <c r="D6" i="14684"/>
  <c r="B7" i="14648" a="1"/>
  <c r="C10" i="14625" a="1"/>
  <c r="C10" i="14625"/>
  <c r="C11" i="14625" s="1"/>
  <c r="C29" i="14625" s="1"/>
  <c r="D23" i="14643"/>
  <c r="D24" i="14643" s="1"/>
  <c r="E23" i="14643"/>
  <c r="E31" i="14643" s="1"/>
  <c r="B16" i="14640" a="1"/>
  <c r="B15" i="14670"/>
  <c r="B16" i="14670" a="1"/>
  <c r="B16" i="14670"/>
  <c r="C15" i="14670"/>
  <c r="C16" i="14670"/>
  <c r="D15" i="14670"/>
  <c r="D16" i="14670"/>
  <c r="E15" i="14670"/>
  <c r="E16" i="14670"/>
  <c r="F15" i="14670"/>
  <c r="F16" i="14670"/>
  <c r="H15" i="14670"/>
  <c r="H16" i="14670"/>
  <c r="I15" i="14670"/>
  <c r="I16" i="14670"/>
  <c r="J15" i="14670"/>
  <c r="J16" i="14670"/>
  <c r="K15" i="14670"/>
  <c r="K16" i="14670"/>
  <c r="L15" i="14670"/>
  <c r="L16" i="14670"/>
  <c r="M15" i="14670"/>
  <c r="M16" i="14670"/>
  <c r="N22" i="14617" a="1"/>
  <c r="C16" i="14671"/>
  <c r="C18" i="14671" s="1"/>
  <c r="C20" i="14671" s="1"/>
  <c r="C23" i="14671" s="1"/>
  <c r="D16" i="14671"/>
  <c r="E16" i="14671"/>
  <c r="F16" i="14671"/>
  <c r="H16" i="14671"/>
  <c r="I16" i="14671"/>
  <c r="J16" i="14671"/>
  <c r="J18" i="14671" s="1"/>
  <c r="J20" i="14671" s="1"/>
  <c r="J23" i="14671" s="1"/>
  <c r="K16" i="14671"/>
  <c r="L16" i="14671"/>
  <c r="M16" i="14671"/>
  <c r="N22" i="14617"/>
  <c r="B15" i="14640"/>
  <c r="C15" i="14640"/>
  <c r="D15" i="14640"/>
  <c r="E15" i="14640"/>
  <c r="F15" i="14640"/>
  <c r="H15" i="14640"/>
  <c r="I15" i="14640"/>
  <c r="J15" i="14640"/>
  <c r="K15" i="14640"/>
  <c r="L15" i="14640"/>
  <c r="M15" i="14640"/>
  <c r="B16" i="14640"/>
  <c r="E16" i="14640"/>
  <c r="D16" i="14640"/>
  <c r="F16" i="14640"/>
  <c r="K16" i="14640"/>
  <c r="J16" i="14640"/>
  <c r="I16" i="14640"/>
  <c r="H16" i="14640"/>
  <c r="M16" i="14640"/>
  <c r="C16" i="14640"/>
  <c r="L16" i="14640"/>
  <c r="D13" i="14684" a="1"/>
  <c r="B25" i="14708" a="1"/>
  <c r="E24" i="14643" a="1"/>
  <c r="D17" i="14643" a="1"/>
  <c r="C25" i="14708"/>
  <c r="C26" i="14708" s="1"/>
  <c r="C28" i="14708" s="1"/>
  <c r="B25" i="14708"/>
  <c r="B26" i="14708" s="1"/>
  <c r="B28" i="14708" s="1"/>
  <c r="C29" i="14625" a="1"/>
  <c r="G13" i="14684" a="1"/>
  <c r="F13" i="14684" a="1"/>
  <c r="B7" i="14648"/>
  <c r="B8" i="14648" s="1"/>
  <c r="C86" i="14689" a="1"/>
  <c r="C5" i="14684" a="1"/>
  <c r="C5" i="14684"/>
  <c r="C6" i="14684"/>
  <c r="C7" i="14684"/>
  <c r="C8" i="14684"/>
  <c r="B25" i="8" a="1"/>
  <c r="B25" i="8"/>
  <c r="G17" i="14684" a="1"/>
  <c r="D13" i="14684"/>
  <c r="D14" i="14684"/>
  <c r="D16" i="14684"/>
  <c r="E17" i="14684" a="1"/>
  <c r="F17" i="14684" a="1"/>
  <c r="C13" i="14684" a="1"/>
  <c r="C13" i="14684"/>
  <c r="C14" i="14684"/>
  <c r="C16" i="14684"/>
  <c r="C17" i="14684" a="1"/>
  <c r="C21" i="14684"/>
  <c r="C18" i="14684"/>
  <c r="C17" i="14684"/>
  <c r="C19" i="14684"/>
  <c r="E82" i="14649" a="1"/>
  <c r="E82" i="14649"/>
  <c r="E13" i="14684" a="1"/>
  <c r="E16" i="14684"/>
  <c r="E14" i="14684"/>
  <c r="F17" i="14684"/>
  <c r="F21" i="14684"/>
  <c r="F19" i="14684"/>
  <c r="F18" i="14684"/>
  <c r="F16" i="14684"/>
  <c r="F14" i="14684"/>
  <c r="E8" i="14684"/>
  <c r="G8" i="14684"/>
  <c r="G19" i="14684"/>
  <c r="G18" i="14684"/>
  <c r="G17" i="14684"/>
  <c r="G21" i="14684"/>
  <c r="F8" i="14684"/>
  <c r="D17" i="14684" a="1"/>
  <c r="D19" i="14684"/>
  <c r="D18" i="14684"/>
  <c r="D17" i="14684"/>
  <c r="D21" i="14684"/>
  <c r="G16" i="14684"/>
  <c r="G14" i="14684"/>
  <c r="E21" i="14684"/>
  <c r="E17" i="14684"/>
  <c r="E18" i="14684"/>
  <c r="E19" i="14684"/>
  <c r="D8" i="14684"/>
  <c r="D53" i="14690" a="1"/>
  <c r="D53" i="14690"/>
  <c r="B8" i="14648" a="1"/>
  <c r="B26" i="14708" a="1"/>
  <c r="B28" i="14708" a="1"/>
  <c r="B20" i="14640" a="1"/>
  <c r="B26" i="8" a="1"/>
  <c r="B27" i="8" a="1"/>
  <c r="B20" i="14670" a="1"/>
  <c r="B20" i="14671" a="1"/>
  <c r="B51" i="14649" a="1"/>
  <c r="E74" i="14649" a="1"/>
  <c r="B29" i="8" a="1"/>
  <c r="C16" i="14625" a="1"/>
  <c r="B23" i="14670" a="1"/>
  <c r="B23" i="14671" a="1"/>
  <c r="B23" i="14640" a="1"/>
  <c r="C30" i="14625" a="1"/>
  <c r="C31" i="14625" a="1"/>
  <c r="C90" i="14648" a="1"/>
  <c r="B25" i="14631" a="1"/>
  <c r="B30" i="14708" a="1"/>
  <c r="C25" i="14617" a="1"/>
  <c r="D18" i="14643" a="1"/>
  <c r="B50" i="14649" a="1"/>
  <c r="B49" i="14649" a="1"/>
  <c r="D27" i="14643" a="1"/>
  <c r="C25" i="14684" a="1"/>
  <c r="C10" i="14633" a="1"/>
  <c r="B37" i="14708" a="1"/>
  <c r="C29" i="14633" a="1"/>
  <c r="C28" i="14648" a="1"/>
  <c r="B22" i="14648" a="1"/>
  <c r="D35" i="14643" a="1"/>
  <c r="C27" i="14648" a="1"/>
  <c r="B23" i="14648" a="1"/>
  <c r="B29" i="14708" a="1"/>
  <c r="C16" i="14633" a="1"/>
  <c r="B26" i="14631" a="1"/>
  <c r="C30" i="14633" a="1"/>
  <c r="C31" i="14633" a="1"/>
  <c r="B27" i="14631" a="1"/>
  <c r="B29" i="14631" a="1"/>
  <c r="C35" i="14633" a="1"/>
  <c r="C43" i="14648" a="1"/>
  <c r="C95" i="14648" a="1"/>
  <c r="B37" i="14648" a="1"/>
  <c r="C42" i="14648" a="1"/>
  <c r="B38" i="14648" a="1"/>
  <c r="C10" i="14641" a="1"/>
  <c r="C42" i="14708" a="1"/>
  <c r="E28" i="14643" a="1"/>
  <c r="C41" i="14708" a="1"/>
  <c r="B25" i="14640" a="1"/>
  <c r="C16" i="14641" a="1"/>
  <c r="C29" i="14641" a="1"/>
  <c r="B26" i="14640" a="1"/>
  <c r="C30" i="14641" a="1"/>
  <c r="B27" i="14640" a="1"/>
  <c r="B29" i="14640" a="1"/>
  <c r="C31" i="14641" a="1"/>
  <c r="C35" i="14641" a="1"/>
  <c r="C58" i="14648" a="1"/>
  <c r="C100" i="14648" a="1"/>
  <c r="B52" i="14648" a="1"/>
  <c r="C57" i="14648" a="1"/>
  <c r="B53" i="14648" a="1"/>
  <c r="C10" i="14676" a="1"/>
  <c r="B25" i="14670" a="1"/>
  <c r="C29" i="14676" a="1"/>
  <c r="C16" i="14676" a="1"/>
  <c r="B26" i="14670" a="1"/>
  <c r="C30" i="14676" a="1"/>
  <c r="B27" i="14670" a="1"/>
  <c r="B29" i="14670" a="1"/>
  <c r="C31" i="14676" a="1"/>
  <c r="C35" i="14676" a="1"/>
  <c r="C73" i="14648" a="1"/>
  <c r="C105" i="14648" a="1"/>
  <c r="B67" i="14648" a="1"/>
  <c r="C72" i="14648" a="1"/>
  <c r="B68" i="14648" a="1"/>
  <c r="C10" i="14677" a="1"/>
  <c r="B25" i="14671" a="1"/>
  <c r="C16" i="14677" a="1"/>
  <c r="C29" i="14677" a="1"/>
  <c r="B26" i="14671" a="1"/>
  <c r="C30" i="14677" a="1"/>
  <c r="B27" i="14671" a="1"/>
  <c r="B29" i="14671" a="1"/>
  <c r="C31" i="14677" a="1"/>
  <c r="C35" i="14677" a="1"/>
  <c r="D18" i="14671" l="1"/>
  <c r="D20" i="14671" s="1"/>
  <c r="D23" i="14671" s="1"/>
  <c r="I18" i="14670"/>
  <c r="I20" i="14670" s="1"/>
  <c r="I23" i="14670" s="1"/>
  <c r="C18" i="14640"/>
  <c r="C20" i="14640" s="1"/>
  <c r="C23" i="14640" s="1"/>
  <c r="M14" i="14641"/>
  <c r="N14" i="14641"/>
  <c r="L14" i="14677"/>
  <c r="C14" i="14677"/>
  <c r="M14" i="14677"/>
  <c r="F14" i="14676"/>
  <c r="I14" i="14676"/>
  <c r="D14" i="14676"/>
  <c r="J14" i="14676"/>
  <c r="E14" i="14676"/>
  <c r="C14" i="14641"/>
  <c r="C14" i="14676"/>
  <c r="K14" i="14676"/>
  <c r="G14" i="14676"/>
  <c r="D14" i="14677"/>
  <c r="L14" i="14676"/>
  <c r="N14" i="14676"/>
  <c r="F14" i="14677"/>
  <c r="M14" i="14676"/>
  <c r="G14" i="14677"/>
  <c r="I14" i="14641"/>
  <c r="D14" i="14641"/>
  <c r="E14" i="14677"/>
  <c r="N14" i="14677"/>
  <c r="J14" i="14641"/>
  <c r="E14" i="14641"/>
  <c r="I14" i="14677"/>
  <c r="L18" i="14671"/>
  <c r="L20" i="14671" s="1"/>
  <c r="L23" i="14671" s="1"/>
  <c r="K14" i="14641"/>
  <c r="F14" i="14641"/>
  <c r="J14" i="14677"/>
  <c r="L14" i="14641"/>
  <c r="G14" i="14641"/>
  <c r="K14" i="14677"/>
  <c r="B18" i="14640"/>
  <c r="B20" i="14640" s="1"/>
  <c r="B23" i="14640" s="1"/>
  <c r="E18" i="14640"/>
  <c r="E20" i="14640" s="1"/>
  <c r="E23" i="14640" s="1"/>
  <c r="L18" i="14640"/>
  <c r="L20" i="14640" s="1"/>
  <c r="L23" i="14640" s="1"/>
  <c r="D18" i="14670"/>
  <c r="D20" i="14670" s="1"/>
  <c r="D23" i="14670" s="1"/>
  <c r="H18" i="14671"/>
  <c r="H20" i="14671" s="1"/>
  <c r="H23" i="14671" s="1"/>
  <c r="F18" i="14640"/>
  <c r="F20" i="14640" s="1"/>
  <c r="F23" i="14640" s="1"/>
  <c r="H18" i="14670"/>
  <c r="H20" i="14670" s="1"/>
  <c r="H23" i="14670" s="1"/>
  <c r="F18" i="14670"/>
  <c r="F20" i="14670" s="1"/>
  <c r="F23" i="14670" s="1"/>
  <c r="M18" i="14670"/>
  <c r="M20" i="14670" s="1"/>
  <c r="M23" i="14670" s="1"/>
  <c r="F18" i="14671"/>
  <c r="F20" i="14671" s="1"/>
  <c r="F23" i="14671" s="1"/>
  <c r="B18" i="14670"/>
  <c r="B20" i="14670" s="1"/>
  <c r="B23" i="14670" s="1"/>
  <c r="K18" i="14640"/>
  <c r="K20" i="14640" s="1"/>
  <c r="K23" i="14640" s="1"/>
  <c r="K18" i="14671"/>
  <c r="K20" i="14671" s="1"/>
  <c r="K23" i="14671" s="1"/>
  <c r="M18" i="14640"/>
  <c r="M20" i="14640" s="1"/>
  <c r="M23" i="14640" s="1"/>
  <c r="M18" i="14671"/>
  <c r="M20" i="14671" s="1"/>
  <c r="M23" i="14671" s="1"/>
  <c r="I18" i="14671"/>
  <c r="I20" i="14671" s="1"/>
  <c r="I23" i="14671" s="1"/>
  <c r="E18" i="14671"/>
  <c r="E20" i="14671" s="1"/>
  <c r="E23" i="14671" s="1"/>
  <c r="H18" i="14640"/>
  <c r="H20" i="14640" s="1"/>
  <c r="H23" i="14640" s="1"/>
  <c r="K18" i="14670"/>
  <c r="K20" i="14670" s="1"/>
  <c r="K23" i="14670" s="1"/>
  <c r="D18" i="14640"/>
  <c r="D20" i="14640" s="1"/>
  <c r="D23" i="14640" s="1"/>
  <c r="I18" i="14640"/>
  <c r="I20" i="14640" s="1"/>
  <c r="I23" i="14640" s="1"/>
  <c r="C18" i="14670"/>
  <c r="C20" i="14670" s="1"/>
  <c r="C23" i="14670" s="1"/>
  <c r="L18" i="14670"/>
  <c r="L20" i="14670" s="1"/>
  <c r="L23" i="14670" s="1"/>
  <c r="E18" i="14670"/>
  <c r="E20" i="14670" s="1"/>
  <c r="E23" i="14670" s="1"/>
  <c r="J18" i="14640"/>
  <c r="J20" i="14640" s="1"/>
  <c r="J23" i="14640" s="1"/>
  <c r="J18" i="14670"/>
  <c r="J20" i="14670" s="1"/>
  <c r="J23" i="14670" s="1"/>
  <c r="B18" i="14671"/>
  <c r="B20" i="14671" s="1"/>
  <c r="B23" i="14671" s="1"/>
  <c r="D31" i="14643"/>
  <c r="D34" i="4128"/>
  <c r="C51" i="14649" s="1"/>
  <c r="D75" i="14649"/>
  <c r="E75" i="14649" s="1"/>
  <c r="E24" i="14643"/>
  <c r="E17" i="14643"/>
  <c r="D17" i="14643"/>
  <c r="C34" i="4128" l="1"/>
  <c r="B51" i="14649" s="1"/>
  <c r="D74" i="14649"/>
  <c r="E74" i="14649" s="1"/>
  <c r="J44" i="14710" l="1"/>
  <c r="B63" i="14684" l="1" a="1"/>
  <c r="C25" i="14657" l="1" a="1"/>
  <c r="C20" i="14657" a="1"/>
  <c r="B64" i="14684" a="1"/>
  <c r="K23" i="14657" a="1"/>
  <c r="K20" i="14657" a="1"/>
  <c r="K25" i="14657" a="1"/>
  <c r="B65" i="14684" a="1"/>
  <c r="K27" i="14657" a="1"/>
  <c r="B66" i="14684" a="1"/>
  <c r="B67" i="14684" a="1"/>
  <c r="C12" i="14648" a="1"/>
  <c r="C12" i="14648"/>
  <c r="C13" i="14648" a="1"/>
  <c r="C13" i="14648"/>
  <c r="C14" i="14648"/>
  <c r="C19" i="14648" s="1"/>
  <c r="B26" i="8" l="1"/>
  <c r="B10" i="14681"/>
  <c r="C16" i="14625"/>
  <c r="C25" i="14625" l="1"/>
  <c r="C30" i="14625" s="1"/>
  <c r="B27" i="8"/>
  <c r="C31" i="14625" l="1"/>
  <c r="B29" i="8"/>
  <c r="B31" i="8" l="1"/>
  <c r="C33" i="14625"/>
  <c r="C35" i="14625" s="1"/>
  <c r="D85" i="14648" l="1"/>
  <c r="C9" i="14648"/>
  <c r="B63" i="14684"/>
  <c r="B78" i="14684" s="1"/>
  <c r="C7" i="14648"/>
  <c r="D14" i="14648" l="1"/>
  <c r="D12" i="14648"/>
  <c r="C8" i="14648"/>
  <c r="D87" i="14648"/>
  <c r="D10" i="14625" l="1"/>
  <c r="C25" i="8"/>
  <c r="D13" i="14648"/>
  <c r="D19" i="14648" l="1"/>
  <c r="D11" i="14625"/>
  <c r="D29" i="14625" l="1"/>
  <c r="D16" i="14625"/>
  <c r="C10" i="14681"/>
  <c r="C26" i="8"/>
  <c r="C27" i="8" l="1"/>
  <c r="D25" i="14625"/>
  <c r="D30" i="14625" s="1"/>
  <c r="D31" i="14625" s="1"/>
  <c r="C29" i="8" l="1"/>
  <c r="D33" i="14625"/>
  <c r="D35" i="14625" s="1"/>
  <c r="C63" i="14684" l="1"/>
  <c r="C78" i="14684" s="1"/>
  <c r="D9" i="14648"/>
  <c r="E85" i="14648"/>
  <c r="D7" i="14648"/>
  <c r="C31" i="8"/>
  <c r="E87" i="14648" l="1"/>
  <c r="E12" i="14648"/>
  <c r="D8" i="14648"/>
  <c r="E14" i="14648"/>
  <c r="E13" i="14648" l="1"/>
  <c r="E19" i="14648" s="1"/>
  <c r="E10" i="14625"/>
  <c r="D25" i="8"/>
  <c r="E16" i="14625" l="1"/>
  <c r="D10" i="14681"/>
  <c r="D26" i="8"/>
  <c r="D27" i="8" s="1"/>
  <c r="E11" i="14625"/>
  <c r="E29" i="14625" l="1"/>
  <c r="D29" i="8"/>
  <c r="E11" i="14681"/>
  <c r="E13" i="14681" s="1"/>
  <c r="E25" i="14625"/>
  <c r="E30" i="14625" s="1"/>
  <c r="D31" i="8" l="1"/>
  <c r="E31" i="14625"/>
  <c r="E33" i="14625" l="1"/>
  <c r="E35" i="14625" s="1"/>
  <c r="B18" i="14659"/>
  <c r="F85" i="14648" l="1"/>
  <c r="E9" i="14648"/>
  <c r="D63" i="14684"/>
  <c r="D78" i="14684" s="1"/>
  <c r="F18" i="14659"/>
  <c r="F23" i="14625"/>
  <c r="C18" i="14659"/>
  <c r="E7" i="14648"/>
  <c r="F14" i="14648" l="1"/>
  <c r="F12" i="14648"/>
  <c r="E8" i="14648"/>
  <c r="F87" i="14648"/>
  <c r="F10" i="14625" l="1"/>
  <c r="E25" i="8"/>
  <c r="F13" i="14648"/>
  <c r="F11" i="14625" l="1"/>
  <c r="F19" i="14648"/>
  <c r="F16" i="14625" l="1"/>
  <c r="E10" i="14681"/>
  <c r="E26" i="8"/>
  <c r="F29" i="14625"/>
  <c r="E27" i="8" l="1"/>
  <c r="F25" i="14625"/>
  <c r="F30" i="14625" s="1"/>
  <c r="F31" i="14625" s="1"/>
  <c r="F33" i="14625" l="1"/>
  <c r="F35" i="14625" s="1"/>
  <c r="E29" i="8"/>
  <c r="F9" i="14648" l="1"/>
  <c r="G85" i="14648"/>
  <c r="E63" i="14684"/>
  <c r="E78" i="14684" s="1"/>
  <c r="E31" i="8"/>
  <c r="F7" i="14648"/>
  <c r="G12" i="14648" l="1"/>
  <c r="F8" i="14648"/>
  <c r="G87" i="14648"/>
  <c r="G14" i="14648"/>
  <c r="F25" i="8" l="1"/>
  <c r="G10" i="14625"/>
  <c r="G13" i="14648"/>
  <c r="G19" i="14648" s="1"/>
  <c r="G16" i="14625" l="1"/>
  <c r="F26" i="8"/>
  <c r="F27" i="8" s="1"/>
  <c r="F10" i="14681"/>
  <c r="G11" i="14625"/>
  <c r="F29" i="8" l="1"/>
  <c r="G29" i="14625"/>
  <c r="G25" i="14625"/>
  <c r="G30" i="14625" s="1"/>
  <c r="G31" i="14625" l="1"/>
  <c r="F31" i="8"/>
  <c r="G33" i="14625" l="1"/>
  <c r="G7" i="14648" l="1"/>
  <c r="G35" i="14625"/>
  <c r="G9" i="14648" l="1"/>
  <c r="H85" i="14648"/>
  <c r="F63" i="14684"/>
  <c r="F78" i="14684" s="1"/>
  <c r="H12" i="14648"/>
  <c r="G8" i="14648"/>
  <c r="H14" i="14648" l="1"/>
  <c r="H13" i="14648"/>
  <c r="H87" i="14648"/>
  <c r="H19" i="14648" l="1"/>
  <c r="G10" i="14681"/>
  <c r="H11" i="14681" s="1"/>
  <c r="H13" i="14681" s="1"/>
  <c r="G26" i="8"/>
  <c r="H16" i="14625"/>
  <c r="H25" i="14625" s="1"/>
  <c r="H30" i="14625" s="1"/>
  <c r="G25" i="8"/>
  <c r="H10" i="14625"/>
  <c r="G27" i="8" l="1"/>
  <c r="G29" i="8" s="1"/>
  <c r="G31" i="8" s="1"/>
  <c r="H11" i="14625"/>
  <c r="I23" i="14625"/>
  <c r="H29" i="14625" l="1"/>
  <c r="H31" i="14625" l="1"/>
  <c r="H33" i="14625" l="1"/>
  <c r="H7" i="14648" s="1"/>
  <c r="H35" i="14625" l="1"/>
  <c r="I12" i="14648"/>
  <c r="H8" i="14648"/>
  <c r="I13" i="14648" s="1"/>
  <c r="H9" i="14648" l="1"/>
  <c r="I14" i="14648" s="1"/>
  <c r="I19" i="14648" s="1"/>
  <c r="I85" i="14648"/>
  <c r="I87" i="14648" s="1"/>
  <c r="G63" i="14684"/>
  <c r="G78" i="14684" s="1"/>
  <c r="H26" i="8" l="1"/>
  <c r="I16" i="14625"/>
  <c r="I25" i="14625" s="1"/>
  <c r="I30" i="14625" s="1"/>
  <c r="H10" i="14681"/>
  <c r="H25" i="8"/>
  <c r="H27" i="8" s="1"/>
  <c r="H29" i="8" s="1"/>
  <c r="H31" i="8" s="1"/>
  <c r="I10" i="14625"/>
  <c r="I11" i="14625" s="1"/>
  <c r="I29" i="14625" s="1"/>
  <c r="I31" i="14625" l="1"/>
  <c r="I33" i="14625" s="1"/>
  <c r="I7" i="14648" s="1"/>
  <c r="J12" i="14648" l="1"/>
  <c r="I8" i="14648"/>
  <c r="J13" i="14648" s="1"/>
  <c r="I35" i="14625"/>
  <c r="I9" i="14648" l="1"/>
  <c r="J14" i="14648" s="1"/>
  <c r="J19" i="14648" s="1"/>
  <c r="J85" i="14648"/>
  <c r="J87" i="14648" s="1"/>
  <c r="H63" i="14684"/>
  <c r="H78" i="14684" s="1"/>
  <c r="J16" i="14625" l="1"/>
  <c r="J25" i="14625" s="1"/>
  <c r="J30" i="14625" s="1"/>
  <c r="I10" i="14681"/>
  <c r="I26" i="8"/>
  <c r="J10" i="14625"/>
  <c r="J11" i="14625" s="1"/>
  <c r="J29" i="14625" s="1"/>
  <c r="I25" i="8"/>
  <c r="I27" i="8" l="1"/>
  <c r="I29" i="8" s="1"/>
  <c r="I31" i="8" s="1"/>
  <c r="J31" i="14625"/>
  <c r="J33" i="14625"/>
  <c r="J7" i="14648" s="1"/>
  <c r="K12" i="14648" l="1"/>
  <c r="J8" i="14648"/>
  <c r="K13" i="14648" s="1"/>
  <c r="J35" i="14625"/>
  <c r="J9" i="14648" l="1"/>
  <c r="K14" i="14648" s="1"/>
  <c r="K19" i="14648" s="1"/>
  <c r="K85" i="14648"/>
  <c r="K87" i="14648" s="1"/>
  <c r="I63" i="14684"/>
  <c r="I78" i="14684" s="1"/>
  <c r="J10" i="14681" l="1"/>
  <c r="K11" i="14681" s="1"/>
  <c r="K13" i="14681" s="1"/>
  <c r="K16" i="14625"/>
  <c r="K25" i="14625" s="1"/>
  <c r="K30" i="14625" s="1"/>
  <c r="J26" i="8"/>
  <c r="J25" i="8"/>
  <c r="K10" i="14625"/>
  <c r="K11" i="14625" s="1"/>
  <c r="K29" i="14625" s="1"/>
  <c r="J27" i="8" l="1"/>
  <c r="J29" i="8" s="1"/>
  <c r="J31" i="8" s="1"/>
  <c r="K31" i="14625"/>
  <c r="K33" i="14625" s="1"/>
  <c r="K7" i="14648" s="1"/>
  <c r="B19" i="14659"/>
  <c r="L23" i="14625" s="1"/>
  <c r="F19" i="14659" l="1"/>
  <c r="C19" i="14659"/>
  <c r="K35" i="14625"/>
  <c r="L12" i="14648"/>
  <c r="K8" i="14648"/>
  <c r="L13" i="14648" s="1"/>
  <c r="K9" i="14648" l="1"/>
  <c r="L14" i="14648" s="1"/>
  <c r="L19" i="14648" s="1"/>
  <c r="L85" i="14648"/>
  <c r="L87" i="14648" s="1"/>
  <c r="J63" i="14684"/>
  <c r="J78" i="14684" s="1"/>
  <c r="L16" i="14625" l="1"/>
  <c r="L25" i="14625" s="1"/>
  <c r="L30" i="14625" s="1"/>
  <c r="K26" i="8"/>
  <c r="K10" i="14681"/>
  <c r="L10" i="14625"/>
  <c r="L11" i="14625" s="1"/>
  <c r="L29" i="14625" s="1"/>
  <c r="K25" i="8"/>
  <c r="K27" i="8" s="1"/>
  <c r="K29" i="8" s="1"/>
  <c r="K31" i="8" s="1"/>
  <c r="L31" i="14625" l="1"/>
  <c r="L33" i="14625"/>
  <c r="L7" i="14648" s="1"/>
  <c r="L35" i="14625" l="1"/>
  <c r="L9" i="14648" s="1"/>
  <c r="M14" i="14648" s="1"/>
  <c r="M12" i="14648"/>
  <c r="L8" i="14648"/>
  <c r="M13" i="14648" s="1"/>
  <c r="M19" i="14648" l="1"/>
  <c r="M16" i="14625" s="1"/>
  <c r="M25" i="14625" s="1"/>
  <c r="M30" i="14625" s="1"/>
  <c r="K63" i="14684"/>
  <c r="K78" i="14684" s="1"/>
  <c r="M85" i="14648"/>
  <c r="M87" i="14648" s="1"/>
  <c r="L25" i="8" s="1"/>
  <c r="L10" i="14681"/>
  <c r="L26" i="8"/>
  <c r="M10" i="14625" l="1"/>
  <c r="M11" i="14625" s="1"/>
  <c r="M29" i="14625" s="1"/>
  <c r="M31" i="14625" s="1"/>
  <c r="L27" i="8"/>
  <c r="L29" i="8" s="1"/>
  <c r="L31" i="8" s="1"/>
  <c r="M33" i="14625" l="1"/>
  <c r="M7" i="14648" s="1"/>
  <c r="B20" i="14659"/>
  <c r="C20" i="14659" l="1"/>
  <c r="N23" i="14625"/>
  <c r="O23" i="14625" s="1"/>
  <c r="C20" i="14684" s="1"/>
  <c r="F20" i="14659"/>
  <c r="F8" i="14706"/>
  <c r="F20" i="14667"/>
  <c r="M35" i="14625"/>
  <c r="N12" i="14648"/>
  <c r="M8" i="14648"/>
  <c r="N13" i="14648" s="1"/>
  <c r="O13" i="14648" s="1"/>
  <c r="M9" i="14648" l="1"/>
  <c r="N14" i="14648" s="1"/>
  <c r="O14" i="14648" s="1"/>
  <c r="N85" i="14648"/>
  <c r="L63" i="14684"/>
  <c r="L78" i="14684" s="1"/>
  <c r="O12" i="14648"/>
  <c r="N87" i="14648" l="1"/>
  <c r="O85" i="14648"/>
  <c r="O87" i="14648" s="1"/>
  <c r="N19" i="14648"/>
  <c r="O19" i="14648"/>
  <c r="M26" i="8" l="1"/>
  <c r="N26" i="8" s="1"/>
  <c r="M10" i="14681"/>
  <c r="N16" i="14625"/>
  <c r="N10" i="14625"/>
  <c r="M25" i="8"/>
  <c r="M27" i="8" l="1"/>
  <c r="N25" i="8"/>
  <c r="B25" i="14617" s="1" a="1"/>
  <c r="N11" i="14625"/>
  <c r="O10" i="14625"/>
  <c r="C9" i="14684" s="1"/>
  <c r="C10" i="14684" s="1"/>
  <c r="N25" i="14625"/>
  <c r="N30" i="14625" s="1"/>
  <c r="O30" i="14625" s="1"/>
  <c r="O16" i="14625"/>
  <c r="N10" i="14681"/>
  <c r="N11" i="14681"/>
  <c r="N13" i="14681" s="1"/>
  <c r="B22" i="14681" l="1"/>
  <c r="C23" i="14633" s="1"/>
  <c r="C24" i="14657"/>
  <c r="C25" i="14657" s="1"/>
  <c r="C15" i="14684"/>
  <c r="C22" i="14684" s="1"/>
  <c r="C25" i="14684" s="1"/>
  <c r="O25" i="14625"/>
  <c r="N29" i="14625"/>
  <c r="O11" i="14625"/>
  <c r="B25" i="14617"/>
  <c r="B26" i="14617"/>
  <c r="M29" i="8"/>
  <c r="N27" i="8"/>
  <c r="B27" i="14617" s="1"/>
  <c r="N31" i="14625" l="1"/>
  <c r="O29" i="14625"/>
  <c r="O31" i="14625" s="1"/>
  <c r="C26" i="14617"/>
  <c r="C27" i="14617"/>
  <c r="C25" i="14617"/>
  <c r="F25" i="14617"/>
  <c r="K23" i="14657"/>
  <c r="D43" i="14710"/>
  <c r="J43" i="14710" s="1"/>
  <c r="N29" i="8"/>
  <c r="B29" i="14617" s="1"/>
  <c r="M31" i="8"/>
  <c r="D12" i="14643"/>
  <c r="C36" i="4128"/>
  <c r="C8" i="14696"/>
  <c r="C17" i="14657"/>
  <c r="C18" i="14657" s="1"/>
  <c r="B41" i="14649"/>
  <c r="C20" i="14657" l="1"/>
  <c r="D27" i="14643"/>
  <c r="D18" i="14643"/>
  <c r="C29" i="14617"/>
  <c r="C74" i="14649"/>
  <c r="B9" i="14659"/>
  <c r="B11" i="14659" s="1"/>
  <c r="B7" i="14659"/>
  <c r="N33" i="14625"/>
  <c r="B12" i="14659" l="1"/>
  <c r="C11" i="14659"/>
  <c r="C13" i="14659"/>
  <c r="C12" i="14659"/>
  <c r="F11" i="14659"/>
  <c r="C9" i="14659"/>
  <c r="B29" i="14708"/>
  <c r="D28" i="14643" a="1"/>
  <c r="D28" i="14643" s="1"/>
  <c r="D32" i="14643"/>
  <c r="F39" i="14667"/>
  <c r="B33" i="14633"/>
  <c r="B22" i="14648" s="1"/>
  <c r="N7" i="14648"/>
  <c r="F31" i="14706"/>
  <c r="C33" i="14684"/>
  <c r="K20" i="14657"/>
  <c r="N35" i="14625"/>
  <c r="C39" i="14625" s="1"/>
  <c r="B13" i="14659" l="1"/>
  <c r="F13" i="14659" s="1"/>
  <c r="F12" i="14659"/>
  <c r="F22" i="14667"/>
  <c r="C27" i="14684"/>
  <c r="M63" i="14684"/>
  <c r="M78" i="14684" s="1"/>
  <c r="F6" i="14706"/>
  <c r="B35" i="14633"/>
  <c r="N9" i="14648"/>
  <c r="O9" i="14648" s="1"/>
  <c r="C40" i="14625"/>
  <c r="C41" i="14625"/>
  <c r="R8" i="14657"/>
  <c r="R10" i="14657"/>
  <c r="R12" i="14657"/>
  <c r="R13" i="14657"/>
  <c r="R14" i="14657"/>
  <c r="R9" i="14657"/>
  <c r="R11" i="14657"/>
  <c r="K29" i="14657"/>
  <c r="R15" i="14657"/>
  <c r="D35" i="14643"/>
  <c r="D39" i="14625"/>
  <c r="C35" i="14684" s="1"/>
  <c r="C34" i="14684"/>
  <c r="I20" i="14686" s="1"/>
  <c r="D83" i="14649"/>
  <c r="E83" i="14649" s="1"/>
  <c r="C83" i="14649"/>
  <c r="D28" i="14690"/>
  <c r="C27" i="14648"/>
  <c r="B23" i="14648"/>
  <c r="C28" i="14648" s="1"/>
  <c r="N8" i="14648"/>
  <c r="O8" i="14648" s="1"/>
  <c r="O7" i="14648"/>
  <c r="B25" i="14659" l="1"/>
  <c r="B32" i="14659" s="1"/>
  <c r="B15" i="14659"/>
  <c r="C15" i="14659" s="1"/>
  <c r="C27" i="4128"/>
  <c r="R16" i="14657"/>
  <c r="K22" i="14657" s="1"/>
  <c r="D41" i="14625"/>
  <c r="C30" i="14684" s="1"/>
  <c r="C29" i="14684"/>
  <c r="B44" i="14649"/>
  <c r="C37" i="4128"/>
  <c r="R62" i="4128" s="1"/>
  <c r="B24" i="14648"/>
  <c r="C29" i="14648" s="1"/>
  <c r="C90" i="14648"/>
  <c r="B24" i="14659" l="1"/>
  <c r="B23" i="14659"/>
  <c r="F15" i="14659"/>
  <c r="F25" i="14659"/>
  <c r="C25" i="14659"/>
  <c r="B31" i="14659"/>
  <c r="C31" i="14659" s="1"/>
  <c r="C8" i="4128"/>
  <c r="C24" i="14659"/>
  <c r="F23" i="14659"/>
  <c r="C23" i="14659"/>
  <c r="N8" i="14633"/>
  <c r="M20" i="14645"/>
  <c r="M73" i="14645"/>
  <c r="M76" i="14645" s="1"/>
  <c r="F32" i="14659"/>
  <c r="H73" i="14645"/>
  <c r="C32" i="14659"/>
  <c r="D32" i="14657"/>
  <c r="D33" i="14657" s="1"/>
  <c r="E56" i="14649"/>
  <c r="B30" i="14708"/>
  <c r="C92" i="14648"/>
  <c r="C34" i="14648"/>
  <c r="K25" i="14657"/>
  <c r="B31" i="14617"/>
  <c r="F40" i="14706"/>
  <c r="F30" i="14667"/>
  <c r="K27" i="14657"/>
  <c r="B39" i="14708" s="1"/>
  <c r="F31" i="14659" l="1"/>
  <c r="H76" i="14645"/>
  <c r="N76" i="14645" s="1"/>
  <c r="N73" i="14645"/>
  <c r="N20" i="14645"/>
  <c r="M22" i="14645"/>
  <c r="N22" i="14645" s="1"/>
  <c r="D36" i="14657"/>
  <c r="D37" i="14657"/>
  <c r="D39" i="14657" s="1"/>
  <c r="D40" i="14657" s="1"/>
  <c r="G17" i="14636" s="1"/>
  <c r="G20" i="14636" s="1"/>
  <c r="H23" i="14633"/>
  <c r="J8" i="14633"/>
  <c r="K26" i="14657"/>
  <c r="F42" i="14667"/>
  <c r="F28" i="14706"/>
  <c r="F19" i="14667"/>
  <c r="F9" i="14706"/>
  <c r="C16" i="14633"/>
  <c r="B26" i="14631"/>
  <c r="B19" i="14681"/>
  <c r="E14" i="14657"/>
  <c r="B25" i="14631"/>
  <c r="C10" i="14633"/>
  <c r="C41" i="4128"/>
  <c r="C7" i="14696"/>
  <c r="H28" i="14667"/>
  <c r="F26" i="14667"/>
  <c r="C31" i="14617"/>
  <c r="F31" i="14617"/>
  <c r="B33" i="14617"/>
  <c r="F39" i="14706"/>
  <c r="H42" i="14706"/>
  <c r="G16" i="14640" l="1"/>
  <c r="N16" i="14640" s="1"/>
  <c r="N20" i="14636"/>
  <c r="G27" i="14636"/>
  <c r="B27" i="14631"/>
  <c r="C25" i="14633"/>
  <c r="C30" i="14633" s="1"/>
  <c r="F5" i="14706"/>
  <c r="F13" i="14667"/>
  <c r="F26" i="14706"/>
  <c r="F47" i="14706" s="1"/>
  <c r="F45" i="14706"/>
  <c r="G51" i="14706"/>
  <c r="F37" i="14667"/>
  <c r="F46" i="14667" s="1"/>
  <c r="D42" i="14710" s="1"/>
  <c r="J42" i="14710" s="1"/>
  <c r="F56" i="14649"/>
  <c r="C4" i="4128"/>
  <c r="B49" i="14649" s="1"/>
  <c r="B37" i="14708" s="1"/>
  <c r="G50" i="14667"/>
  <c r="F44" i="14667"/>
  <c r="C14" i="14696"/>
  <c r="B41" i="14708"/>
  <c r="O8" i="14633"/>
  <c r="D7" i="14684" s="1"/>
  <c r="I18" i="14686"/>
  <c r="D9" i="14710"/>
  <c r="D10" i="14710"/>
  <c r="B43" i="14649"/>
  <c r="D56" i="14649" s="1"/>
  <c r="C26" i="4128"/>
  <c r="C33" i="14617"/>
  <c r="C11" i="14633"/>
  <c r="D7" i="14710" l="1"/>
  <c r="G58" i="14636"/>
  <c r="H14" i="14641" s="1"/>
  <c r="O14" i="14641" s="1"/>
  <c r="E13" i="14684" s="1"/>
  <c r="G15" i="14640"/>
  <c r="N27" i="14636"/>
  <c r="G16" i="14617"/>
  <c r="G29" i="14706"/>
  <c r="G34" i="14706"/>
  <c r="G37" i="14706"/>
  <c r="G43" i="14706"/>
  <c r="G30" i="14706"/>
  <c r="G27" i="14706"/>
  <c r="G35" i="14706"/>
  <c r="G42" i="14706"/>
  <c r="G41" i="14706"/>
  <c r="G32" i="14706"/>
  <c r="G36" i="14706"/>
  <c r="G31" i="14706"/>
  <c r="G40" i="14706"/>
  <c r="G28" i="14706"/>
  <c r="G39" i="14706"/>
  <c r="F24" i="14706"/>
  <c r="G26" i="14667"/>
  <c r="F45" i="14667"/>
  <c r="G37" i="14667"/>
  <c r="C18" i="4128"/>
  <c r="D45" i="14710"/>
  <c r="J45" i="14710" s="1"/>
  <c r="C19" i="4128"/>
  <c r="G42" i="14667"/>
  <c r="C10" i="4128"/>
  <c r="F49" i="14706"/>
  <c r="G45" i="14706"/>
  <c r="G35" i="14667"/>
  <c r="G38" i="14667"/>
  <c r="G43" i="14667"/>
  <c r="G32" i="14667"/>
  <c r="G34" i="14667"/>
  <c r="G33" i="14667"/>
  <c r="G29" i="14667"/>
  <c r="G28" i="14667"/>
  <c r="G27" i="14667"/>
  <c r="G40" i="14667"/>
  <c r="G41" i="14667"/>
  <c r="G39" i="14667"/>
  <c r="G30" i="14667"/>
  <c r="G26" i="14706"/>
  <c r="F46" i="14706"/>
  <c r="G46" i="14706" s="1"/>
  <c r="D6" i="14710"/>
  <c r="F24" i="14667"/>
  <c r="D41" i="14710" s="1"/>
  <c r="C15" i="4128"/>
  <c r="C31" i="4128"/>
  <c r="C29" i="14633"/>
  <c r="L11" i="14696"/>
  <c r="C16" i="14696"/>
  <c r="B42" i="14708"/>
  <c r="B43" i="14708" s="1"/>
  <c r="F48" i="14667"/>
  <c r="G44" i="14667"/>
  <c r="C22" i="4128"/>
  <c r="B29" i="14631"/>
  <c r="G18" i="14617" l="1"/>
  <c r="F44" i="14710"/>
  <c r="O7" i="14636" a="1"/>
  <c r="N58" i="14636"/>
  <c r="F7" i="14643"/>
  <c r="F10" i="14643" s="1"/>
  <c r="F23" i="14643" s="1"/>
  <c r="O23" i="14636" a="1"/>
  <c r="O18" i="14636" a="1"/>
  <c r="N15" i="14640"/>
  <c r="G18" i="14640"/>
  <c r="J41" i="14710"/>
  <c r="D47" i="14710"/>
  <c r="D49" i="14710" s="1"/>
  <c r="D21" i="14710"/>
  <c r="D92" i="14649"/>
  <c r="G48" i="14667"/>
  <c r="G13" i="14667"/>
  <c r="G49" i="14706"/>
  <c r="C20" i="4128"/>
  <c r="C42" i="4128"/>
  <c r="G45" i="14667"/>
  <c r="C43" i="4128"/>
  <c r="C14" i="4128"/>
  <c r="D25" i="14710"/>
  <c r="G16" i="14667"/>
  <c r="G5" i="14667"/>
  <c r="C6" i="4128"/>
  <c r="B50" i="14649" s="1"/>
  <c r="B38" i="14708" s="1"/>
  <c r="G8" i="14667"/>
  <c r="G18" i="14667"/>
  <c r="D22" i="14710"/>
  <c r="D23" i="14710"/>
  <c r="G11" i="14667"/>
  <c r="G7" i="14667"/>
  <c r="G14" i="14667"/>
  <c r="G15" i="14667"/>
  <c r="G6" i="14667"/>
  <c r="G9" i="14667"/>
  <c r="G21" i="14667"/>
  <c r="G17" i="14667"/>
  <c r="G20" i="14667"/>
  <c r="C21" i="4128"/>
  <c r="C25" i="4128"/>
  <c r="G22" i="14667"/>
  <c r="G19" i="14667"/>
  <c r="D8" i="14710"/>
  <c r="M11" i="14696"/>
  <c r="G46" i="14667"/>
  <c r="G18" i="14706"/>
  <c r="G14" i="14706"/>
  <c r="G16" i="14706"/>
  <c r="G12" i="14706"/>
  <c r="G7" i="14706"/>
  <c r="G22" i="14706"/>
  <c r="G11" i="14706"/>
  <c r="G13" i="14706"/>
  <c r="G17" i="14706"/>
  <c r="G20" i="14706"/>
  <c r="G10" i="14706"/>
  <c r="G19" i="14706"/>
  <c r="G8" i="14706"/>
  <c r="G6" i="14706"/>
  <c r="G9" i="14706"/>
  <c r="G5" i="14706"/>
  <c r="F54" i="14706"/>
  <c r="F53" i="14667"/>
  <c r="G47" i="14706"/>
  <c r="B31" i="14631"/>
  <c r="C31" i="14633"/>
  <c r="G20" i="14640" l="1"/>
  <c r="N18" i="14640"/>
  <c r="O19" i="14636"/>
  <c r="O20" i="14636"/>
  <c r="O18" i="14636"/>
  <c r="O25" i="14636"/>
  <c r="O23" i="14636"/>
  <c r="O24" i="14636"/>
  <c r="F31" i="14643"/>
  <c r="F24" i="14643"/>
  <c r="F17" i="14643"/>
  <c r="O27" i="14636"/>
  <c r="O55" i="14636"/>
  <c r="O33" i="14636" a="1"/>
  <c r="O13" i="14636"/>
  <c r="O11" i="14636"/>
  <c r="O8" i="14636"/>
  <c r="O12" i="14636"/>
  <c r="O15" i="14636"/>
  <c r="O10" i="14636"/>
  <c r="O9" i="14636"/>
  <c r="O14" i="14636"/>
  <c r="O7" i="14636"/>
  <c r="I18" i="14617"/>
  <c r="D24" i="14708"/>
  <c r="D25" i="14708" s="1"/>
  <c r="D26" i="14708" s="1"/>
  <c r="D28" i="14708" s="1"/>
  <c r="E33" i="4128"/>
  <c r="G20" i="14617"/>
  <c r="H18" i="14617"/>
  <c r="D40" i="14649"/>
  <c r="G24" i="14667"/>
  <c r="G24" i="14706"/>
  <c r="D84" i="14690"/>
  <c r="C92" i="14649"/>
  <c r="C33" i="14633"/>
  <c r="C35" i="14633" s="1"/>
  <c r="D28" i="14710"/>
  <c r="D30" i="14710" s="1"/>
  <c r="E34" i="4128" l="1"/>
  <c r="D51" i="14649" s="1"/>
  <c r="D76" i="14649"/>
  <c r="E76" i="14649" s="1"/>
  <c r="D42" i="14649"/>
  <c r="C58" i="14649" s="1"/>
  <c r="H20" i="14617"/>
  <c r="G23" i="14617"/>
  <c r="O36" i="14636"/>
  <c r="O40" i="14636"/>
  <c r="O46" i="14636"/>
  <c r="O42" i="14636"/>
  <c r="O52" i="14636"/>
  <c r="O54" i="14636"/>
  <c r="O41" i="14636"/>
  <c r="O38" i="14636"/>
  <c r="O34" i="14636"/>
  <c r="O35" i="14636"/>
  <c r="O37" i="14636"/>
  <c r="O53" i="14636"/>
  <c r="O47" i="14636"/>
  <c r="O48" i="14636"/>
  <c r="O51" i="14636"/>
  <c r="O33" i="14636"/>
  <c r="O39" i="14636"/>
  <c r="O50" i="14636"/>
  <c r="O44" i="14636"/>
  <c r="O49" i="14636"/>
  <c r="O43" i="14636"/>
  <c r="O45" i="14636"/>
  <c r="G23" i="14640"/>
  <c r="N23" i="14640" s="1"/>
  <c r="N20" i="14640"/>
  <c r="C24" i="14648"/>
  <c r="B64" i="14684"/>
  <c r="N78" i="14684" s="1"/>
  <c r="D90" i="14648"/>
  <c r="C22" i="14648"/>
  <c r="I23" i="14617" l="1"/>
  <c r="H23" i="14617"/>
  <c r="E12" i="4128"/>
  <c r="D92" i="14648"/>
  <c r="D27" i="14648"/>
  <c r="C23" i="14648"/>
  <c r="D29" i="14648"/>
  <c r="D28" i="14648" l="1"/>
  <c r="D34" i="14648" s="1"/>
  <c r="D10" i="14633"/>
  <c r="C25" i="14631"/>
  <c r="C19" i="14681" l="1"/>
  <c r="C26" i="14631"/>
  <c r="D16" i="14633"/>
  <c r="D11" i="14633"/>
  <c r="D25" i="14633" l="1"/>
  <c r="D30" i="14633" s="1"/>
  <c r="D29" i="14633"/>
  <c r="C27" i="14631"/>
  <c r="C29" i="14631" l="1"/>
  <c r="D31" i="14633"/>
  <c r="D33" i="14633" l="1"/>
  <c r="D35" i="14633" s="1"/>
  <c r="C31" i="14631"/>
  <c r="D24" i="14648" l="1"/>
  <c r="E90" i="14648"/>
  <c r="C64" i="14684"/>
  <c r="O78" i="14684" s="1"/>
  <c r="D22" i="14648"/>
  <c r="D23" i="14648" l="1"/>
  <c r="E27" i="14648"/>
  <c r="E29" i="14648"/>
  <c r="E92" i="14648"/>
  <c r="D25" i="14631" l="1"/>
  <c r="E10" i="14633"/>
  <c r="E28" i="14648"/>
  <c r="E34" i="14648" l="1"/>
  <c r="E11" i="14633"/>
  <c r="E29" i="14633" l="1"/>
  <c r="E16" i="14633"/>
  <c r="D19" i="14681"/>
  <c r="D26" i="14631"/>
  <c r="D27" i="14631" l="1"/>
  <c r="E25" i="14633"/>
  <c r="E30" i="14633" s="1"/>
  <c r="E31" i="14633" s="1"/>
  <c r="E20" i="14681"/>
  <c r="E22" i="14681" s="1"/>
  <c r="D29" i="14631" l="1"/>
  <c r="E33" i="14633"/>
  <c r="E35" i="14633" s="1"/>
  <c r="D64" i="14684" l="1"/>
  <c r="P78" i="14684" s="1"/>
  <c r="E24" i="14648"/>
  <c r="F90" i="14648"/>
  <c r="D31" i="14631"/>
  <c r="E22" i="14648"/>
  <c r="D18" i="14659" l="1"/>
  <c r="F29" i="14648"/>
  <c r="F27" i="14648"/>
  <c r="E23" i="14648"/>
  <c r="F92" i="14648"/>
  <c r="F10" i="14633" l="1"/>
  <c r="E25" i="14631"/>
  <c r="F28" i="14648"/>
  <c r="F34" i="14648" s="1"/>
  <c r="I18" i="14659"/>
  <c r="E18" i="14659"/>
  <c r="F23" i="14633"/>
  <c r="E26" i="14631" l="1"/>
  <c r="E19" i="14681"/>
  <c r="F16" i="14633"/>
  <c r="E27" i="14631"/>
  <c r="F11" i="14633"/>
  <c r="F29" i="14633" l="1"/>
  <c r="E29" i="14631"/>
  <c r="F25" i="14633"/>
  <c r="F30" i="14633" s="1"/>
  <c r="E31" i="14631" l="1"/>
  <c r="F31" i="14633"/>
  <c r="F33" i="14633" l="1"/>
  <c r="F35" i="14633" s="1"/>
  <c r="F24" i="14648" l="1"/>
  <c r="E64" i="14684"/>
  <c r="Q78" i="14684" s="1"/>
  <c r="G90" i="14648"/>
  <c r="F22" i="14648"/>
  <c r="F23" i="14648" l="1"/>
  <c r="G27" i="14648"/>
  <c r="G92" i="14648"/>
  <c r="G29" i="14648"/>
  <c r="F25" i="14631" l="1"/>
  <c r="G10" i="14633"/>
  <c r="G28" i="14648"/>
  <c r="G34" i="14648" s="1"/>
  <c r="G16" i="14633" l="1"/>
  <c r="F19" i="14681"/>
  <c r="F26" i="14631"/>
  <c r="F27" i="14631" s="1"/>
  <c r="G11" i="14633"/>
  <c r="F29" i="14631" l="1"/>
  <c r="G29" i="14633"/>
  <c r="G25" i="14633"/>
  <c r="G30" i="14633" s="1"/>
  <c r="G31" i="14633" l="1"/>
  <c r="F31" i="14631"/>
  <c r="G33" i="14633" l="1"/>
  <c r="G35" i="14633" s="1"/>
  <c r="H90" i="14648" l="1"/>
  <c r="H92" i="14648" s="1"/>
  <c r="F64" i="14684"/>
  <c r="R78" i="14684" s="1"/>
  <c r="G24" i="14648"/>
  <c r="G22" i="14648"/>
  <c r="H29" i="14648" l="1"/>
  <c r="G25" i="14631"/>
  <c r="H10" i="14633"/>
  <c r="H11" i="14633" s="1"/>
  <c r="H29" i="14633" s="1"/>
  <c r="H27" i="14648"/>
  <c r="G23" i="14648"/>
  <c r="H28" i="14648" l="1"/>
  <c r="H34" i="14648" s="1"/>
  <c r="G26" i="14631" l="1"/>
  <c r="G27" i="14631" s="1"/>
  <c r="G29" i="14631" s="1"/>
  <c r="G31" i="14631" s="1"/>
  <c r="G19" i="14681"/>
  <c r="H20" i="14681" s="1"/>
  <c r="H22" i="14681" s="1"/>
  <c r="H16" i="14633"/>
  <c r="H25" i="14633" s="1"/>
  <c r="H30" i="14633" s="1"/>
  <c r="H31" i="14633" s="1"/>
  <c r="H33" i="14633" l="1"/>
  <c r="H22" i="14648" s="1"/>
  <c r="I23" i="14633"/>
  <c r="H23" i="14648" l="1"/>
  <c r="I28" i="14648" s="1"/>
  <c r="I27" i="14648"/>
  <c r="H35" i="14633"/>
  <c r="H24" i="14648" l="1"/>
  <c r="I29" i="14648" s="1"/>
  <c r="I34" i="14648" s="1"/>
  <c r="I90" i="14648"/>
  <c r="I92" i="14648" s="1"/>
  <c r="G64" i="14684"/>
  <c r="S78" i="14684" s="1"/>
  <c r="H26" i="14631" l="1"/>
  <c r="H19" i="14681"/>
  <c r="I16" i="14633"/>
  <c r="I25" i="14633" s="1"/>
  <c r="I30" i="14633" s="1"/>
  <c r="H25" i="14631"/>
  <c r="I10" i="14633"/>
  <c r="I11" i="14633" s="1"/>
  <c r="I29" i="14633" s="1"/>
  <c r="H27" i="14631" l="1"/>
  <c r="H29" i="14631" s="1"/>
  <c r="H31" i="14631" s="1"/>
  <c r="I31" i="14633"/>
  <c r="I33" i="14633" s="1"/>
  <c r="I22" i="14648" s="1"/>
  <c r="I23" i="14648" l="1"/>
  <c r="J28" i="14648" s="1"/>
  <c r="J27" i="14648"/>
  <c r="I35" i="14633"/>
  <c r="I24" i="14648" l="1"/>
  <c r="J29" i="14648" s="1"/>
  <c r="J34" i="14648" s="1"/>
  <c r="J90" i="14648"/>
  <c r="J92" i="14648" s="1"/>
  <c r="H64" i="14684"/>
  <c r="T78" i="14684" s="1"/>
  <c r="J10" i="14633" l="1"/>
  <c r="J11" i="14633" s="1"/>
  <c r="J29" i="14633" s="1"/>
  <c r="I25" i="14631"/>
  <c r="I26" i="14631"/>
  <c r="J16" i="14633"/>
  <c r="J25" i="14633" s="1"/>
  <c r="J30" i="14633" s="1"/>
  <c r="I19" i="14681"/>
  <c r="I27" i="14631" l="1"/>
  <c r="I29" i="14631" s="1"/>
  <c r="I31" i="14631" s="1"/>
  <c r="J31" i="14633"/>
  <c r="J33" i="14633" l="1"/>
  <c r="J22" i="14648" s="1"/>
  <c r="K27" i="14648" l="1"/>
  <c r="J23" i="14648"/>
  <c r="K28" i="14648" s="1"/>
  <c r="J35" i="14633"/>
  <c r="K90" i="14648" l="1"/>
  <c r="K92" i="14648" s="1"/>
  <c r="I64" i="14684"/>
  <c r="U78" i="14684" s="1"/>
  <c r="J24" i="14648"/>
  <c r="K29" i="14648" s="1"/>
  <c r="K34" i="14648" s="1"/>
  <c r="J26" i="14631" l="1"/>
  <c r="K16" i="14633"/>
  <c r="K25" i="14633" s="1"/>
  <c r="K30" i="14633" s="1"/>
  <c r="J19" i="14681"/>
  <c r="K20" i="14681" s="1"/>
  <c r="K22" i="14681" s="1"/>
  <c r="K10" i="14633"/>
  <c r="K11" i="14633" s="1"/>
  <c r="K29" i="14633" s="1"/>
  <c r="J25" i="14631"/>
  <c r="J27" i="14631" s="1"/>
  <c r="J29" i="14631" s="1"/>
  <c r="J31" i="14631" s="1"/>
  <c r="K31" i="14633" l="1"/>
  <c r="K33" i="14633" s="1"/>
  <c r="K22" i="14648" s="1"/>
  <c r="D19" i="14659"/>
  <c r="K35" i="14633" l="1"/>
  <c r="K23" i="14648"/>
  <c r="L28" i="14648" s="1"/>
  <c r="L27" i="14648"/>
  <c r="L23" i="14633"/>
  <c r="I19" i="14659"/>
  <c r="E19" i="14659"/>
  <c r="K24" i="14648" l="1"/>
  <c r="L29" i="14648" s="1"/>
  <c r="L34" i="14648" s="1"/>
  <c r="L90" i="14648"/>
  <c r="L92" i="14648" s="1"/>
  <c r="J64" i="14684"/>
  <c r="V78" i="14684" s="1"/>
  <c r="K26" i="14631" l="1"/>
  <c r="L16" i="14633"/>
  <c r="L25" i="14633" s="1"/>
  <c r="L30" i="14633" s="1"/>
  <c r="K19" i="14681"/>
  <c r="L10" i="14633"/>
  <c r="L11" i="14633" s="1"/>
  <c r="L29" i="14633" s="1"/>
  <c r="K25" i="14631"/>
  <c r="K27" i="14631" s="1"/>
  <c r="K29" i="14631" s="1"/>
  <c r="K31" i="14631" s="1"/>
  <c r="L31" i="14633" l="1"/>
  <c r="L33" i="14633" l="1"/>
  <c r="L22" i="14648" s="1"/>
  <c r="L35" i="14633" l="1"/>
  <c r="M27" i="14648"/>
  <c r="L23" i="14648"/>
  <c r="M28" i="14648" s="1"/>
  <c r="M90" i="14648" l="1"/>
  <c r="M92" i="14648" s="1"/>
  <c r="L24" i="14648"/>
  <c r="M29" i="14648" s="1"/>
  <c r="M34" i="14648" s="1"/>
  <c r="K64" i="14684"/>
  <c r="W78" i="14684" s="1"/>
  <c r="M16" i="14633" l="1"/>
  <c r="M25" i="14633" s="1"/>
  <c r="M30" i="14633" s="1"/>
  <c r="L26" i="14631"/>
  <c r="L19" i="14681"/>
  <c r="M10" i="14633"/>
  <c r="M11" i="14633" s="1"/>
  <c r="M29" i="14633" s="1"/>
  <c r="L25" i="14631"/>
  <c r="L27" i="14631" s="1"/>
  <c r="L29" i="14631" s="1"/>
  <c r="L31" i="14631" s="1"/>
  <c r="M31" i="14633" l="1"/>
  <c r="M33" i="14633" s="1"/>
  <c r="M22" i="14648" s="1"/>
  <c r="D20" i="14659"/>
  <c r="M35" i="14633" l="1"/>
  <c r="N27" i="14648"/>
  <c r="M23" i="14648"/>
  <c r="N28" i="14648" s="1"/>
  <c r="O28" i="14648" s="1"/>
  <c r="N23" i="14633"/>
  <c r="O23" i="14633" s="1"/>
  <c r="D20" i="14684" s="1"/>
  <c r="E20" i="14659"/>
  <c r="I20" i="14659"/>
  <c r="H8" i="14706"/>
  <c r="H20" i="14667"/>
  <c r="O27" i="14648" l="1"/>
  <c r="N90" i="14648"/>
  <c r="M24" i="14648"/>
  <c r="N29" i="14648" s="1"/>
  <c r="O29" i="14648" s="1"/>
  <c r="L64" i="14684"/>
  <c r="X78" i="14684" s="1"/>
  <c r="O34" i="14648" l="1"/>
  <c r="N92" i="14648"/>
  <c r="O90" i="14648"/>
  <c r="O92" i="14648" s="1"/>
  <c r="N34" i="14648"/>
  <c r="N10" i="14633" l="1"/>
  <c r="M25" i="14631"/>
  <c r="N16" i="14633"/>
  <c r="M26" i="14631"/>
  <c r="N26" i="14631" s="1"/>
  <c r="M19" i="14681"/>
  <c r="N19" i="14681" s="1"/>
  <c r="N20" i="14681" s="1"/>
  <c r="N22" i="14681" s="1"/>
  <c r="M27" i="14631" l="1"/>
  <c r="N25" i="14631"/>
  <c r="D25" i="14617" s="1" a="1"/>
  <c r="C23" i="14641"/>
  <c r="B31" i="14681"/>
  <c r="D24" i="14657"/>
  <c r="D25" i="14657" s="1"/>
  <c r="N25" i="14633"/>
  <c r="N30" i="14633" s="1"/>
  <c r="O30" i="14633" s="1"/>
  <c r="O16" i="14633"/>
  <c r="N11" i="14633"/>
  <c r="O10" i="14633"/>
  <c r="D9" i="14684" s="1"/>
  <c r="D10" i="14684" s="1"/>
  <c r="N29" i="14633" l="1"/>
  <c r="O11" i="14633"/>
  <c r="O25" i="14633"/>
  <c r="D15" i="14684"/>
  <c r="D22" i="14684" s="1"/>
  <c r="D25" i="14684" s="1"/>
  <c r="D25" i="14617"/>
  <c r="D26" i="14617"/>
  <c r="L23" i="14657"/>
  <c r="M29" i="14631"/>
  <c r="N27" i="14631"/>
  <c r="N29" i="14631" l="1"/>
  <c r="D29" i="14617" s="1"/>
  <c r="D11" i="14659" s="1"/>
  <c r="M31" i="14631"/>
  <c r="E43" i="14710"/>
  <c r="F26" i="14617"/>
  <c r="D27" i="14617"/>
  <c r="E25" i="14617" s="1" a="1"/>
  <c r="I25" i="14617"/>
  <c r="N31" i="14633"/>
  <c r="O29" i="14633"/>
  <c r="O31" i="14633" s="1"/>
  <c r="D12" i="14659" l="1"/>
  <c r="E11" i="14659"/>
  <c r="E12" i="14659"/>
  <c r="I11" i="14659"/>
  <c r="E13" i="14659"/>
  <c r="E25" i="14617"/>
  <c r="E27" i="14617"/>
  <c r="E26" i="14617"/>
  <c r="N33" i="14633"/>
  <c r="D17" i="14657"/>
  <c r="D18" i="14657" s="1"/>
  <c r="D20" i="14657" s="1"/>
  <c r="E12" i="14643"/>
  <c r="D8" i="14696"/>
  <c r="D36" i="4128"/>
  <c r="C41" i="14649"/>
  <c r="F27" i="14617"/>
  <c r="D7" i="14659"/>
  <c r="C75" i="14649"/>
  <c r="E29" i="14617"/>
  <c r="D9" i="14659"/>
  <c r="F29" i="14617"/>
  <c r="D13" i="14659" l="1"/>
  <c r="I13" i="14659" s="1"/>
  <c r="I12" i="14659"/>
  <c r="D25" i="14659"/>
  <c r="B33" i="14641"/>
  <c r="B37" i="14648" s="1"/>
  <c r="H31" i="14706"/>
  <c r="N22" i="14648"/>
  <c r="H39" i="14667"/>
  <c r="D33" i="14684"/>
  <c r="E18" i="14643"/>
  <c r="E27" i="14643"/>
  <c r="N35" i="14633"/>
  <c r="L20" i="14657"/>
  <c r="E9" i="14659"/>
  <c r="F9" i="14659"/>
  <c r="D15" i="14659" l="1"/>
  <c r="E15" i="14659" s="1"/>
  <c r="D32" i="14659"/>
  <c r="D31" i="14659"/>
  <c r="I25" i="14659"/>
  <c r="E25" i="14659"/>
  <c r="S8" i="14657"/>
  <c r="S13" i="14657"/>
  <c r="S14" i="14657"/>
  <c r="S15" i="14657"/>
  <c r="S9" i="14657"/>
  <c r="S10" i="14657"/>
  <c r="L29" i="14657"/>
  <c r="S11" i="14657"/>
  <c r="S12" i="14657"/>
  <c r="H22" i="14667"/>
  <c r="B35" i="14641"/>
  <c r="N24" i="14648"/>
  <c r="O24" i="14648" s="1"/>
  <c r="M64" i="14684"/>
  <c r="Y78" i="14684" s="1"/>
  <c r="C40" i="14633"/>
  <c r="D27" i="14684"/>
  <c r="H6" i="14706"/>
  <c r="C41" i="14633"/>
  <c r="E28" i="14643"/>
  <c r="C29" i="14708"/>
  <c r="E32" i="14643"/>
  <c r="E35" i="14643" s="1"/>
  <c r="C39" i="14633"/>
  <c r="N23" i="14648"/>
  <c r="O23" i="14648" s="1"/>
  <c r="O22" i="14648"/>
  <c r="C42" i="14648"/>
  <c r="B38" i="14648"/>
  <c r="C43" i="14648" s="1"/>
  <c r="D24" i="14659" l="1"/>
  <c r="D23" i="14659"/>
  <c r="I15" i="14659"/>
  <c r="D27" i="4128"/>
  <c r="D8" i="4128"/>
  <c r="E24" i="14659"/>
  <c r="F24" i="14659"/>
  <c r="N8" i="14641"/>
  <c r="E23" i="14659"/>
  <c r="I23" i="14659"/>
  <c r="M30" i="14645"/>
  <c r="I31" i="14659"/>
  <c r="E31" i="14659"/>
  <c r="I32" i="14659"/>
  <c r="H83" i="14645"/>
  <c r="M83" i="14645"/>
  <c r="M86" i="14645" s="1"/>
  <c r="E32" i="14659"/>
  <c r="E32" i="14657"/>
  <c r="E33" i="14657" s="1"/>
  <c r="D29" i="14684"/>
  <c r="D41" i="14633"/>
  <c r="D30" i="14684" s="1"/>
  <c r="C44" i="14649"/>
  <c r="D37" i="4128"/>
  <c r="S62" i="4128" s="1"/>
  <c r="S63" i="4128" s="1"/>
  <c r="D34" i="14684"/>
  <c r="J20" i="14686" s="1"/>
  <c r="E27" i="14690"/>
  <c r="C84" i="14649"/>
  <c r="D84" i="14649"/>
  <c r="E84" i="14649" s="1"/>
  <c r="D39" i="14633"/>
  <c r="D35" i="14684" s="1"/>
  <c r="C95" i="14648"/>
  <c r="B39" i="14648"/>
  <c r="C44" i="14648" s="1"/>
  <c r="C49" i="14648" s="1"/>
  <c r="S16" i="14657"/>
  <c r="L22" i="14657" s="1"/>
  <c r="H86" i="14645" l="1"/>
  <c r="N86" i="14645" s="1"/>
  <c r="N83" i="14645"/>
  <c r="M32" i="14645"/>
  <c r="N32" i="14645" s="1"/>
  <c r="N30" i="14645"/>
  <c r="E37" i="14657"/>
  <c r="E39" i="14657" s="1"/>
  <c r="E40" i="14657" s="1"/>
  <c r="G17" i="14672" s="1"/>
  <c r="G20" i="14672" s="1"/>
  <c r="E36" i="14657"/>
  <c r="B26" i="14640"/>
  <c r="C16" i="14641"/>
  <c r="E57" i="14649"/>
  <c r="C30" i="14708"/>
  <c r="C97" i="14648"/>
  <c r="L25" i="14657"/>
  <c r="D31" i="14617"/>
  <c r="H30" i="14667"/>
  <c r="H40" i="14706"/>
  <c r="L27" i="14657"/>
  <c r="C39" i="14708" s="1"/>
  <c r="C48" i="14622"/>
  <c r="E53" i="14690"/>
  <c r="G27" i="14672" l="1"/>
  <c r="N20" i="14672"/>
  <c r="G16" i="14670"/>
  <c r="N16" i="14670" s="1"/>
  <c r="F14" i="14657"/>
  <c r="C10" i="14641"/>
  <c r="B25" i="14640"/>
  <c r="J8" i="14641"/>
  <c r="H23" i="14641"/>
  <c r="L26" i="14657"/>
  <c r="H42" i="14667"/>
  <c r="H28" i="14706"/>
  <c r="H9" i="14706"/>
  <c r="H19" i="14667"/>
  <c r="D84" i="14689"/>
  <c r="D86" i="14689" s="1"/>
  <c r="H39" i="14706"/>
  <c r="J42" i="14706"/>
  <c r="C25" i="14641"/>
  <c r="C30" i="14641" s="1"/>
  <c r="D7" i="14696"/>
  <c r="D41" i="4128"/>
  <c r="H26" i="14667"/>
  <c r="J28" i="14667"/>
  <c r="B28" i="14681"/>
  <c r="E31" i="14617"/>
  <c r="D33" i="14617"/>
  <c r="N27" i="14672" l="1"/>
  <c r="J16" i="14617"/>
  <c r="G15" i="14670"/>
  <c r="G58" i="14672"/>
  <c r="H14" i="14676" s="1"/>
  <c r="O14" i="14676" s="1"/>
  <c r="H13" i="14667"/>
  <c r="H5" i="14706"/>
  <c r="H26" i="14706"/>
  <c r="H47" i="14706" s="1"/>
  <c r="I39" i="14706" s="1"/>
  <c r="F57" i="14649"/>
  <c r="I50" i="14667"/>
  <c r="H44" i="14667"/>
  <c r="D4" i="4128"/>
  <c r="C49" i="14649" s="1"/>
  <c r="C37" i="14708" s="1"/>
  <c r="H37" i="14667"/>
  <c r="E7" i="14710" s="1"/>
  <c r="D14" i="14696"/>
  <c r="C41" i="14708"/>
  <c r="C11" i="14641"/>
  <c r="O8" i="14641"/>
  <c r="E7" i="14684" s="1"/>
  <c r="J18" i="14686"/>
  <c r="E9" i="14710"/>
  <c r="C43" i="14649"/>
  <c r="D57" i="14649" s="1"/>
  <c r="E33" i="14617"/>
  <c r="D26" i="4128"/>
  <c r="E10" i="14710"/>
  <c r="F33" i="14617"/>
  <c r="H45" i="14706"/>
  <c r="I51" i="14706"/>
  <c r="B27" i="14640"/>
  <c r="G18" i="14670" l="1"/>
  <c r="N15" i="14670"/>
  <c r="J18" i="14617"/>
  <c r="G44" i="14710"/>
  <c r="G7" i="14643"/>
  <c r="G10" i="14643" s="1"/>
  <c r="G23" i="14643" s="1"/>
  <c r="G17" i="14643" s="1"/>
  <c r="O18" i="14672" a="1"/>
  <c r="O7" i="14672" a="1"/>
  <c r="N58" i="14672"/>
  <c r="O23" i="14672" a="1"/>
  <c r="I30" i="14706"/>
  <c r="I27" i="14706"/>
  <c r="I41" i="14706"/>
  <c r="I43" i="14706"/>
  <c r="I32" i="14706"/>
  <c r="I37" i="14706"/>
  <c r="I34" i="14706"/>
  <c r="I35" i="14706"/>
  <c r="I29" i="14706"/>
  <c r="I36" i="14706"/>
  <c r="I42" i="14706"/>
  <c r="I31" i="14706"/>
  <c r="I40" i="14706"/>
  <c r="D16" i="14696"/>
  <c r="C42" i="14708"/>
  <c r="C43" i="14708" s="1"/>
  <c r="L12" i="14696"/>
  <c r="F13" i="14684"/>
  <c r="H45" i="14667"/>
  <c r="D18" i="4128"/>
  <c r="E45" i="14710"/>
  <c r="D19" i="4128"/>
  <c r="I28" i="14706"/>
  <c r="I26" i="14706"/>
  <c r="H46" i="14706"/>
  <c r="I46" i="14706" s="1"/>
  <c r="H24" i="14706"/>
  <c r="H54" i="14706" s="1"/>
  <c r="B29" i="14640"/>
  <c r="C29" i="14641"/>
  <c r="H48" i="14667"/>
  <c r="D22" i="4128"/>
  <c r="H24" i="14667"/>
  <c r="I13" i="14667" s="1"/>
  <c r="D31" i="4128"/>
  <c r="D15" i="4128"/>
  <c r="E6" i="14710"/>
  <c r="D10" i="4128"/>
  <c r="H49" i="14706"/>
  <c r="I45" i="14706"/>
  <c r="H46" i="14667"/>
  <c r="I47" i="14706" l="1"/>
  <c r="O24" i="14672"/>
  <c r="O23" i="14672"/>
  <c r="O25" i="14672"/>
  <c r="O27" i="14672"/>
  <c r="O55" i="14672"/>
  <c r="O33" i="14672" a="1"/>
  <c r="O15" i="14672"/>
  <c r="O11" i="14672"/>
  <c r="O9" i="14672"/>
  <c r="O13" i="14672"/>
  <c r="O8" i="14672"/>
  <c r="O14" i="14672"/>
  <c r="O7" i="14672"/>
  <c r="O12" i="14672"/>
  <c r="O10" i="14672"/>
  <c r="G31" i="14643"/>
  <c r="F34" i="4128" s="1"/>
  <c r="E51" i="14649" s="1"/>
  <c r="O20" i="14672"/>
  <c r="O19" i="14672"/>
  <c r="O18" i="14672"/>
  <c r="G24" i="14643"/>
  <c r="E24" i="14708"/>
  <c r="E25" i="14708" s="1"/>
  <c r="E26" i="14708" s="1"/>
  <c r="E28" i="14708" s="1"/>
  <c r="F33" i="4128"/>
  <c r="L18" i="14617"/>
  <c r="J20" i="14617"/>
  <c r="E40" i="14649"/>
  <c r="K18" i="14617"/>
  <c r="G20" i="14670"/>
  <c r="N18" i="14670"/>
  <c r="I5" i="14706"/>
  <c r="I49" i="14706"/>
  <c r="E21" i="14710"/>
  <c r="E41" i="14710"/>
  <c r="M12" i="14696"/>
  <c r="E23" i="14710"/>
  <c r="I5" i="14667"/>
  <c r="I24" i="14667" s="1"/>
  <c r="I14" i="14667"/>
  <c r="I9" i="14667"/>
  <c r="I16" i="14667"/>
  <c r="I17" i="14667"/>
  <c r="I15" i="14667"/>
  <c r="E22" i="14710"/>
  <c r="I21" i="14667"/>
  <c r="I18" i="14667"/>
  <c r="E25" i="14710"/>
  <c r="I8" i="14667"/>
  <c r="I11" i="14667"/>
  <c r="I7" i="14667"/>
  <c r="I6" i="14667"/>
  <c r="D14" i="4128"/>
  <c r="I20" i="14667"/>
  <c r="D6" i="4128"/>
  <c r="C50" i="14649" s="1"/>
  <c r="C38" i="14708" s="1"/>
  <c r="D21" i="4128"/>
  <c r="D25" i="4128"/>
  <c r="I22" i="14667"/>
  <c r="I19" i="14667"/>
  <c r="E8" i="14710"/>
  <c r="I34" i="14667"/>
  <c r="I32" i="14667"/>
  <c r="I29" i="14667"/>
  <c r="I33" i="14667"/>
  <c r="I27" i="14667"/>
  <c r="I35" i="14667"/>
  <c r="H53" i="14667"/>
  <c r="I40" i="14667"/>
  <c r="I43" i="14667"/>
  <c r="I38" i="14667"/>
  <c r="I41" i="14667"/>
  <c r="I28" i="14667"/>
  <c r="I39" i="14667"/>
  <c r="I30" i="14667"/>
  <c r="I26" i="14667"/>
  <c r="I42" i="14667"/>
  <c r="E42" i="14710"/>
  <c r="I44" i="14667"/>
  <c r="I37" i="14667"/>
  <c r="D93" i="14649"/>
  <c r="I48" i="14667"/>
  <c r="C31" i="14641"/>
  <c r="I45" i="14667"/>
  <c r="D20" i="4128"/>
  <c r="D42" i="4128"/>
  <c r="D43" i="4128"/>
  <c r="B31" i="14640"/>
  <c r="I17" i="14706"/>
  <c r="I13" i="14706"/>
  <c r="I20" i="14706"/>
  <c r="I10" i="14706"/>
  <c r="I16" i="14706"/>
  <c r="I22" i="14706"/>
  <c r="I14" i="14706"/>
  <c r="I18" i="14706"/>
  <c r="I12" i="14706"/>
  <c r="I19" i="14706"/>
  <c r="I7" i="14706"/>
  <c r="I11" i="14706"/>
  <c r="I8" i="14706"/>
  <c r="I6" i="14706"/>
  <c r="I9" i="14706"/>
  <c r="D77" i="14649" l="1"/>
  <c r="E77" i="14649" s="1"/>
  <c r="I24" i="14706"/>
  <c r="E47" i="14710"/>
  <c r="E49" i="14710" s="1"/>
  <c r="O45" i="14672"/>
  <c r="O49" i="14672"/>
  <c r="O35" i="14672"/>
  <c r="O36" i="14672"/>
  <c r="O51" i="14672"/>
  <c r="O50" i="14672"/>
  <c r="O43" i="14672"/>
  <c r="O33" i="14672"/>
  <c r="O38" i="14672"/>
  <c r="O40" i="14672"/>
  <c r="O52" i="14672"/>
  <c r="O48" i="14672"/>
  <c r="O34" i="14672"/>
  <c r="O46" i="14672"/>
  <c r="O37" i="14672"/>
  <c r="O42" i="14672"/>
  <c r="O39" i="14672"/>
  <c r="O47" i="14672"/>
  <c r="O53" i="14672"/>
  <c r="O41" i="14672"/>
  <c r="O44" i="14672"/>
  <c r="O54" i="14672"/>
  <c r="G23" i="14670"/>
  <c r="N23" i="14670" s="1"/>
  <c r="N20" i="14670"/>
  <c r="E42" i="14649"/>
  <c r="C59" i="14649" s="1"/>
  <c r="K20" i="14617"/>
  <c r="J23" i="14617"/>
  <c r="E28" i="14710"/>
  <c r="E30" i="14710" s="1"/>
  <c r="C93" i="14649"/>
  <c r="E84" i="14690"/>
  <c r="I46" i="14667"/>
  <c r="C33" i="14641"/>
  <c r="F12" i="4128" l="1"/>
  <c r="K23" i="14617"/>
  <c r="L23" i="14617"/>
  <c r="C37" i="14648"/>
  <c r="C35" i="14641"/>
  <c r="D95" i="14648" l="1"/>
  <c r="C39" i="14648"/>
  <c r="B65" i="14684"/>
  <c r="Z78" i="14684" s="1"/>
  <c r="D42" i="14648"/>
  <c r="C38" i="14648"/>
  <c r="D44" i="14648" l="1"/>
  <c r="D43" i="14648"/>
  <c r="D97" i="14648"/>
  <c r="D10" i="14641" l="1"/>
  <c r="C25" i="14640"/>
  <c r="D49" i="14648"/>
  <c r="C26" i="14640" l="1"/>
  <c r="C27" i="14640" s="1"/>
  <c r="C28" i="14681"/>
  <c r="D16" i="14641"/>
  <c r="D11" i="14641"/>
  <c r="D29" i="14641" l="1"/>
  <c r="D25" i="14641"/>
  <c r="D30" i="14641" s="1"/>
  <c r="C29" i="14640"/>
  <c r="C31" i="14640" l="1"/>
  <c r="D31" i="14641"/>
  <c r="D33" i="14641" l="1"/>
  <c r="D37" i="14648" l="1"/>
  <c r="D35" i="14641"/>
  <c r="E95" i="14648" l="1"/>
  <c r="D39" i="14648"/>
  <c r="C65" i="14684"/>
  <c r="AA78" i="14684" s="1"/>
  <c r="E42" i="14648"/>
  <c r="D38" i="14648"/>
  <c r="E44" i="14648" l="1"/>
  <c r="E43" i="14648"/>
  <c r="E97" i="14648"/>
  <c r="E10" i="14641" l="1"/>
  <c r="D25" i="14640"/>
  <c r="E49" i="14648"/>
  <c r="D28" i="14681" l="1"/>
  <c r="D26" i="14640"/>
  <c r="E16" i="14641"/>
  <c r="D27" i="14640"/>
  <c r="E11" i="14641"/>
  <c r="D29" i="14640" l="1"/>
  <c r="E25" i="14641"/>
  <c r="E30" i="14641" s="1"/>
  <c r="E29" i="14641"/>
  <c r="E29" i="14681"/>
  <c r="E31" i="14681" s="1"/>
  <c r="E31" i="14641" l="1"/>
  <c r="D31" i="14640"/>
  <c r="E33" i="14641" l="1"/>
  <c r="G18" i="14659"/>
  <c r="E37" i="14648" l="1"/>
  <c r="F23" i="14641"/>
  <c r="L18" i="14659"/>
  <c r="E35" i="14641"/>
  <c r="F95" i="14648" l="1"/>
  <c r="D65" i="14684"/>
  <c r="AB78" i="14684" s="1"/>
  <c r="E39" i="14648"/>
  <c r="E38" i="14648"/>
  <c r="F42" i="14648"/>
  <c r="F43" i="14648" l="1"/>
  <c r="F44" i="14648"/>
  <c r="F97" i="14648"/>
  <c r="F49" i="14648" l="1"/>
  <c r="E25" i="14640"/>
  <c r="F10" i="14641"/>
  <c r="E28" i="14681"/>
  <c r="E26" i="14640"/>
  <c r="F16" i="14641"/>
  <c r="F25" i="14641" l="1"/>
  <c r="F30" i="14641" s="1"/>
  <c r="F11" i="14641"/>
  <c r="E27" i="14640"/>
  <c r="E29" i="14640" l="1"/>
  <c r="F29" i="14641"/>
  <c r="F31" i="14641" l="1"/>
  <c r="E31" i="14640"/>
  <c r="F33" i="14641" l="1"/>
  <c r="F35" i="14641" s="1"/>
  <c r="E65" i="14684" l="1"/>
  <c r="AC78" i="14684" s="1"/>
  <c r="F39" i="14648"/>
  <c r="G95" i="14648"/>
  <c r="F37" i="14648"/>
  <c r="G97" i="14648" l="1"/>
  <c r="G42" i="14648"/>
  <c r="F38" i="14648"/>
  <c r="G44" i="14648"/>
  <c r="G43" i="14648" l="1"/>
  <c r="G49" i="14648" s="1"/>
  <c r="F25" i="14640"/>
  <c r="G10" i="14641"/>
  <c r="G11" i="14641" l="1"/>
  <c r="G16" i="14641"/>
  <c r="F28" i="14681"/>
  <c r="F26" i="14640"/>
  <c r="F27" i="14640" s="1"/>
  <c r="F29" i="14640" l="1"/>
  <c r="G25" i="14641"/>
  <c r="G30" i="14641" s="1"/>
  <c r="G29" i="14641"/>
  <c r="G31" i="14641" l="1"/>
  <c r="F31" i="14640"/>
  <c r="G33" i="14641" l="1"/>
  <c r="G35" i="14641" s="1"/>
  <c r="G39" i="14648" l="1"/>
  <c r="H95" i="14648"/>
  <c r="H97" i="14648" s="1"/>
  <c r="F65" i="14684"/>
  <c r="AD78" i="14684" s="1"/>
  <c r="G37" i="14648"/>
  <c r="H42" i="14648" l="1"/>
  <c r="G38" i="14648"/>
  <c r="H10" i="14641"/>
  <c r="H11" i="14641" s="1"/>
  <c r="H29" i="14641" s="1"/>
  <c r="G25" i="14640"/>
  <c r="H44" i="14648"/>
  <c r="H43" i="14648" l="1"/>
  <c r="H49" i="14648" s="1"/>
  <c r="H16" i="14641" l="1"/>
  <c r="H25" i="14641" s="1"/>
  <c r="H30" i="14641" s="1"/>
  <c r="H31" i="14641" s="1"/>
  <c r="G26" i="14640"/>
  <c r="G27" i="14640" s="1"/>
  <c r="G29" i="14640" s="1"/>
  <c r="G31" i="14640" s="1"/>
  <c r="G28" i="14681"/>
  <c r="H29" i="14681" s="1"/>
  <c r="H31" i="14681" s="1"/>
  <c r="I23" i="14641" l="1"/>
  <c r="H33" i="14641"/>
  <c r="H37" i="14648" s="1"/>
  <c r="I42" i="14648" l="1"/>
  <c r="H38" i="14648"/>
  <c r="I43" i="14648" s="1"/>
  <c r="H35" i="14641"/>
  <c r="I95" i="14648" l="1"/>
  <c r="I97" i="14648" s="1"/>
  <c r="H39" i="14648"/>
  <c r="I44" i="14648" s="1"/>
  <c r="I49" i="14648" s="1"/>
  <c r="G65" i="14684"/>
  <c r="AE78" i="14684" s="1"/>
  <c r="I16" i="14641" l="1"/>
  <c r="I25" i="14641" s="1"/>
  <c r="I30" i="14641" s="1"/>
  <c r="H26" i="14640"/>
  <c r="H28" i="14681"/>
  <c r="I10" i="14641"/>
  <c r="I11" i="14641" s="1"/>
  <c r="I29" i="14641" s="1"/>
  <c r="H25" i="14640"/>
  <c r="I31" i="14641" l="1"/>
  <c r="I33" i="14641" s="1"/>
  <c r="I37" i="14648" s="1"/>
  <c r="H27" i="14640"/>
  <c r="H29" i="14640" s="1"/>
  <c r="H31" i="14640" s="1"/>
  <c r="I35" i="14641" l="1"/>
  <c r="I38" i="14648"/>
  <c r="J43" i="14648" s="1"/>
  <c r="J42" i="14648"/>
  <c r="H65" i="14684" l="1"/>
  <c r="AF78" i="14684" s="1"/>
  <c r="J95" i="14648"/>
  <c r="J97" i="14648" s="1"/>
  <c r="I39" i="14648"/>
  <c r="J44" i="14648" s="1"/>
  <c r="J49" i="14648" s="1"/>
  <c r="I26" i="14640" l="1"/>
  <c r="I28" i="14681"/>
  <c r="J16" i="14641"/>
  <c r="J25" i="14641" s="1"/>
  <c r="J30" i="14641" s="1"/>
  <c r="J10" i="14641"/>
  <c r="J11" i="14641" s="1"/>
  <c r="J29" i="14641" s="1"/>
  <c r="I25" i="14640"/>
  <c r="I27" i="14640" l="1"/>
  <c r="I29" i="14640" s="1"/>
  <c r="I31" i="14640" s="1"/>
  <c r="J31" i="14641"/>
  <c r="J33" i="14641" s="1"/>
  <c r="J37" i="14648" s="1"/>
  <c r="J35" i="14641" l="1"/>
  <c r="K42" i="14648"/>
  <c r="J38" i="14648"/>
  <c r="K43" i="14648" s="1"/>
  <c r="K95" i="14648" l="1"/>
  <c r="K97" i="14648" s="1"/>
  <c r="I65" i="14684"/>
  <c r="AG78" i="14684" s="1"/>
  <c r="J39" i="14648"/>
  <c r="K44" i="14648" s="1"/>
  <c r="K49" i="14648" s="1"/>
  <c r="K16" i="14641" l="1"/>
  <c r="K25" i="14641" s="1"/>
  <c r="K30" i="14641" s="1"/>
  <c r="J28" i="14681"/>
  <c r="K29" i="14681" s="1"/>
  <c r="K31" i="14681" s="1"/>
  <c r="J26" i="14640"/>
  <c r="K10" i="14641"/>
  <c r="K11" i="14641" s="1"/>
  <c r="K29" i="14641" s="1"/>
  <c r="J25" i="14640"/>
  <c r="J27" i="14640" l="1"/>
  <c r="J29" i="14640" s="1"/>
  <c r="J31" i="14640" s="1"/>
  <c r="K31" i="14641"/>
  <c r="K33" i="14641" s="1"/>
  <c r="K37" i="14648" s="1"/>
  <c r="G19" i="14659"/>
  <c r="L19" i="14659" l="1"/>
  <c r="L23" i="14641"/>
  <c r="L42" i="14648"/>
  <c r="K38" i="14648"/>
  <c r="L43" i="14648" s="1"/>
  <c r="K35" i="14641"/>
  <c r="L95" i="14648" l="1"/>
  <c r="L97" i="14648" s="1"/>
  <c r="J65" i="14684"/>
  <c r="AH78" i="14684" s="1"/>
  <c r="K39" i="14648"/>
  <c r="L44" i="14648" s="1"/>
  <c r="L49" i="14648" s="1"/>
  <c r="K26" i="14640" l="1"/>
  <c r="L16" i="14641"/>
  <c r="L25" i="14641" s="1"/>
  <c r="L30" i="14641" s="1"/>
  <c r="K28" i="14681"/>
  <c r="L10" i="14641"/>
  <c r="L11" i="14641" s="1"/>
  <c r="L29" i="14641" s="1"/>
  <c r="K25" i="14640"/>
  <c r="K27" i="14640" s="1"/>
  <c r="K29" i="14640" s="1"/>
  <c r="K31" i="14640" s="1"/>
  <c r="L31" i="14641" l="1"/>
  <c r="L33" i="14641" s="1"/>
  <c r="L37" i="14648" s="1"/>
  <c r="L35" i="14641" l="1"/>
  <c r="M42" i="14648"/>
  <c r="L38" i="14648"/>
  <c r="M43" i="14648" s="1"/>
  <c r="M95" i="14648" l="1"/>
  <c r="M97" i="14648" s="1"/>
  <c r="K65" i="14684"/>
  <c r="AI78" i="14684" s="1"/>
  <c r="L39" i="14648"/>
  <c r="M44" i="14648" s="1"/>
  <c r="M49" i="14648" s="1"/>
  <c r="M16" i="14641" l="1"/>
  <c r="M25" i="14641" s="1"/>
  <c r="M30" i="14641" s="1"/>
  <c r="L26" i="14640"/>
  <c r="L28" i="14681"/>
  <c r="M10" i="14641"/>
  <c r="M11" i="14641" s="1"/>
  <c r="M29" i="14641" s="1"/>
  <c r="L25" i="14640"/>
  <c r="L27" i="14640" l="1"/>
  <c r="L29" i="14640" s="1"/>
  <c r="L31" i="14640" s="1"/>
  <c r="G20" i="14659" s="1"/>
  <c r="M31" i="14641"/>
  <c r="M33" i="14641" s="1"/>
  <c r="M37" i="14648" s="1"/>
  <c r="M35" i="14641" l="1"/>
  <c r="N23" i="14641"/>
  <c r="O23" i="14641" s="1"/>
  <c r="E20" i="14684" s="1"/>
  <c r="L20" i="14659"/>
  <c r="J20" i="14667"/>
  <c r="J8" i="14706"/>
  <c r="M38" i="14648"/>
  <c r="N43" i="14648" s="1"/>
  <c r="O43" i="14648" s="1"/>
  <c r="N42" i="14648"/>
  <c r="O42" i="14648" l="1"/>
  <c r="N95" i="14648"/>
  <c r="L65" i="14684"/>
  <c r="AJ78" i="14684" s="1"/>
  <c r="M39" i="14648"/>
  <c r="N44" i="14648" s="1"/>
  <c r="O44" i="14648" s="1"/>
  <c r="N97" i="14648" l="1"/>
  <c r="O95" i="14648"/>
  <c r="O97" i="14648" s="1"/>
  <c r="O49" i="14648"/>
  <c r="N49" i="14648"/>
  <c r="N16" i="14641" l="1"/>
  <c r="M28" i="14681"/>
  <c r="N28" i="14681" s="1"/>
  <c r="N29" i="14681" s="1"/>
  <c r="N31" i="14681" s="1"/>
  <c r="M26" i="14640"/>
  <c r="N26" i="14640" s="1"/>
  <c r="N10" i="14641"/>
  <c r="M25" i="14640"/>
  <c r="B40" i="14681" l="1"/>
  <c r="C23" i="14676"/>
  <c r="E24" i="14657"/>
  <c r="E25" i="14657" s="1"/>
  <c r="M27" i="14640"/>
  <c r="N25" i="14640"/>
  <c r="G25" i="14617" s="1" a="1"/>
  <c r="N25" i="14641"/>
  <c r="N30" i="14641" s="1"/>
  <c r="O30" i="14641" s="1"/>
  <c r="O16" i="14641"/>
  <c r="N11" i="14641"/>
  <c r="O10" i="14641"/>
  <c r="E9" i="14684" s="1"/>
  <c r="E10" i="14684" s="1"/>
  <c r="E15" i="14684" l="1"/>
  <c r="E22" i="14684" s="1"/>
  <c r="E25" i="14684" s="1"/>
  <c r="O25" i="14641"/>
  <c r="M23" i="14657"/>
  <c r="G25" i="14617"/>
  <c r="G26" i="14617"/>
  <c r="N29" i="14641"/>
  <c r="O11" i="14641"/>
  <c r="M29" i="14640"/>
  <c r="N27" i="14640"/>
  <c r="G27" i="14617" l="1"/>
  <c r="H25" i="14617" s="1" a="1"/>
  <c r="L25" i="14617"/>
  <c r="N31" i="14641"/>
  <c r="O29" i="14641"/>
  <c r="O31" i="14641" s="1"/>
  <c r="N29" i="14640"/>
  <c r="G29" i="14617" s="1"/>
  <c r="G11" i="14659" s="1"/>
  <c r="M31" i="14640"/>
  <c r="F43" i="14710"/>
  <c r="I26" i="14617"/>
  <c r="G12" i="14659" l="1"/>
  <c r="H13" i="14659"/>
  <c r="H12" i="14659"/>
  <c r="L11" i="14659"/>
  <c r="H11" i="14659"/>
  <c r="G9" i="14659"/>
  <c r="G7" i="14659"/>
  <c r="H29" i="14617"/>
  <c r="C76" i="14649"/>
  <c r="I29" i="14617"/>
  <c r="H25" i="14617"/>
  <c r="H27" i="14617"/>
  <c r="H26" i="14617"/>
  <c r="N33" i="14641"/>
  <c r="N35" i="14641" s="1"/>
  <c r="F12" i="14643"/>
  <c r="E8" i="14696"/>
  <c r="E17" i="14657"/>
  <c r="E18" i="14657" s="1"/>
  <c r="E20" i="14657" s="1"/>
  <c r="D41" i="14649"/>
  <c r="E36" i="4128"/>
  <c r="I27" i="14617"/>
  <c r="G13" i="14659" l="1"/>
  <c r="L13" i="14659" s="1"/>
  <c r="L12" i="14659"/>
  <c r="G25" i="14659"/>
  <c r="M20" i="14657"/>
  <c r="N39" i="14648"/>
  <c r="O39" i="14648" s="1"/>
  <c r="B35" i="14676"/>
  <c r="E27" i="14684"/>
  <c r="J6" i="14706"/>
  <c r="M65" i="14684"/>
  <c r="AK78" i="14684" s="1"/>
  <c r="J22" i="14667"/>
  <c r="C40" i="14641"/>
  <c r="C41" i="14641"/>
  <c r="F27" i="14643"/>
  <c r="F18" i="14643"/>
  <c r="B33" i="14676"/>
  <c r="B52" i="14648" s="1"/>
  <c r="J39" i="14667"/>
  <c r="N37" i="14648"/>
  <c r="J31" i="14706"/>
  <c r="C39" i="14641"/>
  <c r="E33" i="14684"/>
  <c r="H9" i="14659"/>
  <c r="I9" i="14659"/>
  <c r="G15" i="14659" l="1"/>
  <c r="H15" i="14659" s="1"/>
  <c r="G32" i="14659"/>
  <c r="L25" i="14659"/>
  <c r="G31" i="14659"/>
  <c r="H25" i="14659"/>
  <c r="F32" i="14643"/>
  <c r="F35" i="14643" s="1"/>
  <c r="D29" i="14708"/>
  <c r="F28" i="14643"/>
  <c r="N38" i="14648"/>
  <c r="O38" i="14648" s="1"/>
  <c r="O37" i="14648"/>
  <c r="E27" i="4128" s="1"/>
  <c r="D41" i="14641"/>
  <c r="E30" i="14684" s="1"/>
  <c r="E29" i="14684"/>
  <c r="D44" i="14649"/>
  <c r="E37" i="4128"/>
  <c r="T62" i="4128" s="1"/>
  <c r="T63" i="4128" s="1"/>
  <c r="C57" i="14648"/>
  <c r="B53" i="14648"/>
  <c r="C58" i="14648" s="1"/>
  <c r="D85" i="14649"/>
  <c r="E85" i="14649" s="1"/>
  <c r="F27" i="14690"/>
  <c r="D39" i="14641"/>
  <c r="E35" i="14684" s="1"/>
  <c r="E34" i="14684"/>
  <c r="K20" i="14686" s="1"/>
  <c r="C85" i="14649"/>
  <c r="C100" i="14648"/>
  <c r="B54" i="14648"/>
  <c r="C59" i="14648" s="1"/>
  <c r="T15" i="14657"/>
  <c r="T11" i="14657"/>
  <c r="T13" i="14657"/>
  <c r="T10" i="14657"/>
  <c r="T12" i="14657"/>
  <c r="T9" i="14657"/>
  <c r="T14" i="14657"/>
  <c r="M29" i="14657"/>
  <c r="T8" i="14657"/>
  <c r="G24" i="14659" l="1"/>
  <c r="G23" i="14659"/>
  <c r="L23" i="14659" s="1"/>
  <c r="L15" i="14659"/>
  <c r="H24" i="14659"/>
  <c r="E8" i="4128"/>
  <c r="I24" i="14659"/>
  <c r="H23" i="14659"/>
  <c r="N8" i="14676"/>
  <c r="H31" i="14659"/>
  <c r="L31" i="14659"/>
  <c r="M93" i="14645"/>
  <c r="M96" i="14645" s="1"/>
  <c r="L32" i="14659"/>
  <c r="H93" i="14645"/>
  <c r="H32" i="14659"/>
  <c r="F32" i="14657"/>
  <c r="F33" i="14657" s="1"/>
  <c r="T16" i="14657"/>
  <c r="M22" i="14657" s="1"/>
  <c r="G31" i="14617" s="1"/>
  <c r="E58" i="14649"/>
  <c r="D30" i="14708"/>
  <c r="F53" i="14690"/>
  <c r="D48" i="14622"/>
  <c r="J30" i="14667"/>
  <c r="J40" i="14706"/>
  <c r="C64" i="14648"/>
  <c r="M27" i="14657"/>
  <c r="D39" i="14708" s="1"/>
  <c r="C102" i="14648"/>
  <c r="M41" i="14645" l="1"/>
  <c r="M25" i="14657"/>
  <c r="J8" i="14676" s="1"/>
  <c r="N93" i="14645"/>
  <c r="H96" i="14645"/>
  <c r="N96" i="14645" s="1"/>
  <c r="N41" i="14645"/>
  <c r="M43" i="14645"/>
  <c r="N43" i="14645" s="1"/>
  <c r="F36" i="14657"/>
  <c r="F37" i="14657"/>
  <c r="F39" i="14657" s="1"/>
  <c r="F40" i="14657" s="1"/>
  <c r="G17" i="14673" s="1"/>
  <c r="G20" i="14673" s="1"/>
  <c r="J39" i="14706"/>
  <c r="L42" i="14706"/>
  <c r="E7" i="14696"/>
  <c r="E41" i="4128"/>
  <c r="L28" i="14667"/>
  <c r="J26" i="14667"/>
  <c r="J42" i="14667"/>
  <c r="J9" i="14706"/>
  <c r="J19" i="14667"/>
  <c r="H31" i="14617"/>
  <c r="I31" i="14617"/>
  <c r="G33" i="14617"/>
  <c r="B25" i="14670"/>
  <c r="C10" i="14676"/>
  <c r="E84" i="14689"/>
  <c r="E86" i="14689" s="1"/>
  <c r="B37" i="14681"/>
  <c r="B26" i="14670"/>
  <c r="C16" i="14676"/>
  <c r="J28" i="14706" l="1"/>
  <c r="M26" i="14657"/>
  <c r="H23" i="14676"/>
  <c r="G27" i="14673"/>
  <c r="G16" i="14671"/>
  <c r="N16" i="14671" s="1"/>
  <c r="N20" i="14673"/>
  <c r="O8" i="14676"/>
  <c r="F7" i="14684" s="1"/>
  <c r="B27" i="14670"/>
  <c r="D43" i="14649"/>
  <c r="D58" i="14649" s="1"/>
  <c r="F9" i="14710"/>
  <c r="K18" i="14686"/>
  <c r="H33" i="14617"/>
  <c r="E26" i="4128"/>
  <c r="F10" i="14710"/>
  <c r="I33" i="14617"/>
  <c r="J44" i="14667"/>
  <c r="F58" i="14649"/>
  <c r="K50" i="14667"/>
  <c r="E4" i="4128"/>
  <c r="D49" i="14649" s="1"/>
  <c r="D37" i="14708" s="1"/>
  <c r="C11" i="14676"/>
  <c r="G14" i="14657"/>
  <c r="J13" i="14667"/>
  <c r="E14" i="14696"/>
  <c r="D41" i="14708"/>
  <c r="J5" i="14706"/>
  <c r="J26" i="14706"/>
  <c r="J47" i="14706" s="1"/>
  <c r="C25" i="14676"/>
  <c r="C30" i="14676" s="1"/>
  <c r="J37" i="14667"/>
  <c r="J45" i="14706"/>
  <c r="K51" i="14706"/>
  <c r="N27" i="14673" l="1"/>
  <c r="M16" i="14617"/>
  <c r="G58" i="14673"/>
  <c r="H14" i="14677" s="1"/>
  <c r="O14" i="14677" s="1"/>
  <c r="G15" i="14671"/>
  <c r="K32" i="14706"/>
  <c r="K34" i="14706"/>
  <c r="K36" i="14706"/>
  <c r="K29" i="14706"/>
  <c r="K43" i="14706"/>
  <c r="K37" i="14706"/>
  <c r="K30" i="14706"/>
  <c r="K41" i="14706"/>
  <c r="K35" i="14706"/>
  <c r="K27" i="14706"/>
  <c r="K42" i="14706"/>
  <c r="K31" i="14706"/>
  <c r="K40" i="14706"/>
  <c r="K28" i="14706"/>
  <c r="K39" i="14706"/>
  <c r="C29" i="14676"/>
  <c r="J49" i="14706"/>
  <c r="E10" i="4128"/>
  <c r="K45" i="14706"/>
  <c r="J24" i="14706"/>
  <c r="J54" i="14706" s="1"/>
  <c r="J45" i="14667"/>
  <c r="E19" i="4128"/>
  <c r="E18" i="4128"/>
  <c r="F45" i="14710"/>
  <c r="J46" i="14706"/>
  <c r="K46" i="14706" s="1"/>
  <c r="K26" i="14706"/>
  <c r="E16" i="14696"/>
  <c r="L13" i="14696"/>
  <c r="D42" i="14708"/>
  <c r="D43" i="14708" s="1"/>
  <c r="J46" i="14667"/>
  <c r="K44" i="14667" s="1"/>
  <c r="J24" i="14667"/>
  <c r="K13" i="14667" s="1"/>
  <c r="E15" i="4128"/>
  <c r="F6" i="14710"/>
  <c r="E31" i="4128"/>
  <c r="F7" i="14710"/>
  <c r="B29" i="14670"/>
  <c r="J48" i="14667"/>
  <c r="E22" i="4128"/>
  <c r="G18" i="14671" l="1"/>
  <c r="N15" i="14671"/>
  <c r="H44" i="14710"/>
  <c r="M18" i="14617"/>
  <c r="O18" i="14673" a="1"/>
  <c r="O7" i="14673" a="1"/>
  <c r="N58" i="14673"/>
  <c r="O23" i="14673" a="1"/>
  <c r="H7" i="14643"/>
  <c r="H10" i="14643" s="1"/>
  <c r="H23" i="14643" s="1"/>
  <c r="H17" i="14643" s="1"/>
  <c r="K5" i="14706"/>
  <c r="K11" i="14667"/>
  <c r="K17" i="14667"/>
  <c r="K5" i="14667"/>
  <c r="K24" i="14667" s="1"/>
  <c r="K7" i="14667"/>
  <c r="K21" i="14667"/>
  <c r="K16" i="14667"/>
  <c r="K8" i="14667"/>
  <c r="E14" i="4128"/>
  <c r="K6" i="14667"/>
  <c r="K15" i="14667"/>
  <c r="F22" i="14710"/>
  <c r="K18" i="14667"/>
  <c r="K9" i="14667"/>
  <c r="F25" i="14710"/>
  <c r="K14" i="14667"/>
  <c r="F23" i="14710"/>
  <c r="K20" i="14667"/>
  <c r="E21" i="4128"/>
  <c r="E6" i="4128"/>
  <c r="D50" i="14649" s="1"/>
  <c r="D38" i="14708" s="1"/>
  <c r="K22" i="14667"/>
  <c r="E25" i="4128"/>
  <c r="F8" i="14710"/>
  <c r="K19" i="14667"/>
  <c r="K35" i="14667"/>
  <c r="K34" i="14667"/>
  <c r="K32" i="14667"/>
  <c r="K43" i="14667"/>
  <c r="K40" i="14667"/>
  <c r="K41" i="14667"/>
  <c r="K38" i="14667"/>
  <c r="J53" i="14667"/>
  <c r="K33" i="14667"/>
  <c r="K27" i="14667"/>
  <c r="K29" i="14667"/>
  <c r="K28" i="14667"/>
  <c r="K39" i="14667"/>
  <c r="K30" i="14667"/>
  <c r="F42" i="14710"/>
  <c r="K26" i="14667"/>
  <c r="K42" i="14667"/>
  <c r="D94" i="14649"/>
  <c r="K48" i="14667"/>
  <c r="G13" i="14684"/>
  <c r="K12" i="14706"/>
  <c r="K14" i="14706"/>
  <c r="K18" i="14706"/>
  <c r="K20" i="14706"/>
  <c r="K17" i="14706"/>
  <c r="K13" i="14706"/>
  <c r="K11" i="14706"/>
  <c r="K19" i="14706"/>
  <c r="K10" i="14706"/>
  <c r="K22" i="14706"/>
  <c r="K7" i="14706"/>
  <c r="K16" i="14706"/>
  <c r="K8" i="14706"/>
  <c r="K6" i="14706"/>
  <c r="K9" i="14706"/>
  <c r="M13" i="14696"/>
  <c r="K45" i="14667"/>
  <c r="E20" i="4128"/>
  <c r="E42" i="4128"/>
  <c r="E43" i="4128"/>
  <c r="K49" i="14706"/>
  <c r="K47" i="14706"/>
  <c r="F41" i="14710"/>
  <c r="C31" i="14676"/>
  <c r="K37" i="14667"/>
  <c r="B31" i="14670"/>
  <c r="F21" i="14710"/>
  <c r="H31" i="14643" l="1"/>
  <c r="H24" i="14643"/>
  <c r="K24" i="14706"/>
  <c r="F47" i="14710"/>
  <c r="F49" i="14710" s="1"/>
  <c r="O23" i="14673"/>
  <c r="O25" i="14673"/>
  <c r="O24" i="14673"/>
  <c r="O27" i="14673"/>
  <c r="O55" i="14673"/>
  <c r="O33" i="14673" a="1"/>
  <c r="O15" i="14673"/>
  <c r="O12" i="14673"/>
  <c r="O9" i="14673"/>
  <c r="O8" i="14673"/>
  <c r="O7" i="14673"/>
  <c r="O11" i="14673"/>
  <c r="O10" i="14673"/>
  <c r="O13" i="14673"/>
  <c r="O14" i="14673"/>
  <c r="O19" i="14673"/>
  <c r="O18" i="14673"/>
  <c r="O20" i="14673"/>
  <c r="M20" i="14617"/>
  <c r="F40" i="14649"/>
  <c r="N18" i="14617"/>
  <c r="O18" i="14617"/>
  <c r="F24" i="14708"/>
  <c r="F25" i="14708" s="1"/>
  <c r="F26" i="14708" s="1"/>
  <c r="F28" i="14708" s="1"/>
  <c r="G33" i="4128"/>
  <c r="N18" i="14671"/>
  <c r="G20" i="14671"/>
  <c r="F28" i="14710"/>
  <c r="F30" i="14710" s="1"/>
  <c r="F84" i="14690"/>
  <c r="C94" i="14649"/>
  <c r="G34" i="4128"/>
  <c r="F51" i="14649" s="1"/>
  <c r="D78" i="14649"/>
  <c r="E78" i="14649" s="1"/>
  <c r="K46" i="14667"/>
  <c r="C33" i="14676"/>
  <c r="F42" i="14649" l="1"/>
  <c r="C60" i="14649" s="1"/>
  <c r="N20" i="14617"/>
  <c r="M23" i="14617"/>
  <c r="O34" i="14673"/>
  <c r="O33" i="14673"/>
  <c r="O37" i="14673"/>
  <c r="O46" i="14673"/>
  <c r="O53" i="14673"/>
  <c r="O36" i="14673"/>
  <c r="O52" i="14673"/>
  <c r="O47" i="14673"/>
  <c r="O39" i="14673"/>
  <c r="O42" i="14673"/>
  <c r="O40" i="14673"/>
  <c r="O41" i="14673"/>
  <c r="O38" i="14673"/>
  <c r="O51" i="14673"/>
  <c r="O45" i="14673"/>
  <c r="O50" i="14673"/>
  <c r="O35" i="14673"/>
  <c r="O48" i="14673"/>
  <c r="O54" i="14673"/>
  <c r="O43" i="14673"/>
  <c r="O44" i="14673"/>
  <c r="O49" i="14673"/>
  <c r="G23" i="14671"/>
  <c r="N23" i="14671" s="1"/>
  <c r="N20" i="14671"/>
  <c r="C52" i="14648"/>
  <c r="C35" i="14676"/>
  <c r="N23" i="14617" l="1"/>
  <c r="G12" i="4128"/>
  <c r="O23" i="14617"/>
  <c r="D100" i="14648"/>
  <c r="B66" i="14684"/>
  <c r="AL78" i="14684" s="1"/>
  <c r="C54" i="14648"/>
  <c r="D57" i="14648"/>
  <c r="C53" i="14648"/>
  <c r="D58" i="14648" l="1"/>
  <c r="D59" i="14648"/>
  <c r="D102" i="14648"/>
  <c r="D64" i="14648" l="1"/>
  <c r="D16" i="14676"/>
  <c r="C26" i="14670"/>
  <c r="C37" i="14681"/>
  <c r="D10" i="14676"/>
  <c r="C25" i="14670"/>
  <c r="D11" i="14676" l="1"/>
  <c r="C27" i="14670"/>
  <c r="D25" i="14676"/>
  <c r="D30" i="14676" s="1"/>
  <c r="C29" i="14670" l="1"/>
  <c r="D29" i="14676"/>
  <c r="D31" i="14676" l="1"/>
  <c r="C31" i="14670"/>
  <c r="D33" i="14676" l="1"/>
  <c r="D52" i="14648" l="1"/>
  <c r="D35" i="14676"/>
  <c r="C66" i="14684" l="1"/>
  <c r="AM78" i="14684" s="1"/>
  <c r="E100" i="14648"/>
  <c r="D54" i="14648"/>
  <c r="E57" i="14648"/>
  <c r="D53" i="14648"/>
  <c r="E59" i="14648" l="1"/>
  <c r="E58" i="14648"/>
  <c r="E102" i="14648"/>
  <c r="E64" i="14648" l="1"/>
  <c r="E16" i="14676" s="1"/>
  <c r="D37" i="14681"/>
  <c r="E10" i="14676"/>
  <c r="D25" i="14670"/>
  <c r="D26" i="14670" l="1"/>
  <c r="E11" i="14676"/>
  <c r="E38" i="14681"/>
  <c r="E40" i="14681" s="1"/>
  <c r="D27" i="14670"/>
  <c r="E25" i="14676"/>
  <c r="E30" i="14676" s="1"/>
  <c r="D29" i="14670" l="1"/>
  <c r="E29" i="14676"/>
  <c r="E31" i="14676" l="1"/>
  <c r="D31" i="14670"/>
  <c r="J18" i="14659" l="1"/>
  <c r="E33" i="14676"/>
  <c r="E35" i="14676" s="1"/>
  <c r="E54" i="14648" l="1"/>
  <c r="F100" i="14648"/>
  <c r="D66" i="14684"/>
  <c r="AN78" i="14684" s="1"/>
  <c r="E52" i="14648"/>
  <c r="F23" i="14676"/>
  <c r="O18" i="14659"/>
  <c r="F57" i="14648" l="1"/>
  <c r="E53" i="14648"/>
  <c r="F102" i="14648"/>
  <c r="F59" i="14648"/>
  <c r="E25" i="14670" l="1"/>
  <c r="F10" i="14676"/>
  <c r="F58" i="14648"/>
  <c r="F64" i="14648" s="1"/>
  <c r="F16" i="14676" l="1"/>
  <c r="E26" i="14670"/>
  <c r="E27" i="14670" s="1"/>
  <c r="E37" i="14681"/>
  <c r="F11" i="14676"/>
  <c r="E29" i="14670" l="1"/>
  <c r="F29" i="14676"/>
  <c r="F25" i="14676"/>
  <c r="F30" i="14676" s="1"/>
  <c r="F31" i="14676" l="1"/>
  <c r="E31" i="14670"/>
  <c r="F33" i="14676" l="1"/>
  <c r="F52" i="14648" l="1"/>
  <c r="F35" i="14676"/>
  <c r="G100" i="14648" l="1"/>
  <c r="E66" i="14684"/>
  <c r="AO78" i="14684" s="1"/>
  <c r="F54" i="14648"/>
  <c r="G57" i="14648"/>
  <c r="F53" i="14648"/>
  <c r="G58" i="14648" l="1"/>
  <c r="G59" i="14648"/>
  <c r="G102" i="14648"/>
  <c r="G64" i="14648" l="1"/>
  <c r="F26" i="14670" s="1"/>
  <c r="F37" i="14681"/>
  <c r="G10" i="14676"/>
  <c r="F25" i="14670"/>
  <c r="G16" i="14676" l="1"/>
  <c r="G25" i="14676" s="1"/>
  <c r="G30" i="14676" s="1"/>
  <c r="F27" i="14670"/>
  <c r="G11" i="14676"/>
  <c r="G29" i="14676" l="1"/>
  <c r="F29" i="14670"/>
  <c r="F31" i="14670" l="1"/>
  <c r="G31" i="14676"/>
  <c r="G33" i="14676" l="1"/>
  <c r="G35" i="14676" s="1"/>
  <c r="G54" i="14648" l="1"/>
  <c r="F66" i="14684"/>
  <c r="AP78" i="14684" s="1"/>
  <c r="H100" i="14648"/>
  <c r="H102" i="14648" s="1"/>
  <c r="G52" i="14648"/>
  <c r="G53" i="14648" l="1"/>
  <c r="H57" i="14648"/>
  <c r="G25" i="14670"/>
  <c r="H10" i="14676"/>
  <c r="H11" i="14676" s="1"/>
  <c r="H29" i="14676" s="1"/>
  <c r="H59" i="14648"/>
  <c r="H58" i="14648" l="1"/>
  <c r="H64" i="14648" s="1"/>
  <c r="H16" i="14676" l="1"/>
  <c r="H25" i="14676" s="1"/>
  <c r="H30" i="14676" s="1"/>
  <c r="H31" i="14676" s="1"/>
  <c r="G26" i="14670"/>
  <c r="G27" i="14670" s="1"/>
  <c r="G29" i="14670" s="1"/>
  <c r="G31" i="14670" s="1"/>
  <c r="G37" i="14681"/>
  <c r="H38" i="14681" s="1"/>
  <c r="H40" i="14681" s="1"/>
  <c r="I23" i="14676" l="1"/>
  <c r="H33" i="14676"/>
  <c r="H52" i="14648" s="1"/>
  <c r="H53" i="14648" l="1"/>
  <c r="I58" i="14648" s="1"/>
  <c r="I57" i="14648"/>
  <c r="H35" i="14676"/>
  <c r="H54" i="14648" l="1"/>
  <c r="I59" i="14648" s="1"/>
  <c r="I64" i="14648" s="1"/>
  <c r="I100" i="14648"/>
  <c r="I102" i="14648" s="1"/>
  <c r="G66" i="14684"/>
  <c r="AQ78" i="14684" s="1"/>
  <c r="I16" i="14676" l="1"/>
  <c r="I25" i="14676" s="1"/>
  <c r="I30" i="14676" s="1"/>
  <c r="H37" i="14681"/>
  <c r="H26" i="14670"/>
  <c r="H25" i="14670"/>
  <c r="I10" i="14676"/>
  <c r="I11" i="14676" s="1"/>
  <c r="I29" i="14676" s="1"/>
  <c r="I31" i="14676" l="1"/>
  <c r="H27" i="14670"/>
  <c r="H29" i="14670" s="1"/>
  <c r="H31" i="14670" s="1"/>
  <c r="I33" i="14676"/>
  <c r="I52" i="14648" s="1"/>
  <c r="J57" i="14648" l="1"/>
  <c r="I53" i="14648"/>
  <c r="J58" i="14648" s="1"/>
  <c r="I35" i="14676"/>
  <c r="H66" i="14684" l="1"/>
  <c r="AR78" i="14684" s="1"/>
  <c r="J100" i="14648"/>
  <c r="J102" i="14648" s="1"/>
  <c r="I54" i="14648"/>
  <c r="J59" i="14648" s="1"/>
  <c r="J64" i="14648" s="1"/>
  <c r="J16" i="14676" l="1"/>
  <c r="J25" i="14676" s="1"/>
  <c r="J30" i="14676" s="1"/>
  <c r="I37" i="14681"/>
  <c r="I26" i="14670"/>
  <c r="I25" i="14670"/>
  <c r="J10" i="14676"/>
  <c r="J11" i="14676" s="1"/>
  <c r="J29" i="14676" s="1"/>
  <c r="I27" i="14670" l="1"/>
  <c r="I29" i="14670" s="1"/>
  <c r="I31" i="14670" s="1"/>
  <c r="J31" i="14676"/>
  <c r="J33" i="14676" s="1"/>
  <c r="J52" i="14648" s="1"/>
  <c r="K57" i="14648" l="1"/>
  <c r="J53" i="14648"/>
  <c r="K58" i="14648" s="1"/>
  <c r="J35" i="14676"/>
  <c r="K100" i="14648" l="1"/>
  <c r="K102" i="14648" s="1"/>
  <c r="I66" i="14684"/>
  <c r="AS78" i="14684" s="1"/>
  <c r="J54" i="14648"/>
  <c r="K59" i="14648" s="1"/>
  <c r="K64" i="14648" s="1"/>
  <c r="K16" i="14676" l="1"/>
  <c r="K25" i="14676" s="1"/>
  <c r="K30" i="14676" s="1"/>
  <c r="J37" i="14681"/>
  <c r="K38" i="14681" s="1"/>
  <c r="K40" i="14681" s="1"/>
  <c r="J26" i="14670"/>
  <c r="K10" i="14676"/>
  <c r="K11" i="14676" s="1"/>
  <c r="K29" i="14676" s="1"/>
  <c r="K31" i="14676" s="1"/>
  <c r="J25" i="14670"/>
  <c r="J27" i="14670" l="1"/>
  <c r="J29" i="14670" s="1"/>
  <c r="J31" i="14670" s="1"/>
  <c r="K33" i="14676"/>
  <c r="K52" i="14648" s="1"/>
  <c r="J19" i="14659"/>
  <c r="L23" i="14676" l="1"/>
  <c r="O19" i="14659"/>
  <c r="K35" i="14676"/>
  <c r="L57" i="14648"/>
  <c r="K53" i="14648"/>
  <c r="L58" i="14648" s="1"/>
  <c r="L100" i="14648" l="1"/>
  <c r="L102" i="14648" s="1"/>
  <c r="K54" i="14648"/>
  <c r="L59" i="14648" s="1"/>
  <c r="L64" i="14648" s="1"/>
  <c r="J66" i="14684"/>
  <c r="AT78" i="14684" s="1"/>
  <c r="K26" i="14670" l="1"/>
  <c r="L16" i="14676"/>
  <c r="L25" i="14676" s="1"/>
  <c r="L30" i="14676" s="1"/>
  <c r="K37" i="14681"/>
  <c r="L10" i="14676"/>
  <c r="L11" i="14676" s="1"/>
  <c r="L29" i="14676" s="1"/>
  <c r="K25" i="14670"/>
  <c r="K27" i="14670" s="1"/>
  <c r="K29" i="14670" s="1"/>
  <c r="K31" i="14670" s="1"/>
  <c r="L31" i="14676" l="1"/>
  <c r="L33" i="14676" s="1"/>
  <c r="L52" i="14648" s="1"/>
  <c r="L35" i="14676" l="1"/>
  <c r="L53" i="14648"/>
  <c r="M58" i="14648" s="1"/>
  <c r="M57" i="14648"/>
  <c r="M100" i="14648" l="1"/>
  <c r="M102" i="14648" s="1"/>
  <c r="L54" i="14648"/>
  <c r="M59" i="14648" s="1"/>
  <c r="M64" i="14648" s="1"/>
  <c r="K66" i="14684"/>
  <c r="AU78" i="14684" s="1"/>
  <c r="M16" i="14676" l="1"/>
  <c r="M25" i="14676" s="1"/>
  <c r="M30" i="14676" s="1"/>
  <c r="L37" i="14681"/>
  <c r="L26" i="14670"/>
  <c r="M10" i="14676"/>
  <c r="M11" i="14676" s="1"/>
  <c r="M29" i="14676" s="1"/>
  <c r="L25" i="14670"/>
  <c r="L27" i="14670" l="1"/>
  <c r="L29" i="14670" s="1"/>
  <c r="L31" i="14670" s="1"/>
  <c r="J20" i="14659" s="1"/>
  <c r="M31" i="14676"/>
  <c r="M33" i="14676" s="1"/>
  <c r="M52" i="14648" s="1"/>
  <c r="N23" i="14676" l="1"/>
  <c r="O23" i="14676" s="1"/>
  <c r="F20" i="14684" s="1"/>
  <c r="O20" i="14659"/>
  <c r="L20" i="14667"/>
  <c r="L8" i="14706"/>
  <c r="M35" i="14676"/>
  <c r="N57" i="14648"/>
  <c r="M53" i="14648"/>
  <c r="N58" i="14648" s="1"/>
  <c r="O58" i="14648" s="1"/>
  <c r="O57" i="14648" l="1"/>
  <c r="M54" i="14648"/>
  <c r="N59" i="14648" s="1"/>
  <c r="O59" i="14648" s="1"/>
  <c r="N100" i="14648"/>
  <c r="L66" i="14684"/>
  <c r="AV78" i="14684" s="1"/>
  <c r="N64" i="14648" l="1"/>
  <c r="O64" i="14648"/>
  <c r="N102" i="14648"/>
  <c r="O100" i="14648"/>
  <c r="O102" i="14648" s="1"/>
  <c r="N10" i="14676" l="1"/>
  <c r="M25" i="14670"/>
  <c r="N16" i="14676"/>
  <c r="M26" i="14670"/>
  <c r="N26" i="14670" s="1"/>
  <c r="M37" i="14681"/>
  <c r="N37" i="14681" s="1"/>
  <c r="N38" i="14681" s="1"/>
  <c r="N40" i="14681" s="1"/>
  <c r="C23" i="14677" l="1"/>
  <c r="B49" i="14681"/>
  <c r="F24" i="14657"/>
  <c r="F25" i="14657" s="1"/>
  <c r="M27" i="14670"/>
  <c r="N25" i="14670"/>
  <c r="J25" i="14617" s="1" a="1"/>
  <c r="N25" i="14676"/>
  <c r="N30" i="14676" s="1"/>
  <c r="O30" i="14676" s="1"/>
  <c r="O16" i="14676"/>
  <c r="N11" i="14676"/>
  <c r="O10" i="14676"/>
  <c r="F9" i="14684" s="1"/>
  <c r="F10" i="14684" s="1"/>
  <c r="N29" i="14676" l="1"/>
  <c r="O11" i="14676"/>
  <c r="J26" i="14617"/>
  <c r="J25" i="14617"/>
  <c r="F15" i="14684"/>
  <c r="F22" i="14684" s="1"/>
  <c r="F25" i="14684" s="1"/>
  <c r="O25" i="14676"/>
  <c r="M29" i="14670"/>
  <c r="N27" i="14670"/>
  <c r="N23" i="14657"/>
  <c r="G43" i="14710" l="1"/>
  <c r="L26" i="14617"/>
  <c r="N29" i="14670"/>
  <c r="J29" i="14617" s="1"/>
  <c r="J11" i="14659" s="1"/>
  <c r="M31" i="14670"/>
  <c r="O25" i="14617"/>
  <c r="J27" i="14617"/>
  <c r="K25" i="14617" s="1" a="1"/>
  <c r="N31" i="14676"/>
  <c r="O29" i="14676"/>
  <c r="O31" i="14676" s="1"/>
  <c r="J12" i="14659" l="1"/>
  <c r="K12" i="14659"/>
  <c r="O11" i="14659"/>
  <c r="K11" i="14659"/>
  <c r="K13" i="14659"/>
  <c r="N33" i="14676"/>
  <c r="N35" i="14676" s="1"/>
  <c r="K25" i="14617"/>
  <c r="K26" i="14617"/>
  <c r="K27" i="14617"/>
  <c r="G12" i="14643"/>
  <c r="F17" i="14657"/>
  <c r="F18" i="14657" s="1"/>
  <c r="F20" i="14657" s="1"/>
  <c r="E41" i="14649"/>
  <c r="F8" i="14696"/>
  <c r="F36" i="4128"/>
  <c r="L27" i="14617"/>
  <c r="C77" i="14649"/>
  <c r="J7" i="14659"/>
  <c r="K29" i="14617"/>
  <c r="J9" i="14659"/>
  <c r="L29" i="14617"/>
  <c r="J13" i="14659" l="1"/>
  <c r="O13" i="14659" s="1"/>
  <c r="J15" i="14659"/>
  <c r="J25" i="14659"/>
  <c r="O12" i="14659"/>
  <c r="L6" i="14706"/>
  <c r="B35" i="14677"/>
  <c r="N54" i="14648"/>
  <c r="O54" i="14648" s="1"/>
  <c r="F27" i="14684"/>
  <c r="C40" i="14676"/>
  <c r="M66" i="14684"/>
  <c r="AW78" i="14684" s="1"/>
  <c r="L22" i="14667"/>
  <c r="C41" i="14676"/>
  <c r="K9" i="14659"/>
  <c r="L9" i="14659"/>
  <c r="N20" i="14657"/>
  <c r="G27" i="14643"/>
  <c r="G18" i="14643"/>
  <c r="L39" i="14667"/>
  <c r="B33" i="14677"/>
  <c r="B67" i="14648" s="1"/>
  <c r="N52" i="14648"/>
  <c r="L31" i="14706"/>
  <c r="F33" i="14684"/>
  <c r="C39" i="14676"/>
  <c r="J32" i="14659" l="1"/>
  <c r="O25" i="14659"/>
  <c r="J31" i="14659"/>
  <c r="K25" i="14659"/>
  <c r="O15" i="14659"/>
  <c r="K15" i="14659"/>
  <c r="J23" i="14659"/>
  <c r="J24" i="14659"/>
  <c r="C72" i="14648"/>
  <c r="B68" i="14648"/>
  <c r="C73" i="14648" s="1"/>
  <c r="D41" i="14676"/>
  <c r="F30" i="14684" s="1"/>
  <c r="F29" i="14684"/>
  <c r="F37" i="4128"/>
  <c r="U62" i="4128" s="1"/>
  <c r="U63" i="4128" s="1"/>
  <c r="E44" i="14649"/>
  <c r="C86" i="14649"/>
  <c r="D39" i="14676"/>
  <c r="F35" i="14684" s="1"/>
  <c r="G27" i="14690"/>
  <c r="F34" i="14684"/>
  <c r="L20" i="14686" s="1"/>
  <c r="D86" i="14649"/>
  <c r="E86" i="14649" s="1"/>
  <c r="G32" i="14643"/>
  <c r="G35" i="14643" s="1"/>
  <c r="E29" i="14708"/>
  <c r="G28" i="14643"/>
  <c r="C105" i="14648"/>
  <c r="B69" i="14648"/>
  <c r="C74" i="14648" s="1"/>
  <c r="N53" i="14648"/>
  <c r="O53" i="14648" s="1"/>
  <c r="O52" i="14648"/>
  <c r="F27" i="4128" s="1"/>
  <c r="U13" i="14657"/>
  <c r="U8" i="14657"/>
  <c r="N29" i="14657"/>
  <c r="U10" i="14657"/>
  <c r="U12" i="14657"/>
  <c r="U15" i="14657"/>
  <c r="U9" i="14657"/>
  <c r="U14" i="14657"/>
  <c r="U11" i="14657"/>
  <c r="K24" i="14659" l="1"/>
  <c r="F8" i="4128"/>
  <c r="L24" i="14659"/>
  <c r="M52" i="14645"/>
  <c r="K23" i="14659"/>
  <c r="O23" i="14659"/>
  <c r="N8" i="14677"/>
  <c r="O31" i="14659"/>
  <c r="K31" i="14659"/>
  <c r="M103" i="14645"/>
  <c r="M106" i="14645" s="1"/>
  <c r="O32" i="14659"/>
  <c r="K32" i="14659"/>
  <c r="H103" i="14645"/>
  <c r="G32" i="14657"/>
  <c r="G33" i="14657" s="1"/>
  <c r="U16" i="14657"/>
  <c r="N22" i="14657" s="1"/>
  <c r="C107" i="14648"/>
  <c r="E59" i="14649"/>
  <c r="E30" i="14708"/>
  <c r="J31" i="14617"/>
  <c r="N25" i="14657"/>
  <c r="L30" i="14667"/>
  <c r="L40" i="14706"/>
  <c r="C79" i="14648"/>
  <c r="G53" i="14690"/>
  <c r="E48" i="14622"/>
  <c r="N27" i="14657"/>
  <c r="E39" i="14708" s="1"/>
  <c r="N52" i="14645" l="1"/>
  <c r="M54" i="14645"/>
  <c r="N54" i="14645" s="1"/>
  <c r="G37" i="14657"/>
  <c r="G39" i="14657" s="1"/>
  <c r="G40" i="14657" s="1"/>
  <c r="G36" i="14657"/>
  <c r="H106" i="14645"/>
  <c r="N106" i="14645" s="1"/>
  <c r="N103" i="14645"/>
  <c r="B26" i="14671"/>
  <c r="B46" i="14681"/>
  <c r="C16" i="14677"/>
  <c r="F7" i="14696"/>
  <c r="N28" i="14667"/>
  <c r="L26" i="14667"/>
  <c r="F41" i="4128"/>
  <c r="K31" i="14617"/>
  <c r="L31" i="14617"/>
  <c r="J33" i="14617"/>
  <c r="L39" i="14706"/>
  <c r="N42" i="14706"/>
  <c r="F84" i="14689"/>
  <c r="F86" i="14689" s="1"/>
  <c r="B25" i="14671"/>
  <c r="C10" i="14677"/>
  <c r="N26" i="14657"/>
  <c r="H23" i="14677"/>
  <c r="J8" i="14677"/>
  <c r="L28" i="14706"/>
  <c r="L42" i="14667"/>
  <c r="L19" i="14667"/>
  <c r="L9" i="14706"/>
  <c r="B27" i="14671" l="1"/>
  <c r="L44" i="14667"/>
  <c r="F59" i="14649"/>
  <c r="M50" i="14667"/>
  <c r="F4" i="4128"/>
  <c r="E49" i="14649" s="1"/>
  <c r="E37" i="14708" s="1"/>
  <c r="O8" i="14677"/>
  <c r="G7" i="14684" s="1"/>
  <c r="C11" i="14677"/>
  <c r="F14" i="14696"/>
  <c r="E41" i="14708"/>
  <c r="L5" i="14706"/>
  <c r="C25" i="14677"/>
  <c r="C30" i="14677" s="1"/>
  <c r="M51" i="14706"/>
  <c r="L45" i="14706"/>
  <c r="L26" i="14706"/>
  <c r="L13" i="14667"/>
  <c r="L37" i="14667"/>
  <c r="L46" i="14667" s="1"/>
  <c r="F26" i="4128"/>
  <c r="G9" i="14710"/>
  <c r="L18" i="14686"/>
  <c r="K33" i="14617"/>
  <c r="G10" i="14710"/>
  <c r="E43" i="14649"/>
  <c r="D59" i="14649" s="1"/>
  <c r="L33" i="14617"/>
  <c r="M38" i="14667" l="1"/>
  <c r="M40" i="14667"/>
  <c r="M29" i="14667"/>
  <c r="M32" i="14667"/>
  <c r="M35" i="14667"/>
  <c r="M27" i="14667"/>
  <c r="M33" i="14667"/>
  <c r="M41" i="14667"/>
  <c r="M43" i="14667"/>
  <c r="M34" i="14667"/>
  <c r="M28" i="14667"/>
  <c r="M39" i="14667"/>
  <c r="M30" i="14667"/>
  <c r="M42" i="14667"/>
  <c r="G42" i="14710"/>
  <c r="M26" i="14667"/>
  <c r="L24" i="14667"/>
  <c r="L53" i="14667" s="1"/>
  <c r="F15" i="4128"/>
  <c r="G6" i="14710"/>
  <c r="F31" i="4128"/>
  <c r="L24" i="14706"/>
  <c r="M5" i="14706" s="1"/>
  <c r="L46" i="14706"/>
  <c r="G7" i="14710"/>
  <c r="F16" i="14696"/>
  <c r="E42" i="14708"/>
  <c r="E43" i="14708" s="1"/>
  <c r="L14" i="14696"/>
  <c r="F10" i="4128"/>
  <c r="L49" i="14706"/>
  <c r="C29" i="14677"/>
  <c r="L48" i="14667"/>
  <c r="M44" i="14667"/>
  <c r="F22" i="4128"/>
  <c r="L45" i="14667"/>
  <c r="F19" i="4128"/>
  <c r="F18" i="4128"/>
  <c r="M37" i="14667"/>
  <c r="G45" i="14710"/>
  <c r="L47" i="14706"/>
  <c r="M26" i="14706" s="1"/>
  <c r="B29" i="14671"/>
  <c r="M49" i="14706" l="1"/>
  <c r="M45" i="14706"/>
  <c r="G21" i="14710"/>
  <c r="M13" i="14667"/>
  <c r="G41" i="14710"/>
  <c r="G47" i="14710" s="1"/>
  <c r="G49" i="14710" s="1"/>
  <c r="C95" i="14649"/>
  <c r="G84" i="14690"/>
  <c r="M21" i="14667"/>
  <c r="M18" i="14667"/>
  <c r="F14" i="4128"/>
  <c r="M14" i="14667"/>
  <c r="G22" i="14710"/>
  <c r="M11" i="14667"/>
  <c r="M15" i="14667"/>
  <c r="M9" i="14667"/>
  <c r="G25" i="14710"/>
  <c r="M7" i="14667"/>
  <c r="M16" i="14667"/>
  <c r="M6" i="14667"/>
  <c r="M17" i="14667"/>
  <c r="M8" i="14667"/>
  <c r="M5" i="14667"/>
  <c r="G23" i="14710"/>
  <c r="M20" i="14667"/>
  <c r="F6" i="4128"/>
  <c r="E50" i="14649" s="1"/>
  <c r="E38" i="14708" s="1"/>
  <c r="F21" i="4128"/>
  <c r="F25" i="4128"/>
  <c r="M22" i="14667"/>
  <c r="M19" i="14667"/>
  <c r="G8" i="14710"/>
  <c r="M14" i="14696"/>
  <c r="M45" i="14667"/>
  <c r="F20" i="4128"/>
  <c r="F42" i="4128"/>
  <c r="F43" i="4128"/>
  <c r="D95" i="14649"/>
  <c r="M48" i="14667"/>
  <c r="M46" i="14667"/>
  <c r="M46" i="14706"/>
  <c r="B31" i="14671"/>
  <c r="C31" i="14677"/>
  <c r="M7" i="14706"/>
  <c r="M11" i="14706"/>
  <c r="M17" i="14706"/>
  <c r="M12" i="14706"/>
  <c r="M22" i="14706"/>
  <c r="M20" i="14706"/>
  <c r="M19" i="14706"/>
  <c r="M14" i="14706"/>
  <c r="M10" i="14706"/>
  <c r="M13" i="14706"/>
  <c r="M18" i="14706"/>
  <c r="M16" i="14706"/>
  <c r="M24" i="14706" s="1"/>
  <c r="M8" i="14706"/>
  <c r="M6" i="14706"/>
  <c r="M9" i="14706"/>
  <c r="M37" i="14706"/>
  <c r="M35" i="14706"/>
  <c r="M30" i="14706"/>
  <c r="M41" i="14706"/>
  <c r="M36" i="14706"/>
  <c r="M34" i="14706"/>
  <c r="M27" i="14706"/>
  <c r="M43" i="14706"/>
  <c r="L54" i="14706"/>
  <c r="M32" i="14706"/>
  <c r="M29" i="14706"/>
  <c r="M42" i="14706"/>
  <c r="M31" i="14706"/>
  <c r="M40" i="14706"/>
  <c r="M39" i="14706"/>
  <c r="M28" i="14706"/>
  <c r="M24" i="14667" l="1"/>
  <c r="G28" i="14710"/>
  <c r="G30" i="14710" s="1"/>
  <c r="M47" i="14706"/>
  <c r="C33" i="14677"/>
  <c r="C35" i="14677" s="1"/>
  <c r="C69" i="14648" l="1"/>
  <c r="D105" i="14648"/>
  <c r="B67" i="14684"/>
  <c r="AX78" i="14684" s="1"/>
  <c r="C67" i="14648"/>
  <c r="D107" i="14648" l="1"/>
  <c r="D72" i="14648"/>
  <c r="C68" i="14648"/>
  <c r="D74" i="14648"/>
  <c r="D73" i="14648" l="1"/>
  <c r="D79" i="14648" s="1"/>
  <c r="C25" i="14671"/>
  <c r="D10" i="14677"/>
  <c r="C46" i="14681" l="1"/>
  <c r="C26" i="14671"/>
  <c r="C27" i="14671" s="1"/>
  <c r="D16" i="14677"/>
  <c r="D11" i="14677"/>
  <c r="C29" i="14671" l="1"/>
  <c r="D29" i="14677"/>
  <c r="D25" i="14677"/>
  <c r="D30" i="14677" s="1"/>
  <c r="D31" i="14677" l="1"/>
  <c r="C31" i="14671"/>
  <c r="D33" i="14677" l="1"/>
  <c r="D67" i="14648" l="1"/>
  <c r="D35" i="14677"/>
  <c r="C67" i="14684" l="1"/>
  <c r="AY78" i="14684" s="1"/>
  <c r="E105" i="14648"/>
  <c r="D69" i="14648"/>
  <c r="E72" i="14648"/>
  <c r="D68" i="14648"/>
  <c r="E74" i="14648" l="1"/>
  <c r="E107" i="14648"/>
  <c r="E73" i="14648"/>
  <c r="E79" i="14648" l="1"/>
  <c r="E16" i="14677"/>
  <c r="D26" i="14671"/>
  <c r="D46" i="14681"/>
  <c r="D25" i="14671"/>
  <c r="E10" i="14677"/>
  <c r="E11" i="14677" l="1"/>
  <c r="D27" i="14671"/>
  <c r="E47" i="14681"/>
  <c r="E49" i="14681" s="1"/>
  <c r="E25" i="14677"/>
  <c r="E30" i="14677" s="1"/>
  <c r="D29" i="14671" l="1"/>
  <c r="E29" i="14677"/>
  <c r="D31" i="14671" l="1"/>
  <c r="E31" i="14677"/>
  <c r="E33" i="14677" l="1"/>
  <c r="M18" i="14659"/>
  <c r="E67" i="14648" l="1"/>
  <c r="F23" i="14677"/>
  <c r="E35" i="14677"/>
  <c r="F105" i="14648" l="1"/>
  <c r="E69" i="14648"/>
  <c r="D67" i="14684"/>
  <c r="AZ78" i="14684" s="1"/>
  <c r="F72" i="14648"/>
  <c r="E68" i="14648"/>
  <c r="F74" i="14648" l="1"/>
  <c r="F73" i="14648"/>
  <c r="F107" i="14648"/>
  <c r="F79" i="14648" l="1"/>
  <c r="E26" i="14671"/>
  <c r="E46" i="14681"/>
  <c r="F16" i="14677"/>
  <c r="F10" i="14677"/>
  <c r="E25" i="14671"/>
  <c r="E27" i="14671" l="1"/>
  <c r="F11" i="14677"/>
  <c r="F25" i="14677"/>
  <c r="F30" i="14677" s="1"/>
  <c r="F29" i="14677" l="1"/>
  <c r="E29" i="14671"/>
  <c r="E31" i="14671" l="1"/>
  <c r="F31" i="14677"/>
  <c r="F33" i="14677" l="1"/>
  <c r="F35" i="14677" s="1"/>
  <c r="G105" i="14648" l="1"/>
  <c r="E67" i="14684"/>
  <c r="BA78" i="14684" s="1"/>
  <c r="F69" i="14648"/>
  <c r="F67" i="14648"/>
  <c r="F68" i="14648" l="1"/>
  <c r="G72" i="14648"/>
  <c r="G107" i="14648"/>
  <c r="G74" i="14648"/>
  <c r="G10" i="14677" l="1"/>
  <c r="F25" i="14671"/>
  <c r="G73" i="14648"/>
  <c r="G79" i="14648" s="1"/>
  <c r="F26" i="14671" l="1"/>
  <c r="F27" i="14671" s="1"/>
  <c r="G16" i="14677"/>
  <c r="F46" i="14681"/>
  <c r="G11" i="14677"/>
  <c r="F29" i="14671" l="1"/>
  <c r="G29" i="14677"/>
  <c r="G25" i="14677"/>
  <c r="G30" i="14677" s="1"/>
  <c r="G31" i="14677" l="1"/>
  <c r="F31" i="14671"/>
  <c r="G33" i="14677" l="1"/>
  <c r="G35" i="14677" s="1"/>
  <c r="G69" i="14648" l="1"/>
  <c r="F67" i="14684"/>
  <c r="BB78" i="14684" s="1"/>
  <c r="H105" i="14648"/>
  <c r="H107" i="14648" s="1"/>
  <c r="G67" i="14648"/>
  <c r="G25" i="14671" l="1"/>
  <c r="H10" i="14677"/>
  <c r="H11" i="14677" s="1"/>
  <c r="H29" i="14677" s="1"/>
  <c r="H74" i="14648"/>
  <c r="H72" i="14648"/>
  <c r="G68" i="14648"/>
  <c r="H73" i="14648" l="1"/>
  <c r="H79" i="14648" s="1"/>
  <c r="H16" i="14677" l="1"/>
  <c r="H25" i="14677" s="1"/>
  <c r="H30" i="14677" s="1"/>
  <c r="H31" i="14677" s="1"/>
  <c r="G26" i="14671"/>
  <c r="G27" i="14671" s="1"/>
  <c r="G29" i="14671" s="1"/>
  <c r="G31" i="14671" s="1"/>
  <c r="G46" i="14681"/>
  <c r="H47" i="14681" s="1"/>
  <c r="H49" i="14681" s="1"/>
  <c r="I23" i="14677" l="1"/>
  <c r="H33" i="14677"/>
  <c r="H67" i="14648" s="1"/>
  <c r="I72" i="14648" l="1"/>
  <c r="H68" i="14648"/>
  <c r="I73" i="14648" s="1"/>
  <c r="H35" i="14677"/>
  <c r="I105" i="14648" l="1"/>
  <c r="I107" i="14648" s="1"/>
  <c r="G67" i="14684"/>
  <c r="BC78" i="14684" s="1"/>
  <c r="H69" i="14648"/>
  <c r="I74" i="14648" s="1"/>
  <c r="I79" i="14648" s="1"/>
  <c r="H46" i="14681" l="1"/>
  <c r="I16" i="14677"/>
  <c r="I25" i="14677" s="1"/>
  <c r="I30" i="14677" s="1"/>
  <c r="H26" i="14671"/>
  <c r="I10" i="14677"/>
  <c r="I11" i="14677" s="1"/>
  <c r="I29" i="14677" s="1"/>
  <c r="H25" i="14671"/>
  <c r="I31" i="14677" l="1"/>
  <c r="I33" i="14677" s="1"/>
  <c r="I67" i="14648" s="1"/>
  <c r="H27" i="14671"/>
  <c r="H29" i="14671" s="1"/>
  <c r="H31" i="14671" s="1"/>
  <c r="I68" i="14648" l="1"/>
  <c r="J73" i="14648" s="1"/>
  <c r="J72" i="14648"/>
  <c r="I35" i="14677"/>
  <c r="J105" i="14648" l="1"/>
  <c r="J107" i="14648" s="1"/>
  <c r="I69" i="14648"/>
  <c r="J74" i="14648" s="1"/>
  <c r="J79" i="14648" s="1"/>
  <c r="H67" i="14684"/>
  <c r="BD78" i="14684" s="1"/>
  <c r="I46" i="14681" l="1"/>
  <c r="I26" i="14671"/>
  <c r="J16" i="14677"/>
  <c r="J25" i="14677" s="1"/>
  <c r="J30" i="14677" s="1"/>
  <c r="I25" i="14671"/>
  <c r="I27" i="14671" s="1"/>
  <c r="I29" i="14671" s="1"/>
  <c r="I31" i="14671" s="1"/>
  <c r="J10" i="14677"/>
  <c r="J11" i="14677" s="1"/>
  <c r="J29" i="14677" s="1"/>
  <c r="J31" i="14677" l="1"/>
  <c r="J33" i="14677" s="1"/>
  <c r="J67" i="14648" s="1"/>
  <c r="K72" i="14648" l="1"/>
  <c r="J68" i="14648"/>
  <c r="K73" i="14648" s="1"/>
  <c r="J35" i="14677"/>
  <c r="J69" i="14648" l="1"/>
  <c r="K74" i="14648" s="1"/>
  <c r="K79" i="14648" s="1"/>
  <c r="K105" i="14648"/>
  <c r="K107" i="14648" s="1"/>
  <c r="I67" i="14684"/>
  <c r="BE78" i="14684" s="1"/>
  <c r="J26" i="14671" l="1"/>
  <c r="J46" i="14681"/>
  <c r="K47" i="14681" s="1"/>
  <c r="K49" i="14681" s="1"/>
  <c r="K16" i="14677"/>
  <c r="K25" i="14677" s="1"/>
  <c r="K30" i="14677" s="1"/>
  <c r="K10" i="14677"/>
  <c r="K11" i="14677" s="1"/>
  <c r="K29" i="14677" s="1"/>
  <c r="J25" i="14671"/>
  <c r="J27" i="14671" l="1"/>
  <c r="J29" i="14671" s="1"/>
  <c r="J31" i="14671" s="1"/>
  <c r="M19" i="14659" s="1"/>
  <c r="K31" i="14677"/>
  <c r="K33" i="14677" s="1"/>
  <c r="K67" i="14648" s="1"/>
  <c r="K35" i="14677" l="1"/>
  <c r="K68" i="14648"/>
  <c r="L73" i="14648" s="1"/>
  <c r="L72" i="14648"/>
  <c r="L23" i="14677"/>
  <c r="L105" i="14648" l="1"/>
  <c r="L107" i="14648" s="1"/>
  <c r="J67" i="14684"/>
  <c r="BF78" i="14684" s="1"/>
  <c r="K69" i="14648"/>
  <c r="L74" i="14648" s="1"/>
  <c r="L79" i="14648" s="1"/>
  <c r="L16" i="14677" l="1"/>
  <c r="L25" i="14677" s="1"/>
  <c r="L30" i="14677" s="1"/>
  <c r="K26" i="14671"/>
  <c r="K46" i="14681"/>
  <c r="L10" i="14677"/>
  <c r="L11" i="14677" s="1"/>
  <c r="L29" i="14677" s="1"/>
  <c r="K25" i="14671"/>
  <c r="K27" i="14671" l="1"/>
  <c r="K29" i="14671" s="1"/>
  <c r="K31" i="14671" s="1"/>
  <c r="L31" i="14677"/>
  <c r="L33" i="14677" s="1"/>
  <c r="L67" i="14648" s="1"/>
  <c r="L35" i="14677" l="1"/>
  <c r="L68" i="14648"/>
  <c r="M73" i="14648" s="1"/>
  <c r="M72" i="14648"/>
  <c r="M105" i="14648" l="1"/>
  <c r="M107" i="14648" s="1"/>
  <c r="K67" i="14684"/>
  <c r="BG78" i="14684" s="1"/>
  <c r="L69" i="14648"/>
  <c r="M74" i="14648" s="1"/>
  <c r="M79" i="14648" s="1"/>
  <c r="M16" i="14677" l="1"/>
  <c r="M25" i="14677" s="1"/>
  <c r="M30" i="14677" s="1"/>
  <c r="L26" i="14671"/>
  <c r="L46" i="14681"/>
  <c r="M10" i="14677"/>
  <c r="M11" i="14677" s="1"/>
  <c r="M29" i="14677" s="1"/>
  <c r="L25" i="14671"/>
  <c r="M31" i="14677" l="1"/>
  <c r="L27" i="14671"/>
  <c r="L29" i="14671" s="1"/>
  <c r="L31" i="14671" s="1"/>
  <c r="M20" i="14659" s="1"/>
  <c r="M33" i="14677"/>
  <c r="M67" i="14648" s="1"/>
  <c r="N23" i="14677" l="1"/>
  <c r="O23" i="14677" s="1"/>
  <c r="G20" i="14684" s="1"/>
  <c r="N8" i="14706"/>
  <c r="N20" i="14667"/>
  <c r="M35" i="14677"/>
  <c r="N72" i="14648"/>
  <c r="M68" i="14648"/>
  <c r="N73" i="14648" s="1"/>
  <c r="O73" i="14648" s="1"/>
  <c r="N105" i="14648" l="1"/>
  <c r="M69" i="14648"/>
  <c r="N74" i="14648" s="1"/>
  <c r="O74" i="14648" s="1"/>
  <c r="L67" i="14684"/>
  <c r="BH78" i="14684" s="1"/>
  <c r="O72" i="14648"/>
  <c r="O79" i="14648" l="1"/>
  <c r="N79" i="14648"/>
  <c r="M26" i="14671" s="1"/>
  <c r="N26" i="14671" s="1"/>
  <c r="N16" i="14677"/>
  <c r="M46" i="14681"/>
  <c r="N46" i="14681" s="1"/>
  <c r="N47" i="14681" s="1"/>
  <c r="N49" i="14681" s="1"/>
  <c r="N107" i="14648"/>
  <c r="O105" i="14648"/>
  <c r="O107" i="14648" s="1"/>
  <c r="M25" i="14671" l="1"/>
  <c r="N10" i="14677"/>
  <c r="N25" i="14677"/>
  <c r="N30" i="14677" s="1"/>
  <c r="O30" i="14677" s="1"/>
  <c r="O16" i="14677"/>
  <c r="G24" i="14657"/>
  <c r="G25" i="14657" s="1"/>
  <c r="N11" i="14677" l="1"/>
  <c r="O10" i="14677"/>
  <c r="G9" i="14684" s="1"/>
  <c r="G10" i="14684" s="1"/>
  <c r="O23" i="14657"/>
  <c r="G15" i="14684"/>
  <c r="G22" i="14684" s="1"/>
  <c r="O25" i="14677"/>
  <c r="M27" i="14671"/>
  <c r="N25" i="14671"/>
  <c r="M25" i="14617" s="1" a="1"/>
  <c r="M26" i="14617" l="1"/>
  <c r="M25" i="14617"/>
  <c r="G25" i="14684"/>
  <c r="M29" i="14671"/>
  <c r="N27" i="14671"/>
  <c r="N29" i="14677"/>
  <c r="O11" i="14677"/>
  <c r="N29" i="14671" l="1"/>
  <c r="M29" i="14617" s="1"/>
  <c r="M11" i="14659" s="1"/>
  <c r="M31" i="14671"/>
  <c r="M27" i="14617"/>
  <c r="N25" i="14617" s="1" a="1"/>
  <c r="N31" i="14677"/>
  <c r="O29" i="14677"/>
  <c r="O31" i="14677" s="1"/>
  <c r="H43" i="14710"/>
  <c r="O26" i="14617"/>
  <c r="N13" i="14659" l="1"/>
  <c r="N11" i="14659"/>
  <c r="N12" i="14659"/>
  <c r="M12" i="14659"/>
  <c r="M13" i="14659" s="1"/>
  <c r="M15" i="14659" s="1"/>
  <c r="N33" i="14677"/>
  <c r="H12" i="14643"/>
  <c r="G17" i="14657"/>
  <c r="G18" i="14657" s="1"/>
  <c r="G20" i="14657" s="1"/>
  <c r="O20" i="14657" s="1"/>
  <c r="G8" i="14696"/>
  <c r="F41" i="14649"/>
  <c r="G36" i="4128"/>
  <c r="O27" i="14617"/>
  <c r="N27" i="14617"/>
  <c r="N25" i="14617"/>
  <c r="N26" i="14617"/>
  <c r="M7" i="14659"/>
  <c r="C78" i="14649"/>
  <c r="N29" i="14617"/>
  <c r="M9" i="14659"/>
  <c r="O29" i="14617"/>
  <c r="N15" i="14659" l="1"/>
  <c r="M23" i="14659"/>
  <c r="N23" i="14659" s="1"/>
  <c r="M24" i="14659"/>
  <c r="D60" i="4128" s="1"/>
  <c r="M25" i="14659"/>
  <c r="N9" i="14659"/>
  <c r="O9" i="14659"/>
  <c r="V8" i="14657"/>
  <c r="V9" i="14657"/>
  <c r="V14" i="14657"/>
  <c r="V10" i="14657"/>
  <c r="V11" i="14657"/>
  <c r="V13" i="14657"/>
  <c r="V12" i="14657"/>
  <c r="V15" i="14657"/>
  <c r="O29" i="14657"/>
  <c r="H27" i="14643"/>
  <c r="H18" i="14643"/>
  <c r="N39" i="14667"/>
  <c r="N67" i="14648"/>
  <c r="N31" i="14706"/>
  <c r="G33" i="14684"/>
  <c r="N24" i="14659"/>
  <c r="G8" i="4128"/>
  <c r="N35" i="14677"/>
  <c r="C39" i="14677" s="1"/>
  <c r="O24" i="14659" l="1"/>
  <c r="C60" i="4128"/>
  <c r="B28" i="14649" s="1"/>
  <c r="N25" i="14659"/>
  <c r="M31" i="14659"/>
  <c r="N31" i="14659" s="1"/>
  <c r="M32" i="14659"/>
  <c r="N32" i="14659" s="1"/>
  <c r="H27" i="14690"/>
  <c r="C87" i="14649"/>
  <c r="D87" i="14649"/>
  <c r="E87" i="14649" s="1"/>
  <c r="G34" i="14684"/>
  <c r="M20" i="14686" s="1"/>
  <c r="D39" i="14677"/>
  <c r="G35" i="14684" s="1"/>
  <c r="N68" i="14648"/>
  <c r="O68" i="14648" s="1"/>
  <c r="O67" i="14648"/>
  <c r="V16" i="14657"/>
  <c r="O22" i="14657" s="1"/>
  <c r="C40" i="14677"/>
  <c r="N6" i="14706"/>
  <c r="G27" i="14684"/>
  <c r="M67" i="14684"/>
  <c r="BI78" i="14684" s="1"/>
  <c r="N69" i="14648"/>
  <c r="O69" i="14648" s="1"/>
  <c r="N22" i="14667"/>
  <c r="C41" i="14677"/>
  <c r="F29" i="14708"/>
  <c r="H32" i="14643"/>
  <c r="H35" i="14643" s="1"/>
  <c r="I35" i="14643" s="1"/>
  <c r="H28" i="14643"/>
  <c r="G27" i="4128" l="1"/>
  <c r="O25" i="14657"/>
  <c r="M31" i="14617"/>
  <c r="N30" i="14667"/>
  <c r="N40" i="14706"/>
  <c r="O27" i="14657"/>
  <c r="F39" i="14708" s="1"/>
  <c r="D41" i="14677"/>
  <c r="G30" i="14684" s="1"/>
  <c r="G29" i="14684"/>
  <c r="G37" i="4128"/>
  <c r="V62" i="4128" s="1"/>
  <c r="F44" i="14649"/>
  <c r="F48" i="14622"/>
  <c r="H53" i="14690"/>
  <c r="I27" i="14690"/>
  <c r="I53" i="14690" s="1"/>
  <c r="E60" i="14649" l="1"/>
  <c r="F30" i="14708"/>
  <c r="N39" i="14706"/>
  <c r="G7" i="14696"/>
  <c r="G41" i="4128"/>
  <c r="N26" i="14667"/>
  <c r="W62" i="4128"/>
  <c r="V63" i="4128"/>
  <c r="N31" i="14617"/>
  <c r="O31" i="14617"/>
  <c r="M33" i="14617"/>
  <c r="O26" i="14657"/>
  <c r="N28" i="14706"/>
  <c r="N42" i="14667"/>
  <c r="N9" i="14706"/>
  <c r="N19" i="14667"/>
  <c r="G84" i="14689"/>
  <c r="G86" i="14689" s="1"/>
  <c r="G48" i="14622"/>
  <c r="N44" i="14667" l="1"/>
  <c r="F60" i="14649"/>
  <c r="O50" i="14667"/>
  <c r="G4" i="4128"/>
  <c r="F49" i="14649" s="1"/>
  <c r="F37" i="14708" s="1"/>
  <c r="N13" i="14667"/>
  <c r="G14" i="14696"/>
  <c r="F41" i="14708"/>
  <c r="N37" i="14667"/>
  <c r="N46" i="14667" s="1"/>
  <c r="O51" i="14706"/>
  <c r="N45" i="14706"/>
  <c r="B53" i="14708"/>
  <c r="M18" i="14686"/>
  <c r="N33" i="14617"/>
  <c r="H9" i="14710"/>
  <c r="H10" i="14710"/>
  <c r="G26" i="4128"/>
  <c r="F43" i="14649"/>
  <c r="D60" i="14649" s="1"/>
  <c r="O33" i="14617"/>
  <c r="X62" i="4128"/>
  <c r="W63" i="4128"/>
  <c r="N5" i="14706"/>
  <c r="N26" i="14706"/>
  <c r="H7" i="14710" l="1"/>
  <c r="O38" i="14667"/>
  <c r="O29" i="14667"/>
  <c r="O27" i="14667"/>
  <c r="O43" i="14667"/>
  <c r="O41" i="14667"/>
  <c r="O33" i="14667"/>
  <c r="O34" i="14667"/>
  <c r="N53" i="14667"/>
  <c r="O40" i="14667"/>
  <c r="O35" i="14667"/>
  <c r="O32" i="14667"/>
  <c r="O28" i="14667"/>
  <c r="O39" i="14667"/>
  <c r="O30" i="14667"/>
  <c r="O42" i="14667"/>
  <c r="H42" i="14710"/>
  <c r="O26" i="14667"/>
  <c r="L15" i="14696"/>
  <c r="F42" i="14708"/>
  <c r="F43" i="14708" s="1"/>
  <c r="G16" i="14696"/>
  <c r="G19" i="14696" s="1"/>
  <c r="G30" i="14696"/>
  <c r="B55" i="14708" s="1"/>
  <c r="G29" i="14696"/>
  <c r="N24" i="14706"/>
  <c r="O5" i="14706" s="1"/>
  <c r="H6" i="14710"/>
  <c r="N24" i="14667"/>
  <c r="H21" i="14710" s="1"/>
  <c r="G15" i="4128"/>
  <c r="G31" i="4128"/>
  <c r="B52" i="14708"/>
  <c r="B51" i="14708" s="1"/>
  <c r="N46" i="14706"/>
  <c r="Y62" i="4128"/>
  <c r="X63" i="4128"/>
  <c r="N47" i="14706"/>
  <c r="O26" i="14706" s="1"/>
  <c r="G10" i="4128"/>
  <c r="N49" i="14706"/>
  <c r="O37" i="14667"/>
  <c r="G19" i="4128"/>
  <c r="N45" i="14667"/>
  <c r="G18" i="4128"/>
  <c r="H45" i="14710"/>
  <c r="N48" i="14667"/>
  <c r="G22" i="4128"/>
  <c r="O44" i="14667"/>
  <c r="O13" i="14667" l="1"/>
  <c r="O45" i="14706"/>
  <c r="O46" i="14706"/>
  <c r="C96" i="14649"/>
  <c r="H84" i="14690"/>
  <c r="I84" i="14690" s="1"/>
  <c r="Z62" i="4128"/>
  <c r="Y63" i="4128"/>
  <c r="L16" i="14696"/>
  <c r="M15" i="14696"/>
  <c r="O11" i="14696" s="1"/>
  <c r="O46" i="14667"/>
  <c r="D96" i="14649"/>
  <c r="O48" i="14667"/>
  <c r="B30" i="14649"/>
  <c r="B57" i="14708"/>
  <c r="O49" i="14706"/>
  <c r="O45" i="14667"/>
  <c r="G20" i="4128"/>
  <c r="G42" i="4128"/>
  <c r="G43" i="4128"/>
  <c r="O17" i="14706"/>
  <c r="O18" i="14706"/>
  <c r="O13" i="14706"/>
  <c r="O20" i="14706"/>
  <c r="O12" i="14706"/>
  <c r="O16" i="14706"/>
  <c r="O24" i="14706" s="1"/>
  <c r="O7" i="14706"/>
  <c r="O10" i="14706"/>
  <c r="O22" i="14706"/>
  <c r="O14" i="14706"/>
  <c r="O19" i="14706"/>
  <c r="O11" i="14706"/>
  <c r="O8" i="14706"/>
  <c r="O6" i="14706"/>
  <c r="O9" i="14706"/>
  <c r="G31" i="14696"/>
  <c r="B50" i="14708"/>
  <c r="B54" i="14708"/>
  <c r="O15" i="14667"/>
  <c r="O6" i="14667"/>
  <c r="O8" i="14667"/>
  <c r="O14" i="14667"/>
  <c r="O7" i="14667"/>
  <c r="O17" i="14667"/>
  <c r="O16" i="14667"/>
  <c r="O21" i="14667"/>
  <c r="H25" i="14710"/>
  <c r="G14" i="4128"/>
  <c r="O5" i="14667"/>
  <c r="H22" i="14710"/>
  <c r="O9" i="14667"/>
  <c r="O11" i="14667"/>
  <c r="O18" i="14667"/>
  <c r="H23" i="14710"/>
  <c r="O20" i="14667"/>
  <c r="G21" i="4128"/>
  <c r="G6" i="4128"/>
  <c r="F50" i="14649" s="1"/>
  <c r="F38" i="14708" s="1"/>
  <c r="G25" i="4128"/>
  <c r="O22" i="14667"/>
  <c r="H8" i="14710"/>
  <c r="O19" i="14667"/>
  <c r="O36" i="14706"/>
  <c r="O37" i="14706"/>
  <c r="O27" i="14706"/>
  <c r="O34" i="14706"/>
  <c r="O29" i="14706"/>
  <c r="O41" i="14706"/>
  <c r="N54" i="14706"/>
  <c r="O43" i="14706"/>
  <c r="O35" i="14706"/>
  <c r="O32" i="14706"/>
  <c r="O30" i="14706"/>
  <c r="O42" i="14706"/>
  <c r="O31" i="14706"/>
  <c r="O40" i="14706"/>
  <c r="O39" i="14706"/>
  <c r="O28" i="14706"/>
  <c r="H41" i="14710"/>
  <c r="H47" i="14710" s="1"/>
  <c r="H49" i="14710" s="1"/>
  <c r="O24" i="14667" l="1"/>
  <c r="G25" i="14696"/>
  <c r="E91" i="14649" a="1"/>
  <c r="H28" i="14710"/>
  <c r="H30" i="14710" s="1"/>
  <c r="B31" i="14649"/>
  <c r="G32" i="14696"/>
  <c r="M16" i="14696"/>
  <c r="L17" i="14696"/>
  <c r="AA62" i="4128"/>
  <c r="Z63" i="4128"/>
  <c r="O47" i="14706"/>
  <c r="E91" i="14649" l="1"/>
  <c r="E92" i="14649"/>
  <c r="E93" i="14649"/>
  <c r="E94" i="14649"/>
  <c r="E95" i="14649"/>
  <c r="E96" i="14649"/>
  <c r="AA63" i="4128"/>
  <c r="AB62" i="4128"/>
  <c r="M17" i="14696"/>
  <c r="L18" i="14696"/>
  <c r="AB63" i="4128" l="1"/>
  <c r="AC62" i="4128"/>
  <c r="M18" i="14696"/>
  <c r="L19" i="14696"/>
  <c r="AD62" i="4128" l="1"/>
  <c r="AC63" i="4128"/>
  <c r="L20" i="14696"/>
  <c r="M19" i="14696"/>
  <c r="L21" i="14696" l="1"/>
  <c r="M20" i="14696"/>
  <c r="AE62" i="4128"/>
  <c r="AD63" i="4128"/>
  <c r="AE63" i="4128" l="1"/>
  <c r="AF62" i="4128"/>
  <c r="M21" i="14696"/>
  <c r="L22" i="14696"/>
  <c r="AG62" i="4128" l="1"/>
  <c r="AF63" i="4128"/>
  <c r="L23" i="14696"/>
  <c r="M22" i="14696"/>
  <c r="M23" i="14696" l="1"/>
  <c r="L24" i="14696"/>
  <c r="AH62" i="4128"/>
  <c r="AG63" i="4128"/>
  <c r="M24" i="14696" l="1"/>
  <c r="L25" i="14696"/>
  <c r="AH63" i="4128"/>
  <c r="AI62" i="4128"/>
  <c r="AJ62" i="4128" l="1"/>
  <c r="AI63" i="4128"/>
  <c r="M25" i="14696"/>
  <c r="L26" i="14696"/>
  <c r="L27" i="14696" l="1"/>
  <c r="M26" i="14696"/>
  <c r="AK62" i="4128"/>
  <c r="AJ63" i="4128"/>
  <c r="AK63" i="4128" l="1"/>
  <c r="AL62" i="4128"/>
  <c r="L28" i="14696"/>
  <c r="M27" i="14696"/>
  <c r="AL63" i="4128" l="1"/>
  <c r="AM62" i="4128"/>
  <c r="M28" i="14696"/>
  <c r="L29" i="14696"/>
  <c r="L30" i="14696" l="1"/>
  <c r="M29" i="14696"/>
  <c r="AN62" i="4128"/>
  <c r="AM63" i="4128"/>
  <c r="AN63" i="4128" l="1"/>
  <c r="AO62" i="4128"/>
  <c r="L31" i="14696"/>
  <c r="M30" i="14696"/>
  <c r="L32" i="14696" l="1"/>
  <c r="M31" i="14696"/>
  <c r="AO63" i="4128"/>
  <c r="AP62" i="4128"/>
  <c r="AQ62" i="4128" l="1"/>
  <c r="AP63" i="4128"/>
  <c r="L33" i="14696"/>
  <c r="M32" i="14696"/>
  <c r="M33" i="14696" l="1"/>
  <c r="L34" i="14696"/>
  <c r="AR62" i="4128"/>
  <c r="AQ63" i="4128"/>
  <c r="L35" i="14696" l="1"/>
  <c r="M34" i="14696"/>
  <c r="AR63" i="4128"/>
  <c r="AS62" i="4128"/>
  <c r="AS63" i="4128" l="1"/>
  <c r="AT62" i="4128"/>
  <c r="AT63" i="4128" s="1"/>
  <c r="R68" i="4128" s="1"/>
  <c r="M35" i="14696"/>
  <c r="L36" i="14696"/>
  <c r="M36" i="14696" l="1"/>
  <c r="L37" i="14696"/>
  <c r="M37" i="14696" l="1"/>
  <c r="L38" i="14696"/>
  <c r="M38" i="14696" l="1"/>
  <c r="L39" i="14696"/>
  <c r="M39" i="14696" l="1"/>
  <c r="L40" i="14696"/>
  <c r="L41" i="14696" l="1"/>
  <c r="M40" i="14696"/>
  <c r="L42" i="14696" l="1"/>
  <c r="M41" i="14696"/>
  <c r="L43" i="14696" l="1"/>
  <c r="M42" i="14696"/>
  <c r="L44" i="14696" l="1"/>
  <c r="M43" i="14696"/>
  <c r="L45" i="14696" l="1"/>
  <c r="M44" i="14696"/>
  <c r="M45" i="14696" l="1"/>
  <c r="L46" i="14696"/>
  <c r="L47" i="14696" l="1"/>
  <c r="M46" i="14696"/>
  <c r="M47" i="14696" l="1"/>
  <c r="L48" i="14696"/>
  <c r="L49" i="14696" l="1"/>
  <c r="M48" i="14696"/>
  <c r="M49" i="14696" l="1"/>
  <c r="L50" i="14696"/>
  <c r="M50" i="14696" l="1"/>
  <c r="L51" i="14696"/>
  <c r="M51" i="14696" l="1"/>
  <c r="L52" i="14696"/>
  <c r="L53" i="14696" l="1"/>
  <c r="M52" i="14696"/>
  <c r="M53" i="14696" l="1"/>
  <c r="L54" i="14696"/>
  <c r="L55" i="14696" l="1"/>
  <c r="M54" i="14696"/>
  <c r="L56" i="14696" l="1"/>
  <c r="M55" i="14696"/>
  <c r="L57" i="14696" l="1"/>
  <c r="M56" i="14696"/>
  <c r="M57" i="14696" l="1"/>
  <c r="L58" i="14696"/>
  <c r="M58" i="14696" l="1"/>
  <c r="L59" i="14696"/>
  <c r="M59" i="14696" l="1"/>
  <c r="L60" i="14696"/>
  <c r="M60" i="14696" s="1"/>
  <c r="G21" i="14696"/>
  <c r="G23" i="14696"/>
  <c r="B35" i="14649" s="1"/>
  <c r="B34" i="14649" l="1"/>
  <c r="B56" i="147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M26" authorId="0" shapeId="0" xr:uid="{00000000-0006-0000-0000-000001000000}">
      <text>
        <r>
          <rPr>
            <b/>
            <sz val="10"/>
            <color indexed="81"/>
            <rFont val="Tahoma"/>
            <family val="2"/>
          </rPr>
          <t>Miguel:</t>
        </r>
        <r>
          <rPr>
            <sz val="10"/>
            <color indexed="81"/>
            <rFont val="Tahoma"/>
            <family val="2"/>
          </rPr>
          <t xml:space="preserve">
   Solo si se definen políticas diferenciadas por años o por familias de ventas (o ambos criterios), sino basta con los criterios generales definidos en lahohja de </t>
        </r>
        <r>
          <rPr>
            <b/>
            <sz val="10"/>
            <color indexed="81"/>
            <rFont val="Tahoma"/>
            <family val="2"/>
          </rPr>
          <t>Parametros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33" authorId="0" shapeId="0" xr:uid="{00000000-0006-0000-0F00-000001000000}">
      <text>
        <r>
          <rPr>
            <b/>
            <sz val="11"/>
            <color indexed="81"/>
            <rFont val="Tahoma"/>
            <family val="2"/>
          </rPr>
          <t>Miguel:</t>
        </r>
        <r>
          <rPr>
            <sz val="11"/>
            <color indexed="81"/>
            <rFont val="Tahoma"/>
            <family val="2"/>
          </rPr>
          <t xml:space="preserve">
Number of months with no salariy for the working owners at the company start up to excepcionally ease the cash availability during the startingn months.
</t>
        </r>
      </text>
    </comment>
    <comment ref="D34" authorId="0" shapeId="0" xr:uid="{00000000-0006-0000-0F00-000002000000}">
      <text>
        <r>
          <rPr>
            <b/>
            <sz val="11"/>
            <color indexed="81"/>
            <rFont val="Tahoma"/>
            <family val="2"/>
          </rPr>
          <t>Miguel:</t>
        </r>
        <r>
          <rPr>
            <sz val="11"/>
            <color indexed="81"/>
            <rFont val="Tahoma"/>
            <family val="2"/>
          </rPr>
          <t xml:space="preserve">
Further months with increasing salaries for the working owners starting from 0 to the nominal salary stated in the prior table.
The idea is that self employees will be cashing increasing part or thier salaries as it is possible.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Miguel Martinez</author>
    <author>M Vicenta Perez Silvestre</author>
    <author>alejandro magnet</author>
  </authors>
  <commentList>
    <comment ref="E7" authorId="0" shapeId="0" xr:uid="{00000000-0006-0000-1000-000001000000}">
      <text>
        <r>
          <rPr>
            <b/>
            <sz val="9"/>
            <color indexed="81"/>
            <rFont val="Tahoma"/>
            <family val="2"/>
          </rPr>
          <t>Miguel Martinez:</t>
        </r>
        <r>
          <rPr>
            <sz val="9"/>
            <color indexed="81"/>
            <rFont val="Tahoma"/>
            <family val="2"/>
          </rPr>
          <t xml:space="preserve">
It's calculated over the yearly revenue and then is divided into periodic payments.
</t>
        </r>
      </text>
    </comment>
    <comment ref="E8" authorId="0" shapeId="0" xr:uid="{B88F42C7-348A-40F9-AD2A-FC74548DEA61}">
      <text>
        <r>
          <rPr>
            <b/>
            <sz val="9"/>
            <color indexed="81"/>
            <rFont val="Tahoma"/>
            <family val="2"/>
          </rPr>
          <t>Miguel Martinez:</t>
        </r>
        <r>
          <rPr>
            <sz val="9"/>
            <color indexed="81"/>
            <rFont val="Tahoma"/>
            <family val="2"/>
          </rPr>
          <t xml:space="preserve">
It's calculated over the yearly revenue and then is divided into periodic payments.
</t>
        </r>
      </text>
    </comment>
    <comment ref="D20" authorId="1" shapeId="0" xr:uid="{00000000-0006-0000-1000-000003000000}">
      <text>
        <r>
          <rPr>
            <sz val="11"/>
            <color indexed="81"/>
            <rFont val="Tahoma"/>
            <family val="2"/>
          </rPr>
          <t xml:space="preserve">CAC (Customer Adquisition Cost): the cost it takes to adquire a new customer. 
CAC =   Mk &amp; Communication total cost in a periodo / nº of new adquired customers in the same period of time. </t>
        </r>
      </text>
    </comment>
    <comment ref="D22" authorId="1" shapeId="0" xr:uid="{00000000-0006-0000-1000-000004000000}">
      <text>
        <r>
          <rPr>
            <sz val="11"/>
            <color indexed="81"/>
            <rFont val="Tahoma"/>
            <family val="2"/>
          </rPr>
          <t>Mean ticket
= (Yearly revenue) / (number of yearly sold units)</t>
        </r>
      </text>
    </comment>
    <comment ref="C26" authorId="1" shapeId="0" xr:uid="{00000000-0006-0000-1000-000005000000}">
      <text>
        <r>
          <rPr>
            <sz val="10"/>
            <color indexed="81"/>
            <rFont val="Tahoma"/>
            <family val="2"/>
          </rPr>
          <t xml:space="preserve">Recurrence. Mean number of times that any client makes a purchase.
Recurrence depends upon the industry and does differ from one another.
</t>
        </r>
      </text>
    </comment>
    <comment ref="F26" authorId="2" shapeId="0" xr:uid="{00000000-0006-0000-1000-000006000000}">
      <text>
        <r>
          <rPr>
            <sz val="9"/>
            <color indexed="81"/>
            <rFont val="Tahoma"/>
            <family val="2"/>
          </rPr>
          <t>Mean number of purchases per client.
This rate depends on the industry and other circumstances.</t>
        </r>
      </text>
    </comment>
    <comment ref="C27" authorId="1" shapeId="0" xr:uid="{00000000-0006-0000-1000-000007000000}">
      <text>
        <r>
          <rPr>
            <sz val="9"/>
            <color indexed="81"/>
            <rFont val="Tahoma"/>
            <family val="2"/>
          </rPr>
          <t xml:space="preserve">Expected number of years for a client to remain an active client of the company.
</t>
        </r>
      </text>
    </comment>
    <comment ref="F27" authorId="2" shapeId="0" xr:uid="{00000000-0006-0000-1000-000008000000}">
      <text>
        <r>
          <rPr>
            <sz val="9"/>
            <color indexed="81"/>
            <rFont val="Tahoma"/>
            <family val="2"/>
          </rPr>
          <t>number of yers that the average client is expected to be active as a client for the company.</t>
        </r>
      </text>
    </comment>
    <comment ref="D30" authorId="1" shapeId="0" xr:uid="{00000000-0006-0000-1000-000009000000}">
      <text>
        <r>
          <rPr>
            <sz val="11"/>
            <color indexed="81"/>
            <rFont val="Tahoma"/>
            <family val="2"/>
          </rPr>
          <t>LTV (Life Time Value) (Client value within its lifetimel: the profit per client during its active life as client with the company.
Formula: Mean purchase value (TP), times purchases per year (RA), times the number of years remaining as an active client for the company  (VC), times the % of Gross Margin (MB)</t>
        </r>
      </text>
    </comment>
    <comment ref="F30" authorId="1" shapeId="0" xr:uid="{00000000-0006-0000-1000-00000A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H30" authorId="1" shapeId="0" xr:uid="{00000000-0006-0000-1000-00000B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J30" authorId="1" shapeId="0" xr:uid="{00000000-0006-0000-1000-00000C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L30" authorId="1" shapeId="0" xr:uid="{00000000-0006-0000-1000-00000D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 ref="N30" authorId="1" shapeId="0" xr:uid="{00000000-0006-0000-1000-00000E000000}">
      <text>
        <r>
          <rPr>
            <b/>
            <sz val="10"/>
            <color indexed="81"/>
            <rFont val="Tahoma"/>
            <family val="2"/>
          </rPr>
          <t xml:space="preserve">¡ Caution ¡ 
The sales units for all selling families of procuts or services must be expressed in phisycal homogeneus units. 
</t>
        </r>
        <r>
          <rPr>
            <sz val="10"/>
            <color indexed="81"/>
            <rFont val="Tahoma"/>
            <family val="2"/>
          </rPr>
          <t xml:space="preserve">Otherwise the LTV would be meaningless and would make nosense.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Miguel Martinez</author>
    <author>Homologacion</author>
    <author>Miguel</author>
    <author>Miguel Martínez</author>
    <author>Abderraman 6.327</author>
  </authors>
  <commentList>
    <comment ref="A6" authorId="0" shapeId="0" xr:uid="{00000000-0006-0000-1100-000001000000}">
      <text>
        <r>
          <rPr>
            <b/>
            <sz val="9"/>
            <color indexed="81"/>
            <rFont val="Tahoma"/>
            <family val="2"/>
          </rPr>
          <t>Miguel Martinez:</t>
        </r>
        <r>
          <rPr>
            <sz val="9"/>
            <color indexed="81"/>
            <rFont val="Tahoma"/>
            <family val="2"/>
          </rPr>
          <t xml:space="preserve">
Other taxes than Income tax or VAT. Specially fixed taxes such as govermental fees, activity fees or real state fees or others.</t>
        </r>
      </text>
    </comment>
    <comment ref="A7" authorId="1" shapeId="0" xr:uid="{00000000-0006-0000-1100-000002000000}">
      <text>
        <r>
          <rPr>
            <sz val="8"/>
            <color indexed="81"/>
            <rFont val="Tahoma"/>
            <family val="2"/>
          </rPr>
          <t xml:space="preserve">For example The modules VAT fee or others alike. 
</t>
        </r>
      </text>
    </comment>
    <comment ref="A21" authorId="2" shapeId="0" xr:uid="{00000000-0006-0000-1100-000003000000}">
      <text>
        <r>
          <rPr>
            <b/>
            <sz val="8"/>
            <color indexed="81"/>
            <rFont val="Tahoma"/>
            <family val="2"/>
          </rPr>
          <t>Miguel:</t>
        </r>
        <r>
          <rPr>
            <sz val="8"/>
            <color indexed="81"/>
            <rFont val="Tahoma"/>
            <family val="2"/>
          </rPr>
          <t xml:space="preserve">
   El alquiler mensual se usa para calcular automáticamente la fianza en la inversión y balance iniciales.</t>
        </r>
      </text>
    </comment>
    <comment ref="B22" authorId="0" shapeId="0" xr:uid="{00000000-0006-0000-1100-000004000000}">
      <text>
        <r>
          <rPr>
            <b/>
            <sz val="9"/>
            <color indexed="81"/>
            <rFont val="Tahoma"/>
            <family val="2"/>
          </rPr>
          <t>Miguel Martinez:</t>
        </r>
        <r>
          <rPr>
            <sz val="9"/>
            <color indexed="81"/>
            <rFont val="Tahoma"/>
            <family val="2"/>
          </rPr>
          <t xml:space="preserve">
These cells must be changed at the Marketing Expenses sheet</t>
        </r>
      </text>
    </comment>
    <comment ref="U22" authorId="0" shapeId="0" xr:uid="{00000000-0006-0000-1100-000005000000}">
      <text>
        <r>
          <rPr>
            <b/>
            <sz val="9"/>
            <color indexed="81"/>
            <rFont val="Tahoma"/>
            <family val="2"/>
          </rPr>
          <t>Miguel Martinez:</t>
        </r>
        <r>
          <rPr>
            <sz val="9"/>
            <color indexed="81"/>
            <rFont val="Tahoma"/>
            <family val="2"/>
          </rPr>
          <t xml:space="preserve">
These cells must be changed at the Marketing Expenses sheet</t>
        </r>
      </text>
    </comment>
    <comment ref="V22" authorId="0" shapeId="0" xr:uid="{00000000-0006-0000-1100-000006000000}">
      <text>
        <r>
          <rPr>
            <b/>
            <sz val="9"/>
            <color indexed="81"/>
            <rFont val="Tahoma"/>
            <family val="2"/>
          </rPr>
          <t>Miguel Martinez:</t>
        </r>
        <r>
          <rPr>
            <sz val="9"/>
            <color indexed="81"/>
            <rFont val="Tahoma"/>
            <family val="2"/>
          </rPr>
          <t xml:space="preserve">
These cells must be changed at the Marketing Expenses sheet</t>
        </r>
      </text>
    </comment>
    <comment ref="W22" authorId="0" shapeId="0" xr:uid="{00000000-0006-0000-1100-000007000000}">
      <text>
        <r>
          <rPr>
            <b/>
            <sz val="9"/>
            <color indexed="81"/>
            <rFont val="Tahoma"/>
            <family val="2"/>
          </rPr>
          <t>Miguel Martinez:</t>
        </r>
        <r>
          <rPr>
            <sz val="9"/>
            <color indexed="81"/>
            <rFont val="Tahoma"/>
            <family val="2"/>
          </rPr>
          <t xml:space="preserve">
These cells must be changed at the Marketing Expenses sheet</t>
        </r>
      </text>
    </comment>
    <comment ref="X22" authorId="0" shapeId="0" xr:uid="{00000000-0006-0000-1100-000008000000}">
      <text>
        <r>
          <rPr>
            <b/>
            <sz val="9"/>
            <color indexed="81"/>
            <rFont val="Tahoma"/>
            <family val="2"/>
          </rPr>
          <t>Miguel Martinez:</t>
        </r>
        <r>
          <rPr>
            <sz val="9"/>
            <color indexed="81"/>
            <rFont val="Tahoma"/>
            <family val="2"/>
          </rPr>
          <t xml:space="preserve">
These cells must be changed at the Marketing Expenses sheet</t>
        </r>
      </text>
    </comment>
    <comment ref="B24" authorId="0" shapeId="0" xr:uid="{00000000-0006-0000-1100-000009000000}">
      <text>
        <r>
          <rPr>
            <b/>
            <sz val="9"/>
            <color indexed="81"/>
            <rFont val="Tahoma"/>
            <family val="2"/>
          </rPr>
          <t>Miguel Martinez:</t>
        </r>
        <r>
          <rPr>
            <sz val="9"/>
            <color indexed="81"/>
            <rFont val="Tahoma"/>
            <family val="2"/>
          </rPr>
          <t xml:space="preserve">
These cells must be changed at the Marketing Expenses sheet</t>
        </r>
      </text>
    </comment>
    <comment ref="U24" authorId="0" shapeId="0" xr:uid="{00000000-0006-0000-1100-00000A000000}">
      <text>
        <r>
          <rPr>
            <b/>
            <sz val="9"/>
            <color indexed="81"/>
            <rFont val="Tahoma"/>
            <family val="2"/>
          </rPr>
          <t>Miguel Martinez:</t>
        </r>
        <r>
          <rPr>
            <sz val="9"/>
            <color indexed="81"/>
            <rFont val="Tahoma"/>
            <family val="2"/>
          </rPr>
          <t xml:space="preserve">
These cells must be changed at the Marketing Expenses sheet</t>
        </r>
      </text>
    </comment>
    <comment ref="V24" authorId="0" shapeId="0" xr:uid="{00000000-0006-0000-1100-00000B000000}">
      <text>
        <r>
          <rPr>
            <b/>
            <sz val="9"/>
            <color indexed="81"/>
            <rFont val="Tahoma"/>
            <family val="2"/>
          </rPr>
          <t>Miguel Martinez:</t>
        </r>
        <r>
          <rPr>
            <sz val="9"/>
            <color indexed="81"/>
            <rFont val="Tahoma"/>
            <family val="2"/>
          </rPr>
          <t xml:space="preserve">
These cells must be changed at the Marketing Expenses sheet</t>
        </r>
      </text>
    </comment>
    <comment ref="W24" authorId="0" shapeId="0" xr:uid="{00000000-0006-0000-1100-00000C000000}">
      <text>
        <r>
          <rPr>
            <b/>
            <sz val="9"/>
            <color indexed="81"/>
            <rFont val="Tahoma"/>
            <family val="2"/>
          </rPr>
          <t>Miguel Martinez:</t>
        </r>
        <r>
          <rPr>
            <sz val="9"/>
            <color indexed="81"/>
            <rFont val="Tahoma"/>
            <family val="2"/>
          </rPr>
          <t xml:space="preserve">
These cells must be changed at the Marketing Expenses sheet</t>
        </r>
      </text>
    </comment>
    <comment ref="X24" authorId="0" shapeId="0" xr:uid="{00000000-0006-0000-1100-00000D000000}">
      <text>
        <r>
          <rPr>
            <b/>
            <sz val="9"/>
            <color indexed="81"/>
            <rFont val="Tahoma"/>
            <family val="2"/>
          </rPr>
          <t>Miguel Martinez:</t>
        </r>
        <r>
          <rPr>
            <sz val="9"/>
            <color indexed="81"/>
            <rFont val="Tahoma"/>
            <family val="2"/>
          </rPr>
          <t xml:space="preserve">
These cells must be changed at the Marketing Expenses sheet</t>
        </r>
      </text>
    </comment>
    <comment ref="B27" authorId="3" shapeId="0" xr:uid="{00000000-0006-0000-1100-00000E000000}">
      <text>
        <r>
          <rPr>
            <b/>
            <sz val="8"/>
            <color indexed="81"/>
            <rFont val="Tahoma"/>
            <family val="2"/>
          </rPr>
          <t>Miguel Martínez:</t>
        </r>
        <r>
          <rPr>
            <sz val="8"/>
            <color indexed="81"/>
            <rFont val="Tahoma"/>
            <family val="2"/>
          </rPr>
          <t xml:space="preserve">
   It is an estimation that increases the yearly expected fixed expenses at a fixed rate (10% by default) to take into consideration other unexpected or unpredictable expenses that usually arise.
</t>
        </r>
      </text>
    </comment>
    <comment ref="C32" authorId="2" shapeId="0" xr:uid="{62FEBE17-6088-40F7-8AC0-0C05D7D3ED31}">
      <text>
        <r>
          <rPr>
            <b/>
            <sz val="10"/>
            <color indexed="81"/>
            <rFont val="Tahoma"/>
            <family val="2"/>
          </rPr>
          <t>Miguel:</t>
        </r>
        <r>
          <rPr>
            <sz val="10"/>
            <color indexed="81"/>
            <rFont val="Tahoma"/>
            <family val="2"/>
          </rPr>
          <t xml:space="preserve">
number of monthly quotes to be settled as a deposit for the rental at the beginning of the activity (1st month)</t>
        </r>
      </text>
    </comment>
    <comment ref="C33" authorId="4" shapeId="0" xr:uid="{910C94D2-B944-4EB0-ADE6-AB49B17FEAD3}">
      <text>
        <r>
          <rPr>
            <b/>
            <sz val="10"/>
            <color indexed="81"/>
            <rFont val="Tahoma"/>
            <family val="2"/>
          </rPr>
          <t>MMP:</t>
        </r>
        <r>
          <rPr>
            <sz val="10"/>
            <color indexed="81"/>
            <rFont val="Tahoma"/>
            <family val="2"/>
          </rPr>
          <t xml:space="preserve">
We suposse that the amount of the non-paid rent at the initial months are due to the investment at the premises.
In accounting terms the expense (rent) is settled the month it takes place, but in the initial balance within the liabilities shows up the amount of the rents that won't be paid in exchange for the investent made. 
In accounting terms the expense is charged within the month as any other expense, but the amount of the accrued and not paid rent is charged from "Other Short Term creditors"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7" authorId="0" shapeId="0" xr:uid="{00000000-0006-0000-1200-000001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
Si se desea hacer las previsiones de ventas directamente en Euros, habría que poner aquí directamente 1 ( o 1000 si se quisieran hacer en miles de euros) en TODAS las familias cuyas ventas se vaya a especificar en la siguiente hoja (Ventas) en Euros y no en Unidades.</t>
        </r>
      </text>
    </comment>
    <comment ref="A17" authorId="0" shapeId="0" xr:uid="{00000000-0006-0000-1200-000002000000}">
      <text>
        <r>
          <rPr>
            <b/>
            <sz val="11"/>
            <color indexed="81"/>
            <rFont val="Tahoma"/>
            <family val="2"/>
          </rPr>
          <t>Miguel:</t>
        </r>
        <r>
          <rPr>
            <sz val="11"/>
            <color indexed="81"/>
            <rFont val="Tahoma"/>
            <family val="2"/>
          </rPr>
          <t xml:space="preserve">
     A Cost Analysis should be done for each of the lines. Labour costs should NOT be included as a direct cost when Labour Costs (sallaries &amp; Social Security) had been indluded in the Staff Sheet
    Direct cost should never include VAT (or alike tax) except for  special VAT fiscal regimes such as Equivaleza Charge, Exempted outcome VAT business or similar. In this cases the income VAT should be considered as part of the Direct Cost, but only in this special cases.
</t>
        </r>
      </text>
    </comment>
    <comment ref="B19" authorId="0" shapeId="0" xr:uid="{00000000-0006-0000-1200-000003000000}">
      <text>
        <r>
          <rPr>
            <b/>
            <sz val="8"/>
            <color indexed="81"/>
            <rFont val="Tahoma"/>
            <family val="2"/>
          </rPr>
          <t>Miguel:</t>
        </r>
        <r>
          <rPr>
            <sz val="8"/>
            <color indexed="81"/>
            <rFont val="Tahoma"/>
            <family val="2"/>
          </rPr>
          <t xml:space="preserve">
</t>
        </r>
        <r>
          <rPr>
            <sz val="10"/>
            <color indexed="81"/>
            <rFont val="Tahoma"/>
            <family val="2"/>
          </rPr>
          <t>La columna de datos se puede usar cuando los precios no tienen estacionalidad y son los mismos para todos los meses del año.</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9" authorId="0" shapeId="0" xr:uid="{00000000-0006-0000-1300-000001000000}">
      <text>
        <r>
          <rPr>
            <sz val="10"/>
            <color indexed="81"/>
            <rFont val="Tahoma"/>
            <family val="2"/>
          </rPr>
          <t xml:space="preserve">No puede haber pagos de contado a proveedores pendientes, como poco a 30 días.
</t>
        </r>
      </text>
    </comment>
    <comment ref="B67" authorId="0" shapeId="0" xr:uid="{00000000-0006-0000-1300-000002000000}">
      <text>
        <r>
          <rPr>
            <sz val="10"/>
            <color indexed="81"/>
            <rFont val="Tahoma"/>
            <family val="2"/>
          </rPr>
          <t xml:space="preserve">No puede haber pagos de contado a proveedores pendientes, como mínimo tendrían que ser a 30 días.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P6" authorId="0" shapeId="0" xr:uid="{00000000-0006-0000-1400-000001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19" authorId="0" shapeId="0" xr:uid="{00000000-0006-0000-1400-000002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32" authorId="0" shapeId="0" xr:uid="{00000000-0006-0000-1400-000003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45" authorId="0" shapeId="0" xr:uid="{00000000-0006-0000-1400-000004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 ref="P58" authorId="0" shapeId="0" xr:uid="{00000000-0006-0000-1400-000005000000}">
      <text>
        <r>
          <rPr>
            <b/>
            <sz val="9"/>
            <color indexed="81"/>
            <rFont val="Tahoma"/>
            <family val="2"/>
          </rPr>
          <t>Miguel:</t>
        </r>
        <r>
          <rPr>
            <sz val="9"/>
            <color indexed="81"/>
            <rFont val="Tahoma"/>
            <family val="2"/>
          </rPr>
          <t xml:space="preserve">
The number of newly adquired clientes shall be calculated with a formula refering to the corresponding cells for each year in the Sales Forecasts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6" authorId="0" shapeId="0" xr:uid="{00000000-0006-0000-2100-000001000000}">
      <text>
        <r>
          <rPr>
            <b/>
            <sz val="8"/>
            <color indexed="81"/>
            <rFont val="Tahoma"/>
            <family val="2"/>
          </rPr>
          <t>Miguel:</t>
        </r>
        <r>
          <rPr>
            <sz val="8"/>
            <color indexed="81"/>
            <rFont val="Tahoma"/>
            <family val="2"/>
          </rPr>
          <t xml:space="preserve">
Se va a suponer que las ventas del año 5, el siguiente al último de simulación son iguales al año 4</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800-000001000000}">
      <text>
        <r>
          <rPr>
            <b/>
            <sz val="12"/>
            <color indexed="81"/>
            <rFont val="Tahoma"/>
            <family val="2"/>
          </rPr>
          <t>Miguel Martinez:</t>
        </r>
        <r>
          <rPr>
            <sz val="12"/>
            <color indexed="81"/>
            <rFont val="Tahoma"/>
            <family val="2"/>
          </rPr>
          <t xml:space="preserve">
Balance Sheet is sorted according to the anglosaxon usual criteria:
Actives are sorted starting with cash (max. liquidity) up to Fixed Assets (less or no liquidity)
Liabilities are sorted according to maturity starting with with those with the shortest term of maturity (the sooner) and ending up with those with further maturity in time. Networth is placed at the bottom since it is not subjet to maturity.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F1" authorId="0" shapeId="0" xr:uid="{00000000-0006-0000-2900-000001000000}">
      <text>
        <r>
          <rPr>
            <b/>
            <sz val="12"/>
            <color indexed="81"/>
            <rFont val="Tahoma"/>
            <family val="2"/>
          </rPr>
          <t>Miguel Martinez:</t>
        </r>
        <r>
          <rPr>
            <sz val="12"/>
            <color indexed="81"/>
            <rFont val="Tahoma"/>
            <family val="2"/>
          </rPr>
          <t xml:space="preserve">
Balance Sheet is sorted according to the anglosaxon usual criteria:
Actives are sorted starting with cash (max. liquidity) up to Fixed Assets (less or no liquidity)
Liabilities are sorted according to maturity starting with with those with the shortest term of maturity (the sooner) and ending up with those with further maturity in time. Networth is placed at the bottom since it is not subjet to maturity.
</t>
        </r>
      </text>
    </comment>
    <comment ref="A5" authorId="0" shapeId="0" xr:uid="{00000000-0006-0000-2900-000002000000}">
      <text>
        <r>
          <rPr>
            <b/>
            <sz val="12"/>
            <color indexed="81"/>
            <rFont val="Tahoma"/>
            <family val="2"/>
          </rPr>
          <t>Miguel Martinez:</t>
        </r>
        <r>
          <rPr>
            <sz val="12"/>
            <color indexed="81"/>
            <rFont val="Tahoma"/>
            <family val="2"/>
          </rPr>
          <t xml:space="preserve">
Balance Sheet is sorted according to the anglosaxon usual criteria:
Actives are sorted starting with cash (max. liquidity) up to Fixed Assets (less or no liquidity)
Liabilities are sorted according to maturity starting with with those with the shortest term of maturity (the sooner) and ending up with those with further maturity in time. Networth is placed at the bottom since it is not subjet to maturity.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18" authorId="0" shapeId="0" xr:uid="{00000000-0006-0000-2B00-000001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 ref="D18" authorId="0" shapeId="0" xr:uid="{00000000-0006-0000-2B00-000002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 ref="B19" authorId="0" shapeId="0" xr:uid="{00000000-0006-0000-2B00-000003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 ref="B20" authorId="0" shapeId="0" xr:uid="{00000000-0006-0000-2B00-000004000000}">
      <text>
        <r>
          <rPr>
            <sz val="10"/>
            <color indexed="81"/>
            <rFont val="Tahoma"/>
            <family val="2"/>
          </rPr>
          <t xml:space="preserve">The initial year (Year 0) is not formally closed and its results presented until the following June of year 1. That's the reason there are not payments on account in the Year 0 until 2P of Year 1 (2nd year)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Miguel</author>
    <author>Miguel Martinez</author>
    <author>Abderraman 6.327</author>
  </authors>
  <commentList>
    <comment ref="A2" authorId="0" shapeId="0" xr:uid="{00000000-0006-0000-0200-000001000000}">
      <text>
        <r>
          <rPr>
            <sz val="11"/>
            <color indexed="81"/>
            <rFont val="Tahoma"/>
            <family val="2"/>
          </rPr>
          <t xml:space="preserve">Esta celda contiene la versión del Plan Financiero. NO TOCAR, sino NO FUNCIONARÁN algunas utilidades
</t>
        </r>
      </text>
    </comment>
    <comment ref="B7" authorId="0" shapeId="0" xr:uid="{00000000-0006-0000-0200-000002000000}">
      <text>
        <r>
          <rPr>
            <sz val="12"/>
            <color indexed="81"/>
            <rFont val="Tahoma"/>
            <family val="2"/>
          </rPr>
          <t xml:space="preserve">Name of the course, program, City or location.
</t>
        </r>
      </text>
    </comment>
    <comment ref="B9" authorId="0" shapeId="0" xr:uid="{00000000-0006-0000-0200-000003000000}">
      <text>
        <r>
          <rPr>
            <sz val="12"/>
            <color indexed="81"/>
            <rFont val="Tahoma"/>
            <family val="2"/>
          </rPr>
          <t xml:space="preserve">Brand or Name of the company or project.
</t>
        </r>
        <r>
          <rPr>
            <sz val="8"/>
            <color indexed="81"/>
            <rFont val="Tahoma"/>
            <family val="2"/>
          </rPr>
          <t xml:space="preserve">
</t>
        </r>
      </text>
    </comment>
    <comment ref="B13" authorId="0" shapeId="0" xr:uid="{00000000-0006-0000-0200-000004000000}">
      <text>
        <r>
          <rPr>
            <sz val="12"/>
            <color indexed="81"/>
            <rFont val="Tahoma"/>
            <family val="2"/>
          </rPr>
          <t>Date in which the plan is dan or reviewed.</t>
        </r>
      </text>
    </comment>
    <comment ref="G13" authorId="1" shapeId="0" xr:uid="{00000000-0006-0000-0200-000005000000}">
      <text>
        <r>
          <rPr>
            <b/>
            <sz val="11"/>
            <color indexed="81"/>
            <rFont val="Tahoma"/>
            <family val="2"/>
          </rPr>
          <t>Miguel Martinez:</t>
        </r>
        <r>
          <rPr>
            <sz val="11"/>
            <color indexed="81"/>
            <rFont val="Tahoma"/>
            <family val="2"/>
          </rPr>
          <t xml:space="preserve">
When doing the Economic &amp; Financial Planning for an </t>
        </r>
        <r>
          <rPr>
            <b/>
            <sz val="11"/>
            <color indexed="81"/>
            <rFont val="Tahoma"/>
            <family val="2"/>
          </rPr>
          <t>existing company</t>
        </r>
        <r>
          <rPr>
            <sz val="11"/>
            <color indexed="81"/>
            <rFont val="Tahoma"/>
            <family val="2"/>
          </rPr>
          <t xml:space="preserve"> it's usual to start with an Balance Sheet from the last preceding year: the Initial Balance Sheet for the Planning. 
Starting up from this point all estimations, investments and forecast are based.
When doing the Economic &amp; Financial Planning for a Project or an starting up company, the most sensible thing is to start up from 0, and fill all the sheets necessary to include investments, initial fundings, etc and avoid using the Initial Balance Sheet becase it just would not exist.
</t>
        </r>
      </text>
    </comment>
    <comment ref="B15" authorId="0" shapeId="0" xr:uid="{00000000-0006-0000-0200-000006000000}">
      <text>
        <r>
          <rPr>
            <sz val="12"/>
            <color indexed="81"/>
            <rFont val="Tahoma"/>
            <family val="2"/>
          </rPr>
          <t>First year of simulation.
Starting Year of the initial economical cycle.</t>
        </r>
        <r>
          <rPr>
            <sz val="8"/>
            <color indexed="81"/>
            <rFont val="Tahoma"/>
            <family val="2"/>
          </rPr>
          <t xml:space="preserve">
</t>
        </r>
      </text>
    </comment>
    <comment ref="B18" authorId="0" shapeId="0" xr:uid="{00000000-0006-0000-0200-000007000000}">
      <text>
        <r>
          <rPr>
            <sz val="12"/>
            <color indexed="81"/>
            <rFont val="Tahoma"/>
            <family val="2"/>
          </rPr>
          <t>First year of simulation.
Starting Year: 0 or 1</t>
        </r>
        <r>
          <rPr>
            <sz val="8"/>
            <color indexed="81"/>
            <rFont val="Tahoma"/>
            <family val="2"/>
          </rPr>
          <t xml:space="preserve">
</t>
        </r>
      </text>
    </comment>
    <comment ref="B19" authorId="1" shapeId="0" xr:uid="{00000000-0006-0000-0200-000008000000}">
      <text>
        <r>
          <rPr>
            <b/>
            <sz val="9"/>
            <color indexed="81"/>
            <rFont val="Tahoma"/>
            <family val="2"/>
          </rPr>
          <t>Miguel Martinez:</t>
        </r>
        <r>
          <rPr>
            <sz val="9"/>
            <color indexed="81"/>
            <rFont val="Tahoma"/>
            <family val="2"/>
          </rPr>
          <t xml:space="preserve">
</t>
        </r>
        <r>
          <rPr>
            <sz val="11"/>
            <color indexed="81"/>
            <rFont val="Tahoma"/>
            <family val="2"/>
          </rPr>
          <t xml:space="preserve">If in the cells where the years shall be, appers to be the days of the week, then, you have to switch </t>
        </r>
        <r>
          <rPr>
            <b/>
            <sz val="11"/>
            <color indexed="81"/>
            <rFont val="Tahoma"/>
            <family val="2"/>
          </rPr>
          <t>aa</t>
        </r>
        <r>
          <rPr>
            <sz val="11"/>
            <color indexed="81"/>
            <rFont val="Tahoma"/>
            <family val="2"/>
          </rPr>
          <t xml:space="preserve"> instead or </t>
        </r>
        <r>
          <rPr>
            <b/>
            <sz val="11"/>
            <color indexed="81"/>
            <rFont val="Tahoma"/>
            <family val="2"/>
          </rPr>
          <t>yy</t>
        </r>
        <r>
          <rPr>
            <sz val="11"/>
            <color indexed="81"/>
            <rFont val="Tahoma"/>
            <family val="2"/>
          </rPr>
          <t xml:space="preserve"> or viceversa at cell </t>
        </r>
        <r>
          <rPr>
            <b/>
            <sz val="11"/>
            <color indexed="81"/>
            <rFont val="Tahoma"/>
            <family val="2"/>
          </rPr>
          <t>O19</t>
        </r>
        <r>
          <rPr>
            <sz val="11"/>
            <color indexed="81"/>
            <rFont val="Tahoma"/>
            <family val="2"/>
          </rPr>
          <t xml:space="preserve"> in this same sheet to get it right.
This is an Excel format issue regarding to the format used to express years aaaa or yyyy, depending on the language in the computer or the Excel version.
</t>
        </r>
      </text>
    </comment>
    <comment ref="O19" authorId="1" shapeId="0" xr:uid="{00000000-0006-0000-0200-000009000000}">
      <text>
        <r>
          <rPr>
            <b/>
            <sz val="9"/>
            <color indexed="81"/>
            <rFont val="Tahoma"/>
            <family val="2"/>
          </rPr>
          <t>Miguel Martinez:</t>
        </r>
        <r>
          <rPr>
            <sz val="9"/>
            <color indexed="81"/>
            <rFont val="Tahoma"/>
            <family val="2"/>
          </rPr>
          <t xml:space="preserve">
</t>
        </r>
        <r>
          <rPr>
            <sz val="11"/>
            <color indexed="81"/>
            <rFont val="Tahoma"/>
            <family val="2"/>
          </rPr>
          <t xml:space="preserve">If in the cells where the years shall be, appers to be the days of the week, then, you have to switch </t>
        </r>
        <r>
          <rPr>
            <b/>
            <sz val="11"/>
            <color indexed="81"/>
            <rFont val="Tahoma"/>
            <family val="2"/>
          </rPr>
          <t>aa</t>
        </r>
        <r>
          <rPr>
            <sz val="11"/>
            <color indexed="81"/>
            <rFont val="Tahoma"/>
            <family val="2"/>
          </rPr>
          <t xml:space="preserve"> instead or </t>
        </r>
        <r>
          <rPr>
            <b/>
            <sz val="11"/>
            <color indexed="81"/>
            <rFont val="Tahoma"/>
            <family val="2"/>
          </rPr>
          <t>yy</t>
        </r>
        <r>
          <rPr>
            <sz val="11"/>
            <color indexed="81"/>
            <rFont val="Tahoma"/>
            <family val="2"/>
          </rPr>
          <t xml:space="preserve"> or viceversa in this cell to get it right.
This is an Excel format issue regarding to the format used to express years aaaa or yyyy, depending on the language in the computer or the Excel version.</t>
        </r>
      </text>
    </comment>
    <comment ref="A21" authorId="0" shapeId="0" xr:uid="{00000000-0006-0000-0200-00000A000000}">
      <text>
        <r>
          <rPr>
            <sz val="10"/>
            <color indexed="81"/>
            <rFont val="Tahoma"/>
            <family val="2"/>
          </rPr>
          <t xml:space="preserve">Only when a new company or starting project is planned.
For previously existing companies or business leave January 1st as the starting point of the simulation.
</t>
        </r>
      </text>
    </comment>
    <comment ref="I28" authorId="0" shapeId="0" xr:uid="{00000000-0006-0000-0200-00000B000000}">
      <text>
        <r>
          <rPr>
            <b/>
            <sz val="10"/>
            <color indexed="81"/>
            <rFont val="Tahoma"/>
            <family val="2"/>
          </rPr>
          <t xml:space="preserve">Miguel:
Tax rate over Net Income (Earnings)
</t>
        </r>
        <r>
          <rPr>
            <sz val="10"/>
            <color indexed="81"/>
            <rFont val="Tahoma"/>
            <family val="2"/>
          </rPr>
          <t xml:space="preserve">20% for professionals, Individual Entrepeneurs and for Goods Communities, Civil societies and any legal form with no separate juridical personality subjet to Personal Income Tax.. 
0%  for cooperatives, Limited Companies and all companies subjet to Income Tax different to Personal Income Tax. </t>
        </r>
      </text>
    </comment>
    <comment ref="I29" authorId="0" shapeId="0" xr:uid="{00000000-0006-0000-0200-00000C000000}">
      <text>
        <r>
          <rPr>
            <b/>
            <sz val="11"/>
            <color indexed="81"/>
            <rFont val="Tahoma"/>
            <family val="2"/>
          </rPr>
          <t>Miguel:</t>
        </r>
        <r>
          <rPr>
            <sz val="11"/>
            <color indexed="81"/>
            <rFont val="Tahoma"/>
            <family val="2"/>
          </rPr>
          <t xml:space="preserve">
Only for proffesionals. 
0 in any other case.
</t>
        </r>
      </text>
    </comment>
    <comment ref="I30" authorId="2" shapeId="0" xr:uid="{00000000-0006-0000-0200-00000D000000}">
      <text>
        <r>
          <rPr>
            <b/>
            <sz val="8"/>
            <color indexed="81"/>
            <rFont val="Tahoma"/>
            <family val="2"/>
          </rPr>
          <t xml:space="preserve">Miguel Martínez:
</t>
        </r>
        <r>
          <rPr>
            <sz val="9"/>
            <color indexed="81"/>
            <rFont val="Tahoma"/>
            <family val="2"/>
          </rPr>
          <t>Only for professionals or Professional societys (Companies)</t>
        </r>
        <r>
          <rPr>
            <sz val="10"/>
            <color indexed="81"/>
            <rFont val="Tahoma"/>
            <family val="2"/>
          </rPr>
          <t xml:space="preserve">
The % of income subjet to withholding over the overall income.
</t>
        </r>
      </text>
    </comment>
    <comment ref="B31" authorId="1" shapeId="0" xr:uid="{00000000-0006-0000-0200-00000E000000}">
      <text>
        <r>
          <rPr>
            <b/>
            <sz val="9"/>
            <color indexed="81"/>
            <rFont val="Tahoma"/>
            <family val="2"/>
          </rPr>
          <t>Miguel Martinez:</t>
        </r>
        <r>
          <rPr>
            <sz val="9"/>
            <color indexed="81"/>
            <rFont val="Tahoma"/>
            <family val="2"/>
          </rPr>
          <t xml:space="preserve">
If Refund is chosen, whenever there are negative amounts of VAT or equivalent Indirect Tax, the Financial Planning will asume that such amouts would be refunded alongside the last periodical settlement of the year (january either monthly or quarterly settlements)
Te refund will be received 5 months later, which means the following year. 5 months is the average delay in these cases.
If "Compensation" is chosen, the negative quotas will be compensated with those of the following settlements.</t>
        </r>
        <r>
          <rPr>
            <sz val="10"/>
            <color indexed="81"/>
            <rFont val="Tahoma"/>
            <family val="2"/>
          </rPr>
          <t xml:space="preserve">
</t>
        </r>
      </text>
    </comment>
    <comment ref="B32" authorId="0" shapeId="0" xr:uid="{00000000-0006-0000-0200-00000F000000}">
      <text>
        <r>
          <rPr>
            <sz val="11"/>
            <color indexed="81"/>
            <rFont val="Tahoma"/>
            <family val="2"/>
          </rPr>
          <t xml:space="preserve">Usually it'll be No, except for those business within an special VAT scheme (or equivalent indirect tax) related to a checking account with the Treasury Authority.
This is the usual case for export companies and some other accomplishing certain requirements.
In these cases refundings would be made monthly within an special checking account.
</t>
        </r>
      </text>
    </comment>
    <comment ref="C36" authorId="0" shapeId="0" xr:uid="{00000000-0006-0000-0200-000010000000}">
      <text>
        <r>
          <rPr>
            <b/>
            <sz val="11"/>
            <color indexed="81"/>
            <rFont val="Tahoma"/>
            <family val="2"/>
          </rPr>
          <t>Miguel:</t>
        </r>
        <r>
          <rPr>
            <sz val="11"/>
            <color indexed="81"/>
            <rFont val="Tahoma"/>
            <family val="2"/>
          </rPr>
          <t xml:space="preserve">
Average taxing rate for compnies (subject to Corporate tax, not to Personal Tax)
Freelancers are subjetect to Personal Income Rate, so the rate depends on the Personal Income Tax sections.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Miguel</author>
    <author>Miguel Martínez</author>
  </authors>
  <commentList>
    <comment ref="A1" authorId="0" shapeId="0" xr:uid="{00000000-0006-0000-2C00-000001000000}">
      <text>
        <r>
          <rPr>
            <b/>
            <sz val="10"/>
            <color indexed="81"/>
            <rFont val="Tahoma"/>
            <family val="2"/>
          </rPr>
          <t>Miguel:</t>
        </r>
        <r>
          <rPr>
            <sz val="10"/>
            <color indexed="81"/>
            <rFont val="Tahoma"/>
            <family val="2"/>
          </rPr>
          <t xml:space="preserve">
Exclusively for Freelance professionals and Selfemployeess or non legal self personalty societies or Good Communities.
In any case for Cooperatives, Limited Companies or any legal self personality corporation.</t>
        </r>
      </text>
    </comment>
    <comment ref="J9" authorId="0" shapeId="0" xr:uid="{00000000-0006-0000-2C00-000002000000}">
      <text>
        <r>
          <rPr>
            <b/>
            <sz val="12"/>
            <color indexed="81"/>
            <rFont val="Tahoma"/>
            <family val="2"/>
          </rPr>
          <t>Miguel:</t>
        </r>
        <r>
          <rPr>
            <sz val="12"/>
            <color indexed="81"/>
            <rFont val="Tahoma"/>
            <family val="2"/>
          </rPr>
          <t xml:space="preserve">
The exempted minimum cannot be less than 5151 euros (single with no childs, non disabled and without any other exemption or condition)</t>
        </r>
      </text>
    </comment>
    <comment ref="B14" authorId="0" shapeId="0" xr:uid="{00000000-0006-0000-2C00-000003000000}">
      <text>
        <r>
          <rPr>
            <b/>
            <sz val="8"/>
            <color indexed="81"/>
            <rFont val="Tahoma"/>
            <family val="2"/>
          </rPr>
          <t>Miguel:</t>
        </r>
        <r>
          <rPr>
            <sz val="8"/>
            <color indexed="81"/>
            <rFont val="Tahoma"/>
            <family val="2"/>
          </rPr>
          <t xml:space="preserve">
The sallaries of the partners (selfemployees) cannot be considered deductible expenses.</t>
        </r>
      </text>
    </comment>
    <comment ref="J19" authorId="0" shapeId="0" xr:uid="{00000000-0006-0000-2C00-000004000000}">
      <text>
        <r>
          <rPr>
            <b/>
            <sz val="11"/>
            <color indexed="81"/>
            <rFont val="Tahoma"/>
            <family val="2"/>
          </rPr>
          <t>Miguel:</t>
        </r>
        <r>
          <rPr>
            <sz val="11"/>
            <color indexed="81"/>
            <rFont val="Tahoma"/>
            <family val="2"/>
          </rPr>
          <t xml:space="preserve">
     Number of partners among the Total Taxation Base will be divided due to taxation purpose.
      The number of partners is set in the Staff Sheet </t>
        </r>
        <r>
          <rPr>
            <b/>
            <sz val="11"/>
            <color indexed="81"/>
            <rFont val="Tahoma"/>
            <family val="2"/>
          </rPr>
          <t>NOT HERE.</t>
        </r>
        <r>
          <rPr>
            <sz val="11"/>
            <color indexed="81"/>
            <rFont val="Tahoma"/>
            <family val="2"/>
          </rPr>
          <t xml:space="preserve"> </t>
        </r>
      </text>
    </comment>
    <comment ref="B23" authorId="0" shapeId="0" xr:uid="{00000000-0006-0000-2C00-000005000000}">
      <text>
        <r>
          <rPr>
            <b/>
            <sz val="10"/>
            <color indexed="81"/>
            <rFont val="Tahoma"/>
            <family val="2"/>
          </rPr>
          <t>Miguel:</t>
        </r>
        <r>
          <rPr>
            <sz val="10"/>
            <color indexed="81"/>
            <rFont val="Tahoma"/>
            <family val="2"/>
          </rPr>
          <t xml:space="preserve">
Only for freelance professionals.
</t>
        </r>
      </text>
    </comment>
    <comment ref="B27" authorId="0" shapeId="0" xr:uid="{00000000-0006-0000-2C00-000006000000}">
      <text>
        <r>
          <rPr>
            <b/>
            <sz val="11"/>
            <color indexed="81"/>
            <rFont val="Tahoma"/>
            <family val="2"/>
          </rPr>
          <t xml:space="preserve">     VITAL PERSONAL MINIMUM
</t>
        </r>
        <r>
          <rPr>
            <sz val="11"/>
            <color indexed="81"/>
            <rFont val="Tahoma"/>
            <family val="2"/>
          </rPr>
          <t>This quantity also depends on the personal conditions of the subjet such as the number of sons, disabilty condition, married, jointed declaration or not, etc.
Since the multiple resulting combinations, in this forecast is considered the absolute minimum in the most adverse conditiojns.</t>
        </r>
      </text>
    </comment>
    <comment ref="B32" authorId="1" shapeId="0" xr:uid="{C59A0118-EFED-4B16-A108-334907D7CCD9}">
      <text>
        <r>
          <rPr>
            <b/>
            <sz val="9"/>
            <color indexed="81"/>
            <rFont val="Tahoma"/>
            <family val="2"/>
          </rPr>
          <t>Miguel Martínez:</t>
        </r>
        <r>
          <rPr>
            <sz val="9"/>
            <color indexed="81"/>
            <rFont val="Tahoma"/>
            <family val="2"/>
          </rPr>
          <t xml:space="preserve">
Partners sallaries are excluded, so the partners social sec. Contributions.
Each year is estimated with the preceding year, except for the first one for which the minimum is assumed by default.</t>
        </r>
      </text>
    </comment>
    <comment ref="C33" authorId="0" shapeId="0" xr:uid="{D5DC8D14-D44C-4EFF-B2EA-030644111BE7}">
      <text>
        <r>
          <rPr>
            <b/>
            <sz val="9"/>
            <color indexed="81"/>
            <rFont val="Tahoma"/>
            <family val="2"/>
          </rPr>
          <t>Miguel:</t>
        </r>
        <r>
          <rPr>
            <sz val="9"/>
            <color indexed="81"/>
            <rFont val="Tahoma"/>
            <family val="2"/>
          </rPr>
          <t xml:space="preserve">
The first year minimum income is supossed by default.
</t>
        </r>
      </text>
    </comment>
    <comment ref="D37" authorId="0" shapeId="0" xr:uid="{3534AE6A-169C-499F-8050-098D4AF03E35}">
      <text>
        <r>
          <rPr>
            <b/>
            <sz val="9"/>
            <color indexed="81"/>
            <rFont val="Tahoma"/>
            <family val="2"/>
          </rPr>
          <t>Miguel:</t>
        </r>
        <r>
          <rPr>
            <sz val="9"/>
            <color indexed="81"/>
            <rFont val="Tahoma"/>
            <family val="2"/>
          </rPr>
          <t xml:space="preserve">
Cada año se calcula la cuota con el rendimiento previo del año anterior.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3200-000001000000}">
      <text>
        <r>
          <rPr>
            <b/>
            <sz val="10"/>
            <color indexed="81"/>
            <rFont val="Tahoma"/>
            <family val="2"/>
          </rPr>
          <t>Miguel:</t>
        </r>
        <r>
          <rPr>
            <sz val="10"/>
            <color indexed="81"/>
            <rFont val="Tahoma"/>
            <family val="2"/>
          </rPr>
          <t xml:space="preserve">
SOLO Para Profesionales y Empresarios Individuales, Sociedades Civiles y Comunidades de Bienes.
NO Para Cooperativas, Sociedades Limitadas o Anónimas.</t>
        </r>
      </text>
    </comment>
    <comment ref="A7" authorId="0" shapeId="0" xr:uid="{00000000-0006-0000-3200-000002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A10" authorId="0" shapeId="0" xr:uid="{00000000-0006-0000-3200-000003000000}">
      <text>
        <r>
          <rPr>
            <b/>
            <sz val="11"/>
            <color indexed="81"/>
            <rFont val="Tahoma"/>
            <family val="2"/>
          </rPr>
          <t>Miguel:</t>
        </r>
        <r>
          <rPr>
            <sz val="11"/>
            <color indexed="81"/>
            <rFont val="Tahoma"/>
            <family val="2"/>
          </rPr>
          <t xml:space="preserve">
Direct Costs+Other Fixed Expenses+Sallaries+Social Security 
EXCEPT Partners Sallaries which have not the consideration of deductible expenses.</t>
        </r>
      </text>
    </comment>
    <comment ref="N13" authorId="0" shapeId="0" xr:uid="{00000000-0006-0000-3200-000004000000}">
      <text>
        <r>
          <rPr>
            <b/>
            <sz val="10"/>
            <color indexed="81"/>
            <rFont val="Tahoma"/>
            <family val="2"/>
          </rPr>
          <t>Miguel:</t>
        </r>
        <r>
          <rPr>
            <sz val="10"/>
            <color indexed="81"/>
            <rFont val="Tahoma"/>
            <family val="2"/>
          </rPr>
          <t xml:space="preserve">
To be paid in the first month of the following year.
</t>
        </r>
      </text>
    </comment>
    <comment ref="B22" authorId="0" shapeId="0" xr:uid="{00000000-0006-0000-3200-000005000000}">
      <text>
        <r>
          <rPr>
            <b/>
            <sz val="10"/>
            <color indexed="81"/>
            <rFont val="Tahoma"/>
            <family val="2"/>
          </rPr>
          <t>Miguel:</t>
        </r>
        <r>
          <rPr>
            <sz val="10"/>
            <color indexed="81"/>
            <rFont val="Tahoma"/>
            <family val="2"/>
          </rPr>
          <t xml:space="preserve">
Previous year Q4</t>
        </r>
      </text>
    </comment>
    <comment ref="N22" authorId="0" shapeId="0" xr:uid="{00000000-0006-0000-3200-000006000000}">
      <text>
        <r>
          <rPr>
            <b/>
            <sz val="10"/>
            <color indexed="81"/>
            <rFont val="Tahoma"/>
            <family val="2"/>
          </rPr>
          <t>Miguel:</t>
        </r>
        <r>
          <rPr>
            <sz val="10"/>
            <color indexed="81"/>
            <rFont val="Tahoma"/>
            <family val="2"/>
          </rPr>
          <t xml:space="preserve">
To be paid in the first month of the following year.
</t>
        </r>
      </text>
    </comment>
    <comment ref="A25" authorId="0" shapeId="0" xr:uid="{00000000-0006-0000-3200-000007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31" authorId="0" shapeId="0" xr:uid="{00000000-0006-0000-3200-000008000000}">
      <text>
        <r>
          <rPr>
            <b/>
            <sz val="10"/>
            <color indexed="81"/>
            <rFont val="Tahoma"/>
            <family val="2"/>
          </rPr>
          <t>Miguel:</t>
        </r>
        <r>
          <rPr>
            <sz val="10"/>
            <color indexed="81"/>
            <rFont val="Tahoma"/>
            <family val="2"/>
          </rPr>
          <t xml:space="preserve">
Previous year Q4</t>
        </r>
      </text>
    </comment>
    <comment ref="N31" authorId="0" shapeId="0" xr:uid="{00000000-0006-0000-3200-000009000000}">
      <text>
        <r>
          <rPr>
            <b/>
            <sz val="10"/>
            <color indexed="81"/>
            <rFont val="Tahoma"/>
            <family val="2"/>
          </rPr>
          <t>Miguel:</t>
        </r>
        <r>
          <rPr>
            <sz val="10"/>
            <color indexed="81"/>
            <rFont val="Tahoma"/>
            <family val="2"/>
          </rPr>
          <t xml:space="preserve">
To be paid in the first month of the following year.
</t>
        </r>
      </text>
    </comment>
    <comment ref="A34" authorId="0" shapeId="0" xr:uid="{00000000-0006-0000-3200-00000A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40" authorId="0" shapeId="0" xr:uid="{00000000-0006-0000-3200-00000B000000}">
      <text>
        <r>
          <rPr>
            <b/>
            <sz val="10"/>
            <color indexed="81"/>
            <rFont val="Tahoma"/>
            <family val="2"/>
          </rPr>
          <t>Miguel:</t>
        </r>
        <r>
          <rPr>
            <sz val="10"/>
            <color indexed="81"/>
            <rFont val="Tahoma"/>
            <family val="2"/>
          </rPr>
          <t xml:space="preserve">
Previous year Q4</t>
        </r>
      </text>
    </comment>
    <comment ref="N40" authorId="0" shapeId="0" xr:uid="{00000000-0006-0000-3200-00000C000000}">
      <text>
        <r>
          <rPr>
            <b/>
            <sz val="10"/>
            <color indexed="81"/>
            <rFont val="Tahoma"/>
            <family val="2"/>
          </rPr>
          <t>Miguel:</t>
        </r>
        <r>
          <rPr>
            <sz val="10"/>
            <color indexed="81"/>
            <rFont val="Tahoma"/>
            <family val="2"/>
          </rPr>
          <t xml:space="preserve">
To be paid in the first month of the following year.
</t>
        </r>
      </text>
    </comment>
    <comment ref="A43" authorId="0" shapeId="0" xr:uid="{00000000-0006-0000-3200-00000D000000}">
      <text>
        <r>
          <rPr>
            <b/>
            <sz val="11"/>
            <color indexed="81"/>
            <rFont val="Tahoma"/>
            <family val="2"/>
          </rPr>
          <t>Miguel:</t>
        </r>
        <r>
          <rPr>
            <sz val="11"/>
            <color indexed="81"/>
            <rFont val="Tahoma"/>
            <family val="2"/>
          </rPr>
          <t xml:space="preserve">
Cantidades a descontar y a ingresar por los clientes en sus modelos 110 correspondientes.</t>
        </r>
      </text>
    </comment>
    <comment ref="B49" authorId="0" shapeId="0" xr:uid="{00000000-0006-0000-3200-00000E000000}">
      <text>
        <r>
          <rPr>
            <b/>
            <sz val="10"/>
            <color indexed="81"/>
            <rFont val="Tahoma"/>
            <family val="2"/>
          </rPr>
          <t>Miguel:</t>
        </r>
        <r>
          <rPr>
            <sz val="10"/>
            <color indexed="81"/>
            <rFont val="Tahoma"/>
            <family val="2"/>
          </rPr>
          <t xml:space="preserve">
Previous year Q4</t>
        </r>
      </text>
    </comment>
    <comment ref="N49" authorId="0" shapeId="0" xr:uid="{00000000-0006-0000-3200-00000F000000}">
      <text>
        <r>
          <rPr>
            <b/>
            <sz val="10"/>
            <color indexed="81"/>
            <rFont val="Tahoma"/>
            <family val="2"/>
          </rPr>
          <t>Miguel:</t>
        </r>
        <r>
          <rPr>
            <sz val="10"/>
            <color indexed="81"/>
            <rFont val="Tahoma"/>
            <family val="2"/>
          </rPr>
          <t xml:space="preserve">
To be paid in the first month of the following year.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0B0F1445-4E68-4496-99B8-8792BCAF548E}">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22F9ED52-5059-44B9-B9E6-4484BCBD9C44}">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4FC01FD0-DE60-4B52-AA94-E0FBAB70F274}">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Miguel Martínez</author>
  </authors>
  <commentList>
    <comment ref="G17" authorId="0" shapeId="0" xr:uid="{12F252C1-C612-4199-81D1-FEE1402F00A0}">
      <text>
        <r>
          <rPr>
            <b/>
            <sz val="9"/>
            <color indexed="81"/>
            <rFont val="Tahoma"/>
            <family val="2"/>
          </rPr>
          <t>Miguel Martínez:</t>
        </r>
        <r>
          <rPr>
            <sz val="9"/>
            <color indexed="81"/>
            <rFont val="Tahoma"/>
            <family val="2"/>
          </rPr>
          <t xml:space="preserve">
Previous Year Partners Social Security Yearly regularization.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11" authorId="0" shapeId="0" xr:uid="{00000000-0006-0000-3800-000001000000}">
      <text>
        <r>
          <rPr>
            <b/>
            <sz val="10"/>
            <color indexed="81"/>
            <rFont val="Tahoma"/>
            <family val="2"/>
          </rPr>
          <t>Miguel Martínez:</t>
        </r>
        <r>
          <rPr>
            <sz val="10"/>
            <color indexed="81"/>
            <rFont val="Tahoma"/>
            <family val="2"/>
          </rPr>
          <t xml:space="preserve">
Quarterly pro rata coefficients are "a posteriori" applied over the input VAT of the same quarter.
</t>
        </r>
      </text>
    </comment>
    <comment ref="C22" authorId="1" shapeId="0" xr:uid="{00000000-0006-0000-3800-000002000000}">
      <text>
        <r>
          <rPr>
            <sz val="10"/>
            <color indexed="81"/>
            <rFont val="Tahoma"/>
            <family val="2"/>
          </rPr>
          <t>IVA de la inversión inicial</t>
        </r>
      </text>
    </comment>
    <comment ref="O26" authorId="1" shapeId="0" xr:uid="{00000000-0006-0000-3800-000003000000}">
      <text>
        <r>
          <rPr>
            <sz val="10"/>
            <color indexed="81"/>
            <rFont val="Tahoma"/>
            <family val="2"/>
          </rPr>
          <t>Pendiente 1T del siguiente año</t>
        </r>
        <r>
          <rPr>
            <sz val="8"/>
            <color indexed="81"/>
            <rFont val="Tahoma"/>
            <family val="2"/>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7" authorId="0" shapeId="0" xr:uid="{00000000-0006-0000-3E00-000001000000}">
      <text>
        <r>
          <rPr>
            <b/>
            <sz val="11"/>
            <color indexed="81"/>
            <rFont val="Tahoma"/>
            <family val="2"/>
          </rPr>
          <t>Miguel:</t>
        </r>
        <r>
          <rPr>
            <sz val="11"/>
            <color indexed="81"/>
            <rFont val="Tahoma"/>
            <family val="2"/>
          </rPr>
          <t xml:space="preserve">
Soil cannot be subjet to amortization.</t>
        </r>
      </text>
    </comment>
    <comment ref="C8" authorId="0" shapeId="0" xr:uid="{00000000-0006-0000-3E00-000002000000}">
      <text>
        <r>
          <rPr>
            <sz val="11"/>
            <color indexed="81"/>
            <rFont val="Tahoma"/>
            <family val="2"/>
          </rPr>
          <t>Should accumulated amortizations this cell must be set to 0. Otherwise the VAT calculation won't work properly.</t>
        </r>
      </text>
    </comment>
    <comment ref="B29" authorId="0" shapeId="0" xr:uid="{00000000-0006-0000-3E00-000003000000}">
      <text>
        <r>
          <rPr>
            <b/>
            <sz val="10"/>
            <color indexed="81"/>
            <rFont val="Tahoma"/>
            <family val="2"/>
          </rPr>
          <t>Miguel:</t>
        </r>
        <r>
          <rPr>
            <sz val="10"/>
            <color indexed="81"/>
            <rFont val="Tahoma"/>
            <family val="2"/>
          </rPr>
          <t xml:space="preserve">
Soil cannot be subjet to amortization.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9" authorId="0" shapeId="0" xr:uid="{00000000-0006-0000-4000-000001000000}">
      <text>
        <r>
          <rPr>
            <sz val="12"/>
            <color indexed="81"/>
            <rFont val="Tahoma"/>
            <family val="2"/>
          </rPr>
          <t xml:space="preserve">Only if the company is subjet to the export taxation regime.
</t>
        </r>
        <r>
          <rPr>
            <sz val="8"/>
            <color indexed="81"/>
            <rFont val="Tahoma"/>
            <family val="2"/>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L8" authorId="0" shapeId="0" xr:uid="{00000000-0006-0000-4100-000001000000}">
      <text>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Abderraman 6.327</author>
    <author>Miguel Martínez</author>
    <author>Miguel</author>
    <author>Miguel Martinez</author>
  </authors>
  <commentList>
    <comment ref="H6" authorId="0" shapeId="0" xr:uid="{00000000-0006-0000-0300-000001000000}">
      <text>
        <r>
          <rPr>
            <b/>
            <sz val="8"/>
            <color indexed="81"/>
            <rFont val="Tahoma"/>
            <family val="2"/>
          </rPr>
          <t xml:space="preserve">Miguel Martínez:
</t>
        </r>
        <r>
          <rPr>
            <sz val="10"/>
            <color indexed="81"/>
            <rFont val="Tahoma"/>
            <family val="2"/>
          </rPr>
          <t>Rate over the wholesale that is likely to be defaulted or delayed and therefore should be claimed,</t>
        </r>
        <r>
          <rPr>
            <b/>
            <sz val="8"/>
            <color indexed="81"/>
            <rFont val="Tahoma"/>
            <family val="2"/>
          </rPr>
          <t xml:space="preserve">
</t>
        </r>
      </text>
    </comment>
    <comment ref="I6" authorId="0" shapeId="0" xr:uid="{00000000-0006-0000-0300-000002000000}">
      <text>
        <r>
          <rPr>
            <b/>
            <sz val="8"/>
            <color indexed="81"/>
            <rFont val="Tahoma"/>
            <family val="2"/>
          </rPr>
          <t xml:space="preserve">Miguel Martínez:
</t>
        </r>
        <r>
          <rPr>
            <sz val="10"/>
            <color indexed="81"/>
            <rFont val="Tahoma"/>
            <family val="2"/>
          </rPr>
          <t xml:space="preserve">   Rate over the wholesale that won't be cashed when dealed, and therefore would be defaulted and should be claimed.
</t>
        </r>
      </text>
    </comment>
    <comment ref="H8" authorId="0" shapeId="0" xr:uid="{00000000-0006-0000-0300-000003000000}">
      <text>
        <r>
          <rPr>
            <b/>
            <sz val="11"/>
            <color indexed="81"/>
            <rFont val="Tahoma"/>
            <family val="2"/>
          </rPr>
          <t xml:space="preserve">Miguel Martínez:
</t>
        </r>
        <r>
          <rPr>
            <sz val="11"/>
            <color indexed="81"/>
            <rFont val="Tahoma"/>
            <family val="2"/>
          </rPr>
          <t xml:space="preserve">   
   Rate over the amount of defaulted debt that would be cashed (recovered) within a year time. 
   This rate is over the total amount of defaulted sales in the previous year, not over the wholesale.
    The recovery of the default debt is coinsidered uniformly  in all the 12 months of the following year of that in wich the sales were done. </t>
        </r>
      </text>
    </comment>
    <comment ref="I8" authorId="0" shapeId="0" xr:uid="{00000000-0006-0000-0300-000004000000}">
      <text>
        <r>
          <rPr>
            <b/>
            <sz val="11"/>
            <color indexed="81"/>
            <rFont val="Tahoma"/>
            <family val="2"/>
          </rPr>
          <t xml:space="preserve">Miguel Martínez:
</t>
        </r>
        <r>
          <rPr>
            <sz val="11"/>
            <color indexed="81"/>
            <rFont val="Tahoma"/>
            <family val="2"/>
          </rPr>
          <t xml:space="preserve">   
   Rate over the amount of defaulted debt that would be cashed (recovered) within a year time. 
   This rate is over the total amount of defaulted sales in the previous year, not over the wholesale.
    The recovery of the default debt is coinsidered uniformly  in all the 12 months of the following year of that in wich the sales were done. </t>
        </r>
      </text>
    </comment>
    <comment ref="C9" authorId="1" shapeId="0" xr:uid="{00000000-0006-0000-0300-000005000000}">
      <text>
        <r>
          <rPr>
            <b/>
            <sz val="11"/>
            <color indexed="81"/>
            <rFont val="Tahoma"/>
            <family val="2"/>
          </rPr>
          <t>Miguel Martínez:</t>
        </r>
        <r>
          <rPr>
            <sz val="11"/>
            <color indexed="81"/>
            <rFont val="Tahoma"/>
            <family val="2"/>
          </rPr>
          <t xml:space="preserve">
This is the minimum cash available allowed. 
This only affects the credit account to cover this minimum any time it is needed.
</t>
        </r>
      </text>
    </comment>
    <comment ref="C11" authorId="2" shapeId="0" xr:uid="{00000000-0006-0000-0300-000006000000}">
      <text>
        <r>
          <rPr>
            <sz val="11"/>
            <color indexed="81"/>
            <rFont val="Tahoma"/>
            <family val="2"/>
          </rPr>
          <t xml:space="preserve">Inflation rate forecast.
This rate is used to calculate some financial ratios like NPV, IRR, and some others.
</t>
        </r>
      </text>
    </comment>
    <comment ref="G11" authorId="2" shapeId="0" xr:uid="{00000000-0006-0000-0300-000007000000}">
      <text>
        <r>
          <rPr>
            <sz val="12"/>
            <color indexed="81"/>
            <rFont val="Tahoma"/>
            <family val="2"/>
          </rPr>
          <t xml:space="preserve">Currency used in all queantities and forecasts. 
THIS IS NOT A CURRENCY CONVERTER AT ALL, 
This only changes the labels and the currecy sign where need all along the sheets in the Economic Plan.
Forecast and calculations are done following the norms and Laws in Spain: Social Security, Taxes, VAT or substitute, etc.
</t>
        </r>
        <r>
          <rPr>
            <sz val="8"/>
            <color indexed="81"/>
            <rFont val="Tahoma"/>
            <family val="2"/>
          </rPr>
          <t xml:space="preserve">
</t>
        </r>
      </text>
    </comment>
    <comment ref="A18" authorId="2" shapeId="0" xr:uid="{00000000-0006-0000-0300-000008000000}">
      <text>
        <r>
          <rPr>
            <sz val="12"/>
            <color indexed="81"/>
            <rFont val="Tahoma"/>
            <family val="2"/>
          </rPr>
          <t xml:space="preserve"> Each rate is applied over every previous year fixed expenses.
This parameter is NOT used for NPV, IRR or other ratio calculations.
</t>
        </r>
      </text>
    </comment>
    <comment ref="E20" authorId="2" shapeId="0" xr:uid="{00000000-0006-0000-0300-000009000000}">
      <text>
        <r>
          <rPr>
            <sz val="11"/>
            <color indexed="81"/>
            <rFont val="Tahoma"/>
            <family val="2"/>
          </rPr>
          <t xml:space="preserve">    Its the width of the range of random variability to be used to generate sales forecast corrected by a random coeficient within the range of 
                 ( 1± width/2 )    x  sales
     Every time the sheet is opened or this ratio chaged the sale forecast will change within the specified range.
     Leave 0,00% to leave the sales forecast without random changes.</t>
        </r>
      </text>
    </comment>
    <comment ref="A22" authorId="2" shapeId="0" xr:uid="{00000000-0006-0000-0300-00000A000000}">
      <text>
        <r>
          <rPr>
            <sz val="11"/>
            <color indexed="81"/>
            <rFont val="Tahoma"/>
            <family val="2"/>
          </rPr>
          <t xml:space="preserve">
   The specific indirect tax can be set / Chosen in the </t>
        </r>
        <r>
          <rPr>
            <b/>
            <sz val="11"/>
            <color indexed="81"/>
            <rFont val="Tahoma"/>
            <family val="2"/>
          </rPr>
          <t xml:space="preserve">Sheet 'Basic Data' cell A26 </t>
        </r>
        <r>
          <rPr>
            <sz val="11"/>
            <color indexed="81"/>
            <rFont val="Tahoma"/>
            <family val="2"/>
          </rPr>
          <t xml:space="preserve">for the rate of Output VAT (or any indirect tax) and in </t>
        </r>
        <r>
          <rPr>
            <b/>
            <sz val="11"/>
            <color indexed="81"/>
            <rFont val="Tahoma"/>
            <family val="2"/>
          </rPr>
          <t>cell A27</t>
        </r>
        <r>
          <rPr>
            <sz val="11"/>
            <color indexed="81"/>
            <rFont val="Tahoma"/>
            <family val="2"/>
          </rPr>
          <t xml:space="preserve"> for the incoming indirect tax rate.
</t>
        </r>
      </text>
    </comment>
    <comment ref="A24" authorId="1" shapeId="0" xr:uid="{00000000-0006-0000-0300-00000B000000}">
      <text>
        <r>
          <rPr>
            <b/>
            <sz val="8"/>
            <color indexed="81"/>
            <rFont val="Tahoma"/>
            <family val="2"/>
          </rPr>
          <t>Miguel Martínez:</t>
        </r>
        <r>
          <rPr>
            <sz val="8"/>
            <color indexed="81"/>
            <rFont val="Tahoma"/>
            <family val="2"/>
          </rPr>
          <t xml:space="preserve">
</t>
        </r>
        <r>
          <rPr>
            <sz val="12"/>
            <color indexed="81"/>
            <rFont val="Tahoma"/>
            <family val="2"/>
          </rPr>
          <t>These are the names of the products or product families or groups. They should NOT be changed here. 
You can change them at "Prices &amp; Direct Costs" sheet.</t>
        </r>
      </text>
    </comment>
    <comment ref="A36" authorId="0" shapeId="0" xr:uid="{00000000-0006-0000-0300-00000C000000}">
      <text>
        <r>
          <rPr>
            <sz val="11"/>
            <color indexed="81"/>
            <rFont val="Tahoma"/>
            <family val="2"/>
          </rPr>
          <t xml:space="preserve">
   Term in year for the subsidies amount wil be charged as income in the Income Balance as extraordinary result.
    This term is referred to the subsidies granted the previous year (prior to the start of the economic year)
</t>
        </r>
      </text>
    </comment>
    <comment ref="C38" authorId="2" shapeId="0" xr:uid="{00000000-0006-0000-0300-00000D000000}">
      <text>
        <r>
          <rPr>
            <sz val="12"/>
            <color indexed="81"/>
            <rFont val="Tahoma"/>
            <family val="2"/>
          </rPr>
          <t xml:space="preserve">MMP:  
     Default is the typical value of 5 years. 
</t>
        </r>
      </text>
    </comment>
    <comment ref="B42" authorId="3" shapeId="0" xr:uid="{00000000-0006-0000-0300-00000E000000}">
      <text>
        <r>
          <rPr>
            <b/>
            <sz val="11"/>
            <color indexed="81"/>
            <rFont val="Tahoma"/>
            <family val="2"/>
          </rPr>
          <t>Miguel Martinez:</t>
        </r>
        <r>
          <rPr>
            <sz val="11"/>
            <color indexed="81"/>
            <rFont val="Tahoma"/>
            <family val="2"/>
          </rPr>
          <t xml:space="preserve">
The model does NOT allow to distribute dividends originated in previous years.
It any, they are automatically and completely destinated to reserves int the Balace Sheet.
</t>
        </r>
      </text>
    </comment>
    <comment ref="C42" authorId="2" shapeId="0" xr:uid="{00000000-0006-0000-0300-00000F000000}">
      <text>
        <r>
          <rPr>
            <sz val="12"/>
            <color indexed="81"/>
            <rFont val="Tahoma"/>
            <family val="2"/>
          </rPr>
          <t xml:space="preserve">   Dividends will be distributed provided:
    -  there is a profit from the previous year and 
    - there are no loses to be compesated
    - the minimum reserves requierements are fullfilled.
    Diferent dividend rates can be set for each year in the simulation.
</t>
        </r>
      </text>
    </comment>
    <comment ref="C46" authorId="2" shapeId="0" xr:uid="{00000000-0006-0000-0300-000010000000}">
      <text>
        <r>
          <rPr>
            <b/>
            <sz val="11"/>
            <color indexed="81"/>
            <rFont val="Tahoma"/>
            <family val="2"/>
          </rPr>
          <t>Miguel:</t>
        </r>
        <r>
          <rPr>
            <sz val="11"/>
            <color indexed="81"/>
            <rFont val="Tahoma"/>
            <family val="2"/>
          </rPr>
          <t xml:space="preserve">
   This value will be the default to calculate the previously acumulated amortizations of the Initial Investment int the Initial Balance Sheet
</t>
        </r>
      </text>
    </comment>
    <comment ref="C48" authorId="2" shapeId="0" xr:uid="{00000000-0006-0000-0300-000011000000}">
      <text>
        <r>
          <rPr>
            <b/>
            <sz val="11"/>
            <color indexed="81"/>
            <rFont val="Tahoma"/>
            <family val="2"/>
          </rPr>
          <t>Miguel:</t>
        </r>
        <r>
          <rPr>
            <sz val="11"/>
            <color indexed="81"/>
            <rFont val="Tahoma"/>
            <family val="2"/>
          </rPr>
          <t xml:space="preserve">
   When set to Yes, the amount of raw materials, supplies, etc. is calculated to keep the ratio Warehouse/sales constant.
   If it is set to NO, then the warehouse amount remains constant whatever the yearly sales increase.
</t>
        </r>
      </text>
    </comment>
    <comment ref="A53" authorId="3" shapeId="0" xr:uid="{00000000-0006-0000-0300-000012000000}">
      <text>
        <r>
          <rPr>
            <b/>
            <sz val="12"/>
            <color indexed="81"/>
            <rFont val="Tahoma"/>
            <family val="2"/>
          </rPr>
          <t>Miguel Martinez:</t>
        </r>
        <r>
          <rPr>
            <sz val="12"/>
            <color indexed="81"/>
            <rFont val="Tahoma"/>
            <family val="2"/>
          </rPr>
          <t xml:space="preserve">
Should the initial month be not January, all the payments of the previous months would be summed up and supossed to be received in the first month of activity.</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1" authorId="0" shapeId="0" xr:uid="{00000000-0006-0000-4500-000001000000}">
      <text>
        <r>
          <rPr>
            <b/>
            <sz val="10"/>
            <color indexed="81"/>
            <rFont val="Tahoma"/>
            <family val="2"/>
          </rPr>
          <t>Miguel:</t>
        </r>
        <r>
          <rPr>
            <sz val="10"/>
            <color indexed="81"/>
            <rFont val="Tahoma"/>
            <family val="2"/>
          </rPr>
          <t xml:space="preserve">
Not yet fully developed</t>
        </r>
      </text>
    </comment>
    <comment ref="M10" authorId="0" shapeId="0" xr:uid="{00000000-0006-0000-4500-000002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20" authorId="0" shapeId="0" xr:uid="{00000000-0006-0000-4500-000003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30" authorId="0" shapeId="0" xr:uid="{00000000-0006-0000-4500-000004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41" authorId="0" shapeId="0" xr:uid="{00000000-0006-0000-4500-000005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 ref="M52" authorId="0" shapeId="0" xr:uid="{00000000-0006-0000-4500-000006000000}">
      <text>
        <r>
          <rPr>
            <b/>
            <sz val="11"/>
            <color indexed="81"/>
            <rFont val="Tahoma"/>
            <family val="2"/>
          </rPr>
          <t>Miguel:</t>
        </r>
        <r>
          <rPr>
            <sz val="11"/>
            <color indexed="81"/>
            <rFont val="Tahoma"/>
            <family val="2"/>
          </rPr>
          <t xml:space="preserve">
When the Income Tax of year 0 settled in July of Year 1 happens to be negative it will have to be refunded to the excess paid some months later (usually in december)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C16" authorId="0" shapeId="0" xr:uid="{00000000-0006-0000-4800-000001000000}">
      <text>
        <r>
          <rPr>
            <sz val="10"/>
            <color indexed="81"/>
            <rFont val="Tahoma"/>
            <family val="2"/>
          </rPr>
          <t xml:space="preserve">Including Stockage (purchases  apart from direct costs) is pending.
</t>
        </r>
      </text>
    </comment>
    <comment ref="C18" authorId="0" shapeId="0" xr:uid="{00000000-0006-0000-4800-000002000000}">
      <text>
        <r>
          <rPr>
            <sz val="10"/>
            <color indexed="81"/>
            <rFont val="Tahoma"/>
            <family val="2"/>
          </rPr>
          <t xml:space="preserve">Including Stockage (purchases  apart from direct costs) is pending.
</t>
        </r>
      </text>
    </comment>
    <comment ref="C33" authorId="0" shapeId="0" xr:uid="{00000000-0006-0000-4800-000003000000}">
      <text>
        <r>
          <rPr>
            <b/>
            <sz val="8"/>
            <color indexed="81"/>
            <rFont val="Tahoma"/>
            <family val="2"/>
          </rPr>
          <t>No se tienen en cuenta los gastos financieros. Solo Fijos y amortizaciones.</t>
        </r>
        <r>
          <rPr>
            <sz val="8"/>
            <color indexed="81"/>
            <rFont val="Tahoma"/>
            <family val="2"/>
          </rPr>
          <t xml:space="preserve">
</t>
        </r>
      </text>
    </comment>
    <comment ref="Q62" authorId="0" shapeId="0" xr:uid="{00000000-0006-0000-4800-000004000000}">
      <text>
        <r>
          <rPr>
            <b/>
            <sz val="10"/>
            <color indexed="81"/>
            <rFont val="Tahoma"/>
            <family val="2"/>
          </rPr>
          <t>Miguel:</t>
        </r>
        <r>
          <rPr>
            <sz val="10"/>
            <color indexed="81"/>
            <rFont val="Tahoma"/>
            <family val="2"/>
          </rPr>
          <t xml:space="preserve">
Inversiones actualizadas al año 0</t>
        </r>
      </text>
    </comment>
    <comment ref="R62" authorId="0" shapeId="0" xr:uid="{00000000-0006-0000-4800-000005000000}">
      <text>
        <r>
          <rPr>
            <sz val="12"/>
            <color indexed="81"/>
            <rFont val="Tahoma"/>
            <family val="2"/>
          </rPr>
          <t xml:space="preserve">
Los flujos de caja de los 5 primeros años se toman de los cálculos detallados del modelo, el resto de años se calculan con incrementos aleatorios en lugar de suponerlos iguales al último año simulado del modelo (el 5º).
       Aunque se calculen para 30 años, solo se toman los correspondientes a la vida útil estimada de la inversión redondeada al alza.</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B20" authorId="0" shapeId="0" xr:uid="{00000000-0006-0000-4900-000001000000}">
      <text>
        <r>
          <rPr>
            <b/>
            <sz val="10"/>
            <color indexed="81"/>
            <rFont val="Tahoma"/>
            <family val="2"/>
          </rPr>
          <t>MMP:</t>
        </r>
        <r>
          <rPr>
            <sz val="10"/>
            <color indexed="81"/>
            <rFont val="Tahoma"/>
            <family val="2"/>
          </rPr>
          <t xml:space="preserve"> 
The rate for a given risk free investment (usually Treasury bonds)
  The interest rate of Treasury bonds is used as a reference. 
</t>
        </r>
        <r>
          <rPr>
            <sz val="8"/>
            <color indexed="81"/>
            <rFont val="Tahoma"/>
            <family val="2"/>
          </rPr>
          <t xml:space="preserve">
</t>
        </r>
      </text>
    </comment>
    <comment ref="B23" authorId="0" shapeId="0" xr:uid="{00000000-0006-0000-4900-000002000000}">
      <text>
        <r>
          <rPr>
            <b/>
            <sz val="10"/>
            <color indexed="81"/>
            <rFont val="Tahoma"/>
            <family val="2"/>
          </rPr>
          <t xml:space="preserve">MMP: </t>
        </r>
        <r>
          <rPr>
            <sz val="10"/>
            <color indexed="81"/>
            <rFont val="Tahoma"/>
            <family val="2"/>
          </rPr>
          <t xml:space="preserve"> 
50% is the default value for the General Company Risk rate.
This rate is the measure of the company within its industry.</t>
        </r>
        <r>
          <rPr>
            <sz val="8"/>
            <color indexed="81"/>
            <rFont val="Tahoma"/>
            <family val="2"/>
          </rPr>
          <t xml:space="preserve">
</t>
        </r>
      </text>
    </comment>
    <comment ref="B24" authorId="0" shapeId="0" xr:uid="{00000000-0006-0000-4900-000003000000}">
      <text>
        <r>
          <rPr>
            <b/>
            <sz val="10"/>
            <color indexed="81"/>
            <rFont val="Tahoma"/>
            <family val="2"/>
          </rPr>
          <t xml:space="preserve">Miguel: 
</t>
        </r>
        <r>
          <rPr>
            <sz val="10"/>
            <color indexed="81"/>
            <rFont val="Tahoma"/>
            <family val="2"/>
          </rPr>
          <t>A usual criterion is to add 1% of risk rate for each threat for the project up to 15% maximum.</t>
        </r>
        <r>
          <rPr>
            <b/>
            <sz val="10"/>
            <color indexed="81"/>
            <rFont val="Tahoma"/>
            <family val="2"/>
          </rPr>
          <t xml:space="preserve">
</t>
        </r>
        <r>
          <rPr>
            <sz val="8"/>
            <color indexed="81"/>
            <rFont val="Tahoma"/>
            <family val="2"/>
          </rPr>
          <t xml:space="preserve">
</t>
        </r>
      </text>
    </comment>
    <comment ref="G25" authorId="0" shapeId="0" xr:uid="{00000000-0006-0000-4900-000004000000}">
      <text>
        <r>
          <rPr>
            <b/>
            <sz val="10"/>
            <color indexed="81"/>
            <rFont val="Tahoma"/>
            <family val="2"/>
          </rPr>
          <t xml:space="preserve">MMP: 
</t>
        </r>
        <r>
          <rPr>
            <sz val="10"/>
            <color indexed="81"/>
            <rFont val="Tahoma"/>
            <family val="2"/>
          </rPr>
          <t>Financial Cost of the negative cash flows.</t>
        </r>
        <r>
          <rPr>
            <b/>
            <sz val="10"/>
            <color indexed="81"/>
            <rFont val="Tahoma"/>
            <family val="2"/>
          </rPr>
          <t xml:space="preserve">
</t>
        </r>
        <r>
          <rPr>
            <sz val="10"/>
            <color indexed="81"/>
            <rFont val="Tahoma"/>
            <family val="2"/>
          </rPr>
          <t>The default value is the maximum yearly average financial cost for the company.</t>
        </r>
        <r>
          <rPr>
            <sz val="8"/>
            <color indexed="81"/>
            <rFont val="Tahoma"/>
            <family val="2"/>
          </rPr>
          <t xml:space="preserve">
</t>
        </r>
      </text>
    </comment>
    <comment ref="G26" authorId="0" shapeId="0" xr:uid="{00000000-0006-0000-4900-000005000000}">
      <text>
        <r>
          <rPr>
            <b/>
            <sz val="10"/>
            <color indexed="81"/>
            <rFont val="Tahoma"/>
            <family val="2"/>
          </rPr>
          <t xml:space="preserve">MMP: </t>
        </r>
        <r>
          <rPr>
            <sz val="10"/>
            <color indexed="81"/>
            <rFont val="Tahoma"/>
            <family val="2"/>
          </rPr>
          <t xml:space="preserve">Interest rate for the reinvested cashflows.
By default the same than the interest rate in current bank account.
</t>
        </r>
      </text>
    </comment>
    <comment ref="B27" authorId="0" shapeId="0" xr:uid="{00000000-0006-0000-4900-000006000000}">
      <text>
        <r>
          <rPr>
            <b/>
            <sz val="10"/>
            <color indexed="81"/>
            <rFont val="Tahoma"/>
            <family val="2"/>
          </rPr>
          <t xml:space="preserve">MMP: </t>
        </r>
        <r>
          <rPr>
            <sz val="10"/>
            <color indexed="81"/>
            <rFont val="Tahoma"/>
            <family val="2"/>
          </rPr>
          <t>Overall sum of all componets of the risk rate for the company.</t>
        </r>
        <r>
          <rPr>
            <b/>
            <sz val="10"/>
            <color indexed="81"/>
            <rFont val="Tahoma"/>
            <family val="2"/>
          </rPr>
          <t xml:space="preserve">
</t>
        </r>
        <r>
          <rPr>
            <sz val="8"/>
            <color indexed="81"/>
            <rFont val="Tahoma"/>
            <family val="2"/>
          </rPr>
          <t xml:space="preserve">
 </t>
        </r>
      </text>
    </comment>
    <comment ref="G32" authorId="0" shapeId="0" xr:uid="{00000000-0006-0000-4900-000007000000}">
      <text>
        <r>
          <rPr>
            <b/>
            <sz val="10"/>
            <color indexed="81"/>
            <rFont val="Tahoma"/>
            <family val="2"/>
          </rPr>
          <t xml:space="preserve">Miguel: </t>
        </r>
        <r>
          <rPr>
            <sz val="10"/>
            <color indexed="81"/>
            <rFont val="Tahoma"/>
            <family val="2"/>
          </rPr>
          <t xml:space="preserve"> Vauatyion according to the EBITDA for Year 4.</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A28" authorId="0" shapeId="0" xr:uid="{00000000-0006-0000-4A00-000001000000}">
      <text>
        <r>
          <rPr>
            <b/>
            <sz val="10"/>
            <color indexed="81"/>
            <rFont val="Tahoma"/>
            <family val="2"/>
          </rPr>
          <t>Miguel:</t>
        </r>
        <r>
          <rPr>
            <sz val="10"/>
            <color indexed="81"/>
            <rFont val="Tahoma"/>
            <family val="2"/>
          </rPr>
          <t xml:space="preserve">
    Years it would take to recover the initial investment</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B70" authorId="0" shapeId="0" xr:uid="{00000000-0006-0000-4B00-000001000000}">
      <text>
        <r>
          <rPr>
            <b/>
            <sz val="9"/>
            <color indexed="81"/>
            <rFont val="Tahoma"/>
            <family val="2"/>
          </rPr>
          <t>Miguel Martinez:</t>
        </r>
        <r>
          <rPr>
            <sz val="9"/>
            <color indexed="81"/>
            <rFont val="Tahoma"/>
            <family val="2"/>
          </rPr>
          <t xml:space="preserve">
Patrimonio Neto del Balance Inicial Previo</t>
        </r>
      </text>
    </comment>
    <comment ref="B72" authorId="0" shapeId="0" xr:uid="{00000000-0006-0000-4B00-000002000000}">
      <text>
        <r>
          <rPr>
            <b/>
            <sz val="9"/>
            <color indexed="81"/>
            <rFont val="Tahoma"/>
            <family val="2"/>
          </rPr>
          <t>Miguel Martinez:</t>
        </r>
        <r>
          <rPr>
            <sz val="9"/>
            <color indexed="81"/>
            <rFont val="Tahoma"/>
            <family val="2"/>
          </rPr>
          <t xml:space="preserve">
Ampliación de Capital al inicio (NO en el Previo)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Miguel Martinez</author>
  </authors>
  <commentList>
    <comment ref="D19" authorId="0" shapeId="0" xr:uid="{00000000-0006-0000-0400-000001000000}">
      <text>
        <r>
          <rPr>
            <b/>
            <sz val="11"/>
            <color indexed="81"/>
            <rFont val="Tahoma"/>
            <family val="2"/>
          </rPr>
          <t>Miguel Martinez:</t>
        </r>
        <r>
          <rPr>
            <sz val="11"/>
            <color indexed="81"/>
            <rFont val="Tahoma"/>
            <family val="2"/>
          </rPr>
          <t xml:space="preserve">
NO CAMBIAR  Esta cifra proviene de los gastos fijos (alquiler) y es necesario para que no descuadre.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Miguel</author>
  </authors>
  <commentList>
    <comment ref="D6" authorId="0" shapeId="0" xr:uid="{00000000-0006-0000-0500-000001000000}">
      <text>
        <r>
          <rPr>
            <b/>
            <sz val="8"/>
            <color indexed="81"/>
            <rFont val="Tahoma"/>
            <family val="2"/>
          </rPr>
          <t>Miguel:</t>
        </r>
        <r>
          <rPr>
            <sz val="8"/>
            <color indexed="81"/>
            <rFont val="Tahoma"/>
            <family val="2"/>
          </rPr>
          <t xml:space="preserve">
Land investments are not elligible for amortization nor depreciation.
</t>
        </r>
      </text>
    </comment>
    <comment ref="E6" authorId="0" shapeId="0" xr:uid="{00000000-0006-0000-0500-000002000000}">
      <text>
        <r>
          <rPr>
            <b/>
            <sz val="8"/>
            <color indexed="81"/>
            <rFont val="Tahoma"/>
            <family val="2"/>
          </rPr>
          <t>Miguel:</t>
        </r>
        <r>
          <rPr>
            <sz val="8"/>
            <color indexed="81"/>
            <rFont val="Tahoma"/>
            <family val="2"/>
          </rPr>
          <t xml:space="preserve">
Land investments are not elligible for amortization nor depreciation.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Miguel Martínez</author>
    <author>Miguel</author>
  </authors>
  <commentList>
    <comment ref="A7" authorId="0" shapeId="0" xr:uid="{00000000-0006-0000-0700-000001000000}">
      <text>
        <r>
          <rPr>
            <b/>
            <sz val="10"/>
            <color indexed="81"/>
            <rFont val="Tahoma"/>
            <family val="2"/>
          </rPr>
          <t>Miguel Martínez:</t>
        </r>
        <r>
          <rPr>
            <sz val="10"/>
            <color indexed="81"/>
            <rFont val="Tahoma"/>
            <family val="2"/>
          </rPr>
          <t xml:space="preserve">
Constitution Expenses cannot be amortizated or consider as an asset. They will be included in the Networth of the Balance Sheet with negative sign and therfore as and undervalue of the Networth usually into the Reserves account.
</t>
        </r>
      </text>
    </comment>
    <comment ref="B8" authorId="1" shapeId="0" xr:uid="{00000000-0006-0000-0700-000002000000}">
      <text>
        <r>
          <rPr>
            <b/>
            <sz val="8"/>
            <color indexed="81"/>
            <rFont val="Tahoma"/>
            <family val="2"/>
          </rPr>
          <t xml:space="preserve">MMP: </t>
        </r>
        <r>
          <rPr>
            <sz val="8"/>
            <color indexed="81"/>
            <rFont val="Tahoma"/>
            <family val="2"/>
          </rPr>
          <t xml:space="preserve"> 
Default values for Corporate Entities.
These values can be modified.</t>
        </r>
        <r>
          <rPr>
            <sz val="8"/>
            <color indexed="81"/>
            <rFont val="Tahoma"/>
            <family val="2"/>
          </rPr>
          <t xml:space="preserve">
</t>
        </r>
      </text>
    </comment>
    <comment ref="C11" authorId="1" shapeId="0" xr:uid="{00000000-0006-0000-0700-000003000000}">
      <text>
        <r>
          <rPr>
            <b/>
            <sz val="8"/>
            <color indexed="81"/>
            <rFont val="Tahoma"/>
            <family val="2"/>
          </rPr>
          <t>Miguel:</t>
        </r>
        <r>
          <rPr>
            <sz val="8"/>
            <color indexed="81"/>
            <rFont val="Tahoma"/>
            <family val="2"/>
          </rPr>
          <t xml:space="preserve">
Depending on the investments: type and amount and also on how they are financed.</t>
        </r>
      </text>
    </comment>
    <comment ref="A14" authorId="0" shapeId="0" xr:uid="{00000000-0006-0000-0700-000004000000}">
      <text>
        <r>
          <rPr>
            <b/>
            <sz val="10"/>
            <color indexed="81"/>
            <rFont val="Tahoma"/>
            <family val="2"/>
          </rPr>
          <t>Miguel Martínez:</t>
        </r>
        <r>
          <rPr>
            <sz val="10"/>
            <color indexed="81"/>
            <rFont val="Tahoma"/>
            <family val="2"/>
          </rPr>
          <t xml:space="preserve">
Establishment expenses (First establishment or further establishments) should be charged as expenses in the same year they occur without any kind of amortization o depreciation policy according to accounting regulations.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s>
  <commentList>
    <comment ref="D7" authorId="0" shapeId="0" xr:uid="{00000000-0006-0000-0800-000001000000}">
      <text>
        <r>
          <rPr>
            <b/>
            <sz val="10"/>
            <color indexed="81"/>
            <rFont val="Tahoma"/>
            <family val="2"/>
          </rPr>
          <t>Miguel Martinez:</t>
        </r>
        <r>
          <rPr>
            <sz val="10"/>
            <color indexed="81"/>
            <rFont val="Tahoma"/>
            <family val="2"/>
          </rPr>
          <t xml:space="preserve">
The formula in this cell calculates the correction of the cash item in the balance sheet so both sides of the Initial Balance Sheet match.
And therefore changes can be made over the Initial Balance Sheet.
DO NOT MODIFY this cell. Please.</t>
        </r>
      </text>
    </comment>
    <comment ref="A12" authorId="1" shapeId="0" xr:uid="{00000000-0006-0000-0800-000002000000}">
      <text>
        <r>
          <rPr>
            <b/>
            <sz val="10"/>
            <color indexed="81"/>
            <rFont val="Tahoma"/>
            <family val="2"/>
          </rPr>
          <t>Miguel:</t>
        </r>
        <r>
          <rPr>
            <sz val="10"/>
            <color indexed="81"/>
            <rFont val="Tahoma"/>
            <family val="2"/>
          </rPr>
          <t xml:space="preserve">
 </t>
        </r>
        <r>
          <rPr>
            <sz val="11"/>
            <color indexed="81"/>
            <rFont val="Tahoma"/>
            <family val="2"/>
          </rPr>
          <t xml:space="preserve">The names (labels) of the three inventory groups can be changed here if necessary. </t>
        </r>
      </text>
    </comment>
    <comment ref="E12" authorId="1" shapeId="0" xr:uid="{00000000-0006-0000-0800-000003000000}">
      <text>
        <r>
          <rPr>
            <sz val="10"/>
            <color indexed="81"/>
            <rFont val="Tahoma"/>
            <family val="2"/>
          </rPr>
          <t xml:space="preserve">Porcentaje que se aporta en especie, y por tanto NO sujeto a IVA.
 El resto se considera comprado, y por tanto sujeto a IVA
</t>
        </r>
      </text>
    </comment>
    <comment ref="E13" authorId="1" shapeId="0" xr:uid="{00000000-0006-0000-0800-000004000000}">
      <text>
        <r>
          <rPr>
            <sz val="10"/>
            <color indexed="81"/>
            <rFont val="Tahoma"/>
            <family val="2"/>
          </rPr>
          <t xml:space="preserve">Porcentaje que se aporta en especie, y por tanto NO sujeto a IVA.
 El resto se considera comprado, y por tanto sujeto a IVA
</t>
        </r>
      </text>
    </comment>
    <comment ref="E14" authorId="1" shapeId="0" xr:uid="{00000000-0006-0000-0800-000005000000}">
      <text>
        <r>
          <rPr>
            <sz val="10"/>
            <color indexed="81"/>
            <rFont val="Tahoma"/>
            <family val="2"/>
          </rPr>
          <t xml:space="preserve">Porcentaje que se aporta en especie, y por tanto NO sujeto a IVA.
 El resto se considera comprado, y por tanto sujeto a IVA
</t>
        </r>
      </text>
    </comment>
    <comment ref="C39" authorId="1" shapeId="0" xr:uid="{00000000-0006-0000-0800-000006000000}">
      <text>
        <r>
          <rPr>
            <b/>
            <sz val="11"/>
            <color indexed="81"/>
            <rFont val="Tahoma"/>
            <family val="2"/>
          </rPr>
          <t>Miguel:</t>
        </r>
        <r>
          <rPr>
            <sz val="11"/>
            <color indexed="81"/>
            <rFont val="Tahoma"/>
            <family val="2"/>
          </rPr>
          <t xml:space="preserve">
   Los incrementos de almacén están por defecto prorrateados de forma proporcional a los incrementos de ventas interanuales, y dentro de cada año a la composición del almacén inicial.
    En el caso del primer año (año 1) se calculan en función de las ventas mensuales medias del año anterior (año 0) en el caso de que el mes de inicio no sea enero del primer año.</t>
        </r>
      </text>
    </comment>
    <comment ref="B46" authorId="1" shapeId="0" xr:uid="{00000000-0006-0000-0800-000007000000}">
      <text>
        <r>
          <rPr>
            <b/>
            <sz val="11"/>
            <color indexed="81"/>
            <rFont val="Tahoma"/>
            <family val="2"/>
          </rPr>
          <t>Miguel:</t>
        </r>
        <r>
          <rPr>
            <sz val="11"/>
            <color indexed="81"/>
            <rFont val="Tahoma"/>
            <family val="2"/>
          </rPr>
          <t xml:space="preserve">
   Cash investment is not considered because it is used to match the balance sheet and "balance" it.
   It is done by calculating the difference, that is the financing and funding escess of every year are placed in the corresponding cell for available cash.  Or what is the same, the excess of funding not needed for other assets.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Miguel Martinez</author>
    <author>Miguel</author>
    <author>MMP</author>
  </authors>
  <commentList>
    <comment ref="D14" authorId="0" shapeId="0" xr:uid="{00000000-0006-0000-0900-000001000000}">
      <text>
        <r>
          <rPr>
            <b/>
            <sz val="11"/>
            <color indexed="81"/>
            <rFont val="Tahoma"/>
            <family val="2"/>
          </rPr>
          <t>Miguel Martinez:</t>
        </r>
        <r>
          <rPr>
            <sz val="11"/>
            <color indexed="81"/>
            <rFont val="Tahoma"/>
            <family val="2"/>
          </rPr>
          <t xml:space="preserve">
When there is a Initial Balance the amount in this cell will be considered an increase of the Capital
</t>
        </r>
      </text>
    </comment>
    <comment ref="A19" authorId="1" shapeId="0" xr:uid="{00000000-0006-0000-0900-000002000000}">
      <text>
        <r>
          <rPr>
            <b/>
            <sz val="12"/>
            <color indexed="81"/>
            <rFont val="Tahoma"/>
            <family val="2"/>
          </rPr>
          <t>Miguel:</t>
        </r>
        <r>
          <rPr>
            <sz val="12"/>
            <color indexed="81"/>
            <rFont val="Tahoma"/>
            <family val="2"/>
          </rPr>
          <t xml:space="preserve">
Only subsidies with a cash date confirmation should be included.
Only non repayable subsidies must be considered, since repayable subsidies are really loans or borrowings.
</t>
        </r>
      </text>
    </comment>
    <comment ref="C32" authorId="1" shapeId="0" xr:uid="{00000000-0006-0000-0900-000003000000}">
      <text>
        <r>
          <rPr>
            <sz val="12"/>
            <color indexed="81"/>
            <rFont val="Tahoma"/>
            <family val="2"/>
          </rPr>
          <t xml:space="preserve">
The interest rate depends upon the type of loan / mortgage constituted. 
</t>
        </r>
      </text>
    </comment>
    <comment ref="A33" authorId="1" shapeId="0" xr:uid="{00000000-0006-0000-0900-000004000000}">
      <text>
        <r>
          <rPr>
            <b/>
            <sz val="12"/>
            <color indexed="81"/>
            <rFont val="Tahoma"/>
            <family val="2"/>
          </rPr>
          <t>Miguel:</t>
        </r>
        <r>
          <rPr>
            <sz val="12"/>
            <color indexed="81"/>
            <rFont val="Tahoma"/>
            <family val="2"/>
          </rPr>
          <t xml:space="preserve">
    Initial expenses are charged along the first payment of the loan. </t>
        </r>
      </text>
    </comment>
    <comment ref="C33" authorId="1" shapeId="0" xr:uid="{00000000-0006-0000-0900-000005000000}">
      <text>
        <r>
          <rPr>
            <sz val="12"/>
            <color indexed="81"/>
            <rFont val="Tahoma"/>
            <family val="2"/>
          </rPr>
          <t xml:space="preserve">
Constitution initial expenses are estimated over the principal (%) They should include ALL the constitution and initial cost of the loan.
</t>
        </r>
        <r>
          <rPr>
            <b/>
            <sz val="12"/>
            <color indexed="81"/>
            <rFont val="Tahoma"/>
            <family val="2"/>
          </rPr>
          <t>Typical values are from 0% to 5%</t>
        </r>
        <r>
          <rPr>
            <sz val="12"/>
            <color indexed="81"/>
            <rFont val="Tahoma"/>
            <family val="2"/>
          </rPr>
          <t xml:space="preserve">
This expenses are payed once along with the first payment made (grace period or not)
</t>
        </r>
      </text>
    </comment>
    <comment ref="A34" authorId="2" shapeId="0" xr:uid="{00000000-0006-0000-0900-000006000000}">
      <text>
        <r>
          <rPr>
            <b/>
            <sz val="11"/>
            <color indexed="81"/>
            <rFont val="Tahoma"/>
            <family val="2"/>
          </rPr>
          <t>MMP:</t>
        </r>
        <r>
          <rPr>
            <sz val="11"/>
            <color indexed="81"/>
            <rFont val="Tahoma"/>
            <family val="2"/>
          </rPr>
          <t xml:space="preserve">
Is the total number of payments including the grace preamortization periods that are added prior to the amortization periods.
Thererfore the total number of payments will be:
</t>
        </r>
        <r>
          <rPr>
            <b/>
            <sz val="11"/>
            <color indexed="81"/>
            <rFont val="Tahoma"/>
            <family val="2"/>
          </rPr>
          <t xml:space="preserve">
Total number of periods + preamortization number of peridos</t>
        </r>
      </text>
    </comment>
    <comment ref="D49" authorId="1" shapeId="0" xr:uid="{00000000-0006-0000-0900-000007000000}">
      <text>
        <r>
          <rPr>
            <b/>
            <sz val="12"/>
            <color indexed="81"/>
            <rFont val="Tahoma"/>
            <family val="2"/>
          </rPr>
          <t xml:space="preserve">Miguel: 
</t>
        </r>
        <r>
          <rPr>
            <sz val="12"/>
            <color indexed="81"/>
            <rFont val="Tahoma"/>
            <family val="2"/>
          </rPr>
          <t>It is assumed that a single credit account is available. The conditions may vary every year.</t>
        </r>
        <r>
          <rPr>
            <b/>
            <sz val="12"/>
            <color indexed="81"/>
            <rFont val="Tahoma"/>
            <family val="2"/>
          </rPr>
          <t xml:space="preserve">
</t>
        </r>
      </text>
    </comment>
    <comment ref="D50" authorId="1" shapeId="0" xr:uid="{00000000-0006-0000-0900-000008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E50" authorId="1" shapeId="0" xr:uid="{00000000-0006-0000-0900-000009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F50" authorId="1" shapeId="0" xr:uid="{00000000-0006-0000-0900-00000A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G50" authorId="1" shapeId="0" xr:uid="{00000000-0006-0000-0900-00000B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H50" authorId="1" shapeId="0" xr:uid="{00000000-0006-0000-0900-00000C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the first month the credit is available.
</t>
        </r>
      </text>
    </comment>
    <comment ref="D51" authorId="1" shapeId="0" xr:uid="{00000000-0006-0000-0900-00000D000000}">
      <text>
        <r>
          <rPr>
            <sz val="12"/>
            <color indexed="81"/>
            <rFont val="Tahoma"/>
            <family val="2"/>
          </rPr>
          <t xml:space="preserve">
The interest rate depends upon the type of credit account constituted. 
</t>
        </r>
      </text>
    </comment>
    <comment ref="D52" authorId="1" shapeId="0" xr:uid="{00000000-0006-0000-0900-00000E000000}">
      <text>
        <r>
          <rPr>
            <sz val="12"/>
            <color indexed="81"/>
            <rFont val="Tahoma"/>
            <family val="2"/>
          </rPr>
          <t xml:space="preserve">
The interest rate depends upon the type of credit account constituted. 
</t>
        </r>
      </text>
    </comment>
    <comment ref="A58" authorId="1" shapeId="0" xr:uid="{00000000-0006-0000-0900-00000F000000}">
      <text>
        <r>
          <rPr>
            <sz val="12"/>
            <color indexed="81"/>
            <rFont val="Tahoma"/>
            <family val="2"/>
          </rPr>
          <t xml:space="preserve">    This rate should include all leasing costs. 
    It should be siilar to the Annual Percentage Rate (APR) or close to it.</t>
        </r>
      </text>
    </comment>
    <comment ref="C60" authorId="1" shapeId="0" xr:uid="{00000000-0006-0000-0900-000010000000}">
      <text>
        <r>
          <rPr>
            <sz val="12"/>
            <color indexed="81"/>
            <rFont val="Tahoma"/>
            <family val="2"/>
          </rPr>
          <t xml:space="preserve">
Constitution initial expenses are estimated over the principal (%) They should include ALL the constitution and initial cost of the credit account.
</t>
        </r>
        <r>
          <rPr>
            <b/>
            <sz val="12"/>
            <color indexed="81"/>
            <rFont val="Tahoma"/>
            <family val="2"/>
          </rPr>
          <t>Typical values are from 0% to 5%</t>
        </r>
        <r>
          <rPr>
            <sz val="12"/>
            <color indexed="81"/>
            <rFont val="Tahoma"/>
            <family val="2"/>
          </rPr>
          <t xml:space="preserve">
This expenses are payed once along with the first payment made.
</t>
        </r>
      </text>
    </comment>
    <comment ref="A69" authorId="1" shapeId="0" xr:uid="{00000000-0006-0000-0900-000011000000}">
      <text>
        <r>
          <rPr>
            <sz val="12"/>
            <color indexed="81"/>
            <rFont val="Tahoma"/>
            <family val="2"/>
          </rPr>
          <t xml:space="preserve">    En este tipo se deben incluir todos los costes del arrendamiento.
    Debería ser el TAE o una tasa cercana.</t>
        </r>
      </text>
    </comment>
    <comment ref="C70" authorId="1" shapeId="0" xr:uid="{00000000-0006-0000-0900-000012000000}">
      <text>
        <r>
          <rPr>
            <sz val="10"/>
            <color indexed="81"/>
            <rFont val="Tahoma"/>
            <family val="2"/>
          </rPr>
          <t xml:space="preserve">
Los gastos iniciales se estiman sobre el principal en %. Deben incluir TODOS los costes de apertura y constitución del préstamo.
</t>
        </r>
        <r>
          <rPr>
            <b/>
            <sz val="10"/>
            <color indexed="81"/>
            <rFont val="Tahoma"/>
            <family val="2"/>
          </rPr>
          <t>Debe ser un % entre 0% y 5%</t>
        </r>
        <r>
          <rPr>
            <sz val="10"/>
            <color indexed="81"/>
            <rFont val="Tahoma"/>
            <family val="2"/>
          </rPr>
          <t xml:space="preserve">
Se pagan de una sola vez conjuntamente con la primera mensualidad (o pago de intereses en el caso de que haya carencia).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Miguel</author>
    <author>Abderraman 6.327</author>
    <author>Miguel Martínez</author>
  </authors>
  <commentList>
    <comment ref="D4" authorId="0" shapeId="0" xr:uid="{00000000-0006-0000-0E00-000001000000}">
      <text>
        <r>
          <rPr>
            <b/>
            <sz val="11"/>
            <color indexed="81"/>
            <rFont val="Tahoma"/>
            <family val="2"/>
          </rPr>
          <t>Miguel:</t>
        </r>
        <r>
          <rPr>
            <sz val="11"/>
            <color indexed="81"/>
            <rFont val="Tahoma"/>
            <family val="2"/>
          </rPr>
          <t xml:space="preserve">  Leave this cell unchanged
This is the starting month: first month of activity. 
This monht can be set at the Parameters Sheet.
( </t>
        </r>
        <r>
          <rPr>
            <b/>
            <sz val="11"/>
            <color indexed="81"/>
            <rFont val="Tahoma"/>
            <family val="2"/>
          </rPr>
          <t>NOT HERE )</t>
        </r>
        <r>
          <rPr>
            <sz val="11"/>
            <color indexed="81"/>
            <rFont val="Tahoma"/>
            <family val="2"/>
          </rPr>
          <t xml:space="preserve">
</t>
        </r>
      </text>
    </comment>
    <comment ref="A6" authorId="1" shapeId="0" xr:uid="{00000000-0006-0000-0E00-000002000000}">
      <text>
        <r>
          <rPr>
            <b/>
            <sz val="8"/>
            <color indexed="81"/>
            <rFont val="Tahoma"/>
            <family val="2"/>
          </rPr>
          <t xml:space="preserve">MMP:
</t>
        </r>
        <r>
          <rPr>
            <sz val="11"/>
            <color indexed="81"/>
            <rFont val="Tahoma"/>
            <family val="2"/>
          </rPr>
          <t>This sheet is only needed (the second page or fhis sheet) in case of different monthly staffs due to seasonality or in case of increasing staff specially during the first months of activity.</t>
        </r>
        <r>
          <rPr>
            <b/>
            <sz val="8"/>
            <color indexed="81"/>
            <rFont val="Tahoma"/>
            <family val="2"/>
          </rPr>
          <t xml:space="preserve">
</t>
        </r>
        <r>
          <rPr>
            <sz val="10"/>
            <color indexed="81"/>
            <rFont val="Tahoma"/>
            <family val="2"/>
          </rPr>
          <t xml:space="preserve">
</t>
        </r>
        <r>
          <rPr>
            <b/>
            <sz val="12"/>
            <color indexed="81"/>
            <rFont val="Tahoma"/>
            <family val="2"/>
          </rPr>
          <t xml:space="preserve">Should the staff every year be the same with no changes during each year, there is NO need to use this sheet, nor print it nor modify the default values assigned. </t>
        </r>
      </text>
    </comment>
    <comment ref="B8" authorId="2" shapeId="0" xr:uid="{00000000-0006-0000-0E00-000003000000}">
      <text>
        <r>
          <rPr>
            <b/>
            <sz val="10"/>
            <color indexed="81"/>
            <rFont val="Tahoma"/>
            <family val="2"/>
          </rPr>
          <t>Miguel Martínez:</t>
        </r>
        <r>
          <rPr>
            <sz val="10"/>
            <color indexed="81"/>
            <rFont val="Tahoma"/>
            <family val="2"/>
          </rPr>
          <t xml:space="preserve">
  Initial staff for month 0 (starting up month) of the first year of activity. 
Not necessarily january.</t>
        </r>
      </text>
    </comment>
    <comment ref="A9" authorId="2" shapeId="0" xr:uid="{00000000-0006-0000-0E00-000004000000}">
      <text>
        <r>
          <rPr>
            <b/>
            <sz val="11"/>
            <color indexed="81"/>
            <rFont val="Tahoma"/>
            <family val="2"/>
          </rPr>
          <t>Miguel Martínez:</t>
        </r>
        <r>
          <rPr>
            <sz val="11"/>
            <color indexed="81"/>
            <rFont val="Tahoma"/>
            <family val="2"/>
          </rPr>
          <t xml:space="preserve">
        Owners or self employees not subjet to the general regime in the Social Security. 
      Because they are subjet to a specific regime (such as RETA in Spain) or because such owners were exempted of the Social Security or with private Mutualities or Pension Funds.
</t>
        </r>
      </text>
    </comment>
    <comment ref="A10" authorId="2" shapeId="0" xr:uid="{00000000-0006-0000-0E00-000005000000}">
      <text>
        <r>
          <rPr>
            <b/>
            <sz val="11"/>
            <color indexed="81"/>
            <rFont val="Tahoma"/>
            <family val="2"/>
          </rPr>
          <t>Miguel Martínez:</t>
        </r>
        <r>
          <rPr>
            <sz val="11"/>
            <color indexed="81"/>
            <rFont val="Tahoma"/>
            <family val="2"/>
          </rPr>
          <t xml:space="preserve">
       People working in the company with no obligation or possibility to affiliate the Social Security Self employees regime such as owners' relatives or couples.
 Or in some cases owners payed for a diferent reason than working in the company, and therefore with not obligation to affiliate the Social Security.
</t>
        </r>
      </text>
    </comment>
    <comment ref="A20" authorId="2" shapeId="0" xr:uid="{00000000-0006-0000-0E00-000006000000}">
      <text>
        <r>
          <rPr>
            <b/>
            <sz val="11"/>
            <color indexed="81"/>
            <rFont val="Tahoma"/>
            <family val="2"/>
          </rPr>
          <t>Miguel Martínez:</t>
        </r>
        <r>
          <rPr>
            <sz val="11"/>
            <color indexed="81"/>
            <rFont val="Tahoma"/>
            <family val="2"/>
          </rPr>
          <t xml:space="preserve">
        Net variations of the number of owners at work or subjet to Social Security obligations. Variations can be positive (increment) or negative (decrement) 
        In most cases, at least 1 person should be in charge to the social security and therefore subjet to the self employees Special Regime. But in some scare cases there might be no owners at such special Social Security regime. 
      Should it be the case in wich no owners are oblied to afffiliate the special self employees regime, then a 0 should be set in the cell. But this doesn't mean there are owners working in the company, but that no working owners is subjet to the Social Security regime.
</t>
        </r>
      </text>
    </comment>
    <comment ref="B27" authorId="2" shapeId="0" xr:uid="{00000000-0006-0000-0E00-000007000000}">
      <text>
        <r>
          <rPr>
            <b/>
            <sz val="10"/>
            <color indexed="81"/>
            <rFont val="Tahoma"/>
            <family val="2"/>
          </rPr>
          <t>Miguel Martínez:</t>
        </r>
        <r>
          <rPr>
            <sz val="10"/>
            <color indexed="81"/>
            <rFont val="Tahoma"/>
            <family val="2"/>
          </rPr>
          <t xml:space="preserve">
  Initial staff for this year.</t>
        </r>
      </text>
    </comment>
    <comment ref="B46" authorId="2" shapeId="0" xr:uid="{00000000-0006-0000-0E00-000008000000}">
      <text>
        <r>
          <rPr>
            <b/>
            <sz val="10"/>
            <color indexed="81"/>
            <rFont val="Tahoma"/>
            <family val="2"/>
          </rPr>
          <t>Miguel Martínez:</t>
        </r>
        <r>
          <rPr>
            <sz val="10"/>
            <color indexed="81"/>
            <rFont val="Tahoma"/>
            <family val="2"/>
          </rPr>
          <t xml:space="preserve">
  Initial staff for this year.</t>
        </r>
      </text>
    </comment>
    <comment ref="B65" authorId="2" shapeId="0" xr:uid="{00000000-0006-0000-0E00-000009000000}">
      <text>
        <r>
          <rPr>
            <b/>
            <sz val="10"/>
            <color indexed="81"/>
            <rFont val="Tahoma"/>
            <family val="2"/>
          </rPr>
          <t>Miguel Martínez:</t>
        </r>
        <r>
          <rPr>
            <sz val="10"/>
            <color indexed="81"/>
            <rFont val="Tahoma"/>
            <family val="2"/>
          </rPr>
          <t xml:space="preserve">
  Initial staff for this year.</t>
        </r>
      </text>
    </comment>
    <comment ref="B84" authorId="2" shapeId="0" xr:uid="{00000000-0006-0000-0E00-00000A000000}">
      <text>
        <r>
          <rPr>
            <b/>
            <sz val="10"/>
            <color indexed="81"/>
            <rFont val="Tahoma"/>
            <family val="2"/>
          </rPr>
          <t>Miguel Martínez:</t>
        </r>
        <r>
          <rPr>
            <sz val="10"/>
            <color indexed="81"/>
            <rFont val="Tahoma"/>
            <family val="2"/>
          </rPr>
          <t xml:space="preserve">
  Initial staff for this year.</t>
        </r>
      </text>
    </comment>
  </commentList>
</comments>
</file>

<file path=xl/sharedStrings.xml><?xml version="1.0" encoding="utf-8"?>
<sst xmlns="http://schemas.openxmlformats.org/spreadsheetml/2006/main" count="1992" uniqueCount="1267">
  <si>
    <t>Total</t>
  </si>
  <si>
    <t>% / Vtas</t>
  </si>
  <si>
    <t>% / Ctes</t>
  </si>
  <si>
    <t>%</t>
  </si>
  <si>
    <t>Variación</t>
  </si>
  <si>
    <t>Ratios Básicos</t>
  </si>
  <si>
    <t>Fórmulas</t>
  </si>
  <si>
    <t>Balance previsional año 0</t>
  </si>
  <si>
    <t>Balance previsional año 1</t>
  </si>
  <si>
    <t>Balance previsional año 2</t>
  </si>
  <si>
    <t xml:space="preserve">% </t>
  </si>
  <si>
    <t>Balance Inicial Previo</t>
  </si>
  <si>
    <t>nº total de páginas</t>
  </si>
  <si>
    <t>Ptas.</t>
  </si>
  <si>
    <t>1 € =</t>
  </si>
  <si>
    <t>Valor residual</t>
  </si>
  <si>
    <t>Principal</t>
  </si>
  <si>
    <t>Euros</t>
  </si>
  <si>
    <t>Tesorerías</t>
  </si>
  <si>
    <t>BALANCES</t>
  </si>
  <si>
    <t>Dotación para amortizaciones</t>
  </si>
  <si>
    <t>Otras ratios y parámetros</t>
  </si>
  <si>
    <t>NO</t>
  </si>
  <si>
    <t>folios</t>
  </si>
  <si>
    <t>nº</t>
  </si>
  <si>
    <t>No</t>
  </si>
  <si>
    <t>S.L.L.</t>
  </si>
  <si>
    <t>S.A.L.</t>
  </si>
  <si>
    <t>IRPF
cuota</t>
  </si>
  <si>
    <t>S.L.N.E. (SL Nueva Empresa)</t>
  </si>
  <si>
    <t>"</t>
  </si>
  <si>
    <t>incr. %</t>
  </si>
  <si>
    <t>IPSI</t>
  </si>
  <si>
    <t>IGIC</t>
  </si>
  <si>
    <t>Exento</t>
  </si>
  <si>
    <t>C.B.</t>
  </si>
  <si>
    <t>S.C.</t>
  </si>
  <si>
    <t>S.C.A.</t>
  </si>
  <si>
    <t>S.L.N.E.</t>
  </si>
  <si>
    <t>% Total</t>
  </si>
  <si>
    <t>hojas de cálculo en total</t>
  </si>
  <si>
    <t>Oculta</t>
  </si>
  <si>
    <t>Opcional</t>
  </si>
  <si>
    <t>Cálculos</t>
  </si>
  <si>
    <t xml:space="preserve"> Incr. min</t>
  </si>
  <si>
    <t>Incr.  max</t>
  </si>
  <si>
    <t>parámetros de alisamiento de los Cash Flow</t>
  </si>
  <si>
    <t>Incr. Medio</t>
  </si>
  <si>
    <t>Resúmen de Datos de Evaluación del Proyecto</t>
  </si>
  <si>
    <t>Tesorerías anuales iniciales / ( Déficits )</t>
  </si>
  <si>
    <t xml:space="preserve">   Gastos de constitución</t>
  </si>
  <si>
    <t>Gastos de establecimeinto</t>
  </si>
  <si>
    <t>Registro Mercantil, Publicación BORME</t>
  </si>
  <si>
    <t>Amort. Acum. Inm Material</t>
  </si>
  <si>
    <t>Amort. Acum. Inm inmaterial</t>
  </si>
  <si>
    <t>Gastos Amortizables</t>
  </si>
  <si>
    <t>Amort. Acum. Gastos amort.</t>
  </si>
  <si>
    <t>Operaciones de Renting</t>
  </si>
  <si>
    <t>Las intereses del Leasing se computan como gastos, mientras que las amortizaciones se detraen del pasivo correspondiente.</t>
  </si>
  <si>
    <r>
      <t>CF</t>
    </r>
    <r>
      <rPr>
        <b/>
        <vertAlign val="subscript"/>
        <sz val="10"/>
        <rFont val="Tahoma"/>
        <family val="2"/>
      </rPr>
      <t>0</t>
    </r>
  </si>
  <si>
    <r>
      <t>CF</t>
    </r>
    <r>
      <rPr>
        <b/>
        <vertAlign val="subscript"/>
        <sz val="10"/>
        <rFont val="Tahoma"/>
        <family val="2"/>
      </rPr>
      <t>1</t>
    </r>
    <r>
      <rPr>
        <b/>
        <sz val="10"/>
        <rFont val="Arial"/>
        <family val="2"/>
      </rPr>
      <t/>
    </r>
  </si>
  <si>
    <r>
      <t>CF</t>
    </r>
    <r>
      <rPr>
        <b/>
        <vertAlign val="subscript"/>
        <sz val="10"/>
        <rFont val="Tahoma"/>
        <family val="2"/>
      </rPr>
      <t>2</t>
    </r>
    <r>
      <rPr>
        <b/>
        <sz val="10"/>
        <rFont val="Arial"/>
        <family val="2"/>
      </rPr>
      <t/>
    </r>
  </si>
  <si>
    <r>
      <t>CF</t>
    </r>
    <r>
      <rPr>
        <b/>
        <vertAlign val="subscript"/>
        <sz val="10"/>
        <rFont val="Tahoma"/>
        <family val="2"/>
      </rPr>
      <t>3</t>
    </r>
    <r>
      <rPr>
        <b/>
        <sz val="10"/>
        <rFont val="Arial"/>
        <family val="2"/>
      </rPr>
      <t/>
    </r>
  </si>
  <si>
    <r>
      <t>CF</t>
    </r>
    <r>
      <rPr>
        <b/>
        <vertAlign val="subscript"/>
        <sz val="10"/>
        <rFont val="Tahoma"/>
        <family val="2"/>
      </rPr>
      <t>4</t>
    </r>
    <r>
      <rPr>
        <b/>
        <sz val="10"/>
        <rFont val="Arial"/>
        <family val="2"/>
      </rPr>
      <t/>
    </r>
  </si>
  <si>
    <r>
      <t>CF</t>
    </r>
    <r>
      <rPr>
        <b/>
        <vertAlign val="subscript"/>
        <sz val="10"/>
        <rFont val="Tahoma"/>
        <family val="2"/>
      </rPr>
      <t>5</t>
    </r>
    <r>
      <rPr>
        <b/>
        <sz val="10"/>
        <rFont val="Arial"/>
        <family val="2"/>
      </rPr>
      <t/>
    </r>
  </si>
  <si>
    <t>4%  -  6%</t>
  </si>
  <si>
    <t>1%  -  15%</t>
  </si>
  <si>
    <t>2%  -  9%</t>
  </si>
  <si>
    <t>Pay Back</t>
  </si>
  <si>
    <t>Valoración de la empresa</t>
  </si>
  <si>
    <r>
      <t>(6%)</t>
    </r>
    <r>
      <rPr>
        <i/>
        <sz val="10"/>
        <rFont val="Tahoma"/>
        <family val="2"/>
      </rPr>
      <t xml:space="preserve"> - 6%</t>
    </r>
  </si>
  <si>
    <t>CF0</t>
  </si>
  <si>
    <t>CF1</t>
  </si>
  <si>
    <t>CF2</t>
  </si>
  <si>
    <t>CF3</t>
  </si>
  <si>
    <t>CF4</t>
  </si>
  <si>
    <t>CF5</t>
  </si>
  <si>
    <t>CF6</t>
  </si>
  <si>
    <t>CF7</t>
  </si>
  <si>
    <t>CF8</t>
  </si>
  <si>
    <t>CF9</t>
  </si>
  <si>
    <t>CF10</t>
  </si>
  <si>
    <t>CF11</t>
  </si>
  <si>
    <t>CF12</t>
  </si>
  <si>
    <t>CF13</t>
  </si>
  <si>
    <t>CF14</t>
  </si>
  <si>
    <t>CF15</t>
  </si>
  <si>
    <t>CF16</t>
  </si>
  <si>
    <t>CF17</t>
  </si>
  <si>
    <t>CF18</t>
  </si>
  <si>
    <t>CF19</t>
  </si>
  <si>
    <t>CF20</t>
  </si>
  <si>
    <t>CF21</t>
  </si>
  <si>
    <t>CF22</t>
  </si>
  <si>
    <t>CF23</t>
  </si>
  <si>
    <t>CF24</t>
  </si>
  <si>
    <t>CF25</t>
  </si>
  <si>
    <t>variación relativa de beneficios/ variación relativa de ventas
=1 + Coste Fijo / Beneficio</t>
  </si>
  <si>
    <t>CF26</t>
  </si>
  <si>
    <t>CF27</t>
  </si>
  <si>
    <t>CF28</t>
  </si>
  <si>
    <t>CF29</t>
  </si>
  <si>
    <t>CF30</t>
  </si>
  <si>
    <t>CF31</t>
  </si>
  <si>
    <t>CF32</t>
  </si>
  <si>
    <t>CF33</t>
  </si>
  <si>
    <t>CF34</t>
  </si>
  <si>
    <t>CF35</t>
  </si>
  <si>
    <t>CF36</t>
  </si>
  <si>
    <t>CF37</t>
  </si>
  <si>
    <t>CF38</t>
  </si>
  <si>
    <t>CF39</t>
  </si>
  <si>
    <t>CF40</t>
  </si>
  <si>
    <t>CF41</t>
  </si>
  <si>
    <t>CF42</t>
  </si>
  <si>
    <t>CF43</t>
  </si>
  <si>
    <t>CF44</t>
  </si>
  <si>
    <t>CF45</t>
  </si>
  <si>
    <t>CF46</t>
  </si>
  <si>
    <t>CF47</t>
  </si>
  <si>
    <t>CF48</t>
  </si>
  <si>
    <t>CF49</t>
  </si>
  <si>
    <t>CF50</t>
  </si>
  <si>
    <t>plazos fabricación (días)</t>
  </si>
  <si>
    <t>EBITDA</t>
  </si>
  <si>
    <t>E.B.I.T.D.A.</t>
  </si>
  <si>
    <t>Tesorerías mensuales</t>
  </si>
  <si>
    <t>Pesetas</t>
  </si>
  <si>
    <t>Ptas</t>
  </si>
  <si>
    <t>€</t>
  </si>
  <si>
    <t>£</t>
  </si>
  <si>
    <t>=SI(G11="Euros";"€";SI(G11="Pesetas";"Ptas.";SI(G11="Dólares";"US $";"UK £")))</t>
  </si>
  <si>
    <t>Temporada</t>
  </si>
  <si>
    <t>3 6</t>
  </si>
  <si>
    <t>2 4 6</t>
  </si>
  <si>
    <t>2 3 4 6</t>
  </si>
  <si>
    <t>Sí</t>
  </si>
  <si>
    <t>personal de</t>
  </si>
  <si>
    <t>Previsiones económicas
Cuadro Resumen</t>
  </si>
  <si>
    <t>I.</t>
  </si>
  <si>
    <t>III/V.</t>
  </si>
  <si>
    <t>II.</t>
  </si>
  <si>
    <t>VII.</t>
  </si>
  <si>
    <t>VI.</t>
  </si>
  <si>
    <t>III.</t>
  </si>
  <si>
    <t>A-2)</t>
  </si>
  <si>
    <t>IV.</t>
  </si>
  <si>
    <t>V.</t>
  </si>
  <si>
    <t>II.1.</t>
  </si>
  <si>
    <t>II.3.</t>
  </si>
  <si>
    <t>II.2.</t>
  </si>
  <si>
    <t>IV.1.</t>
  </si>
  <si>
    <t>IV.2.</t>
  </si>
  <si>
    <t>Balance Previo</t>
  </si>
  <si>
    <t xml:space="preserve"> </t>
  </si>
  <si>
    <t>Importe de las cuotas</t>
  </si>
  <si>
    <t>Inversiones sin contar con el Bal. Previo</t>
  </si>
  <si>
    <t>=SI(isoc&lt;&gt;0;'Datos Básicos'!C58;0)*SI(Parametros!$C$49&gt;0;0;1)</t>
  </si>
  <si>
    <t>=SI(isoc&lt;&gt;0;'Datos Básicos'!C59;0)*SI(Parametros!$C$49&gt;0;0;1)</t>
  </si>
  <si>
    <t>=SI(isoc&lt;&gt;0;'Datos Básicos'!C60;0)*SI(Parametros!$C$49&gt;0;0;1)</t>
  </si>
  <si>
    <t>=SI(O(irpf&lt;&gt;0;MAX('Inv. Iniciales ANC'!C1:C63)&gt;0);0;ITP*('Financiación Inicial'!B8+'Financiación Inicial'!B7))*SI(Parametros!$C$49&gt;0;0;1)</t>
  </si>
  <si>
    <t>5 Year Ahead Economic &amp; Financial Plan</t>
  </si>
  <si>
    <t>Course / Program:</t>
  </si>
  <si>
    <t>Company Name</t>
  </si>
  <si>
    <t>VAT</t>
  </si>
  <si>
    <t>Canary Islands</t>
  </si>
  <si>
    <t>Ceuta &amp; Melilla</t>
  </si>
  <si>
    <t>Indirect Tax</t>
  </si>
  <si>
    <t>Normal rate</t>
  </si>
  <si>
    <t>reduced rate</t>
  </si>
  <si>
    <t>superreduced rate</t>
  </si>
  <si>
    <t>special rate</t>
  </si>
  <si>
    <t>Reduced rate:</t>
  </si>
  <si>
    <t>General rate:</t>
  </si>
  <si>
    <t>Constitution Expenses</t>
  </si>
  <si>
    <t>Notary</t>
  </si>
  <si>
    <t>Income tax reduced tranche limit</t>
  </si>
  <si>
    <t>Capial Contributios tax rate</t>
  </si>
  <si>
    <t>Commercial Official Registry</t>
  </si>
  <si>
    <t>Company Name Approval Certificate</t>
  </si>
  <si>
    <t>(Common Area)</t>
  </si>
  <si>
    <t>Advanced payments Basis</t>
  </si>
  <si>
    <t>Current year</t>
  </si>
  <si>
    <t>Income Tax Advanced Payments rate</t>
  </si>
  <si>
    <t xml:space="preserve">  month</t>
  </si>
  <si>
    <t>Planned years:</t>
  </si>
  <si>
    <t>Year 0</t>
  </si>
  <si>
    <t>Personal Name (s)</t>
  </si>
  <si>
    <t>WWW, Ltd.</t>
  </si>
  <si>
    <t>Project General Data</t>
  </si>
  <si>
    <t>Legal (Taxation) Form:</t>
  </si>
  <si>
    <t>Activity start up</t>
  </si>
  <si>
    <t>Personal Income rate %</t>
  </si>
  <si>
    <t>Invoice withholding rate %</t>
  </si>
  <si>
    <t>% of overall sales withholded</t>
  </si>
  <si>
    <t>rates</t>
  </si>
  <si>
    <t>Sales equalization tax</t>
  </si>
  <si>
    <t>reduced Income Tax rate</t>
  </si>
  <si>
    <t>Regular income tax rate</t>
  </si>
  <si>
    <t>PIT withholding rate</t>
  </si>
  <si>
    <t>Acronym</t>
  </si>
  <si>
    <t>Minimum
capital</t>
  </si>
  <si>
    <t>Notary expenses</t>
  </si>
  <si>
    <t>Commerce Off. Registry</t>
  </si>
  <si>
    <t>Income tax % Current year</t>
  </si>
  <si>
    <t>List of legal and taxation forms and taxation data&amp;rates:</t>
  </si>
  <si>
    <t>Capital contrib. Tax rate</t>
  </si>
  <si>
    <t>CURRENCY:</t>
  </si>
  <si>
    <t>Start</t>
  </si>
  <si>
    <t>End</t>
  </si>
  <si>
    <t>Season</t>
  </si>
  <si>
    <t>Other Simulation &amp; Plan parameters</t>
  </si>
  <si>
    <t>Freelance Professional</t>
  </si>
  <si>
    <t>Years:</t>
  </si>
  <si>
    <t>max. Correction ratio</t>
  </si>
  <si>
    <t>min. Correction ratio</t>
  </si>
  <si>
    <t>Random monthly 
correcting ratios</t>
  </si>
  <si>
    <t>Radom Ratios</t>
  </si>
  <si>
    <t>Mortgage, leasing an others periodicity</t>
  </si>
  <si>
    <t>VAT (or sustitute) rate for Fixed Assets Investments</t>
  </si>
  <si>
    <t>Profit destination</t>
  </si>
  <si>
    <t>To reserves</t>
  </si>
  <si>
    <t>Dividends to be distributed</t>
  </si>
  <si>
    <t>Initial Balance</t>
  </si>
  <si>
    <t>number of years</t>
  </si>
  <si>
    <t>Product Families (agroupation) 
(products or services)</t>
  </si>
  <si>
    <t>NON fundamental Data</t>
  </si>
  <si>
    <t>If you'are not sure, leave without changes.</t>
  </si>
  <si>
    <t>Inflation rate forecast:</t>
  </si>
  <si>
    <t>Interest rates over current account balances</t>
  </si>
  <si>
    <t>Interest rate for overdrafts</t>
  </si>
  <si>
    <t>Defaulting rate for clients</t>
  </si>
  <si>
    <t>Defaulting and recovering of debts</t>
  </si>
  <si>
    <t>Defaulting rate range</t>
  </si>
  <si>
    <t>Unpaid debts recovering rate</t>
  </si>
  <si>
    <t>% spread range of variability over sales forecasts</t>
  </si>
  <si>
    <t>Yes</t>
  </si>
  <si>
    <t>Name of the months generation according to language configuration.</t>
  </si>
  <si>
    <t>ASSETS</t>
  </si>
  <si>
    <t>NETWORTH &amp; LIABILITIES</t>
  </si>
  <si>
    <t>A) Net Worth</t>
  </si>
  <si>
    <t>Liabilities</t>
  </si>
  <si>
    <t>B) Long Term Liabilities</t>
  </si>
  <si>
    <t>C) Short Term Liabilities</t>
  </si>
  <si>
    <t>Intangible Assets</t>
  </si>
  <si>
    <t>Investment Property</t>
  </si>
  <si>
    <t>Deferred tax asset</t>
  </si>
  <si>
    <t>Long Term Financial Assets</t>
  </si>
  <si>
    <t>Renta deposit</t>
  </si>
  <si>
    <t>Non Current Assets</t>
  </si>
  <si>
    <t>Current Assets</t>
  </si>
  <si>
    <t>Tangible &amp; Material Assets</t>
  </si>
  <si>
    <t>Short Term Financial Assets</t>
  </si>
  <si>
    <t>Stockage</t>
  </si>
  <si>
    <t>Subsidies</t>
  </si>
  <si>
    <t>Profits pending application</t>
  </si>
  <si>
    <t>Short Term Financial assets</t>
  </si>
  <si>
    <t>Accumulated amortizations</t>
  </si>
  <si>
    <t>Intangible / Non Material Assets</t>
  </si>
  <si>
    <t>Total Assets</t>
  </si>
  <si>
    <t>Networth</t>
  </si>
  <si>
    <t>Cash available</t>
  </si>
  <si>
    <t>Accumulated Reserves</t>
  </si>
  <si>
    <t>Long Term Liabilities</t>
  </si>
  <si>
    <t>Short Term Liabilities</t>
  </si>
  <si>
    <t>Long Term Financial Creditors</t>
  </si>
  <si>
    <t>Other shareholder contributions</t>
  </si>
  <si>
    <t>S.T. Credit Accounts</t>
  </si>
  <si>
    <t>Suppliers pending payments</t>
  </si>
  <si>
    <t>Other Short Term Payables</t>
  </si>
  <si>
    <t>Short Term Financial Payable</t>
  </si>
  <si>
    <t>Networth &amp; Liabilities</t>
  </si>
  <si>
    <t>Total Permanent Resources</t>
  </si>
  <si>
    <t>Total External Resources</t>
  </si>
  <si>
    <t>Net Working Capital</t>
  </si>
  <si>
    <t>Working Capital Requirement (WCR)</t>
  </si>
  <si>
    <t>% Working Capital rates are calculated over the whole Asset</t>
  </si>
  <si>
    <t>Yearly Previsional Balance Sheets</t>
  </si>
  <si>
    <t>Previous Year Income</t>
  </si>
  <si>
    <t>Shareholders credits</t>
  </si>
  <si>
    <t>L.T. Financial Creditors (Leasing)</t>
  </si>
  <si>
    <t>L.T. Financial Creditors (bank loans)</t>
  </si>
  <si>
    <t>Other L.T. Creditors</t>
  </si>
  <si>
    <t>S.T. Shareholders credits</t>
  </si>
  <si>
    <t>Deferred Income</t>
  </si>
  <si>
    <t>S.T. Financial Creditors (bank loans)</t>
  </si>
  <si>
    <t>S.T. Financial Creditors (Leasing)</t>
  </si>
  <si>
    <t>Credit Account (S.T.)</t>
  </si>
  <si>
    <t>Trade creditors (Suppliers)</t>
  </si>
  <si>
    <t>Other Short Term Creditos</t>
  </si>
  <si>
    <t>Total Networth &amp; Liabilities</t>
  </si>
  <si>
    <t>A) Non Current Assets</t>
  </si>
  <si>
    <t>B) Current Assets</t>
  </si>
  <si>
    <t>Prepaid Expenses and Accruals</t>
  </si>
  <si>
    <t>Trade debtors (Clients)</t>
  </si>
  <si>
    <t>Cash Available</t>
  </si>
  <si>
    <t>Actual Bank Loans</t>
  </si>
  <si>
    <t>S.T. Loans</t>
  </si>
  <si>
    <t>L.T. Bank Loans</t>
  </si>
  <si>
    <t>Financial Creditors (Bank Loans)</t>
  </si>
  <si>
    <t>Average interest rate</t>
  </si>
  <si>
    <t>total number of payments (periods)</t>
  </si>
  <si>
    <t>Payments periodicity (payments / year)</t>
  </si>
  <si>
    <t>Actual Financial Rentals (Leasing)</t>
  </si>
  <si>
    <t>L.T. Financial Rentals (Leasing)</t>
  </si>
  <si>
    <t>S.T. Financial Rentals (Leasing)</t>
  </si>
  <si>
    <t>Financial Creditors (Leasing)</t>
  </si>
  <si>
    <t>Exchange rate</t>
  </si>
  <si>
    <t>Currency</t>
  </si>
  <si>
    <t>Symbol</t>
  </si>
  <si>
    <t>Monthly payment</t>
  </si>
  <si>
    <t>If the payment is known then the total term can be estimated.</t>
  </si>
  <si>
    <t>Payment amount</t>
  </si>
  <si>
    <t>total estimated term</t>
  </si>
  <si>
    <t xml:space="preserve">Previous Operational Rentals (Renting) </t>
  </si>
  <si>
    <t>Pending amount</t>
  </si>
  <si>
    <t>Average interest rate (APR % )</t>
  </si>
  <si>
    <t>Number of pending payments</t>
  </si>
  <si>
    <t>Payments per year (periodicity)</t>
  </si>
  <si>
    <t>Average payment delay for suppliers  (days)</t>
  </si>
  <si>
    <t>Average cash delay for clients  (days)</t>
  </si>
  <si>
    <t>Previous year wholesale</t>
  </si>
  <si>
    <t>Previous year supplies &amp; purchases</t>
  </si>
  <si>
    <t>Trade credits policies</t>
  </si>
  <si>
    <t>Previous subsidies allocation</t>
  </si>
  <si>
    <t>Subsidies Allocation Terms</t>
  </si>
  <si>
    <t>Subsidies allocation pending months</t>
  </si>
  <si>
    <t>Mean assets age (years)</t>
  </si>
  <si>
    <t>Mean amortization time for Fixed Tangible Assets</t>
  </si>
  <si>
    <t>Mean amortization time for fixed intangible assets</t>
  </si>
  <si>
    <t>Assets age &amp; amortizations</t>
  </si>
  <si>
    <t>Non Current Assets Initial Investment</t>
  </si>
  <si>
    <t>Amount</t>
  </si>
  <si>
    <t>age</t>
  </si>
  <si>
    <t>prev. Amort.</t>
  </si>
  <si>
    <t>Age (years)</t>
  </si>
  <si>
    <t>In kind contrib.</t>
  </si>
  <si>
    <t>In kind contr.</t>
  </si>
  <si>
    <t>in kind %</t>
  </si>
  <si>
    <t>In kind %</t>
  </si>
  <si>
    <t>Machinery</t>
  </si>
  <si>
    <t>machine</t>
  </si>
  <si>
    <t>deprec.
Term</t>
  </si>
  <si>
    <t>Prev. deprec.</t>
  </si>
  <si>
    <t>dep. term</t>
  </si>
  <si>
    <t>Telecommunication</t>
  </si>
  <si>
    <t>Security &amp; Alarm services</t>
  </si>
  <si>
    <t>Electrical &amp; Lightning services</t>
  </si>
  <si>
    <t>Material Assets in Initial Balance Sheet</t>
  </si>
  <si>
    <t>Tools &amp; Utilities</t>
  </si>
  <si>
    <t>Hand Tools</t>
  </si>
  <si>
    <t>Production utils</t>
  </si>
  <si>
    <t>Buildings &amp; constructions</t>
  </si>
  <si>
    <t>Cars</t>
  </si>
  <si>
    <t>Vans, trucks, etc.</t>
  </si>
  <si>
    <t>Other vehicles (special vehicles)</t>
  </si>
  <si>
    <t>Information processing equipment</t>
  </si>
  <si>
    <t>Printers, photocopiers &amp; scanners</t>
  </si>
  <si>
    <t>Network equipment</t>
  </si>
  <si>
    <t>Fire protection &amp; prevention equipment</t>
  </si>
  <si>
    <t>Water supply, drainage &amp; Sanitation</t>
  </si>
  <si>
    <t>Office furniture</t>
  </si>
  <si>
    <t>Buldings &amp; Lands</t>
  </si>
  <si>
    <t>Land &amp; Buildings in Initial Balance Sheet</t>
  </si>
  <si>
    <t>Accesories</t>
  </si>
  <si>
    <t>Tableware: Crockery, glassware, cuttery</t>
  </si>
  <si>
    <t xml:space="preserve"> Bed clothes &amp; towels</t>
  </si>
  <si>
    <t>Other necessary furniture</t>
  </si>
  <si>
    <t>Warehouse &amp; storage equipment</t>
  </si>
  <si>
    <t>Furniture &amp; Warehouse equipment</t>
  </si>
  <si>
    <t>Servers, Computers &amp; laptops</t>
  </si>
  <si>
    <t>Point of Sale Terminal (POS)</t>
  </si>
  <si>
    <t>Transfer &amp; Tenancy rights</t>
  </si>
  <si>
    <t>Other non material assets</t>
  </si>
  <si>
    <t>Other necessary Non Current Assets</t>
  </si>
  <si>
    <t>Software &amp; web development</t>
  </si>
  <si>
    <t>r+D Projects expendeture</t>
  </si>
  <si>
    <t>Patents, trade marks &amp; brands, etc.</t>
  </si>
  <si>
    <t>Certification, homologation &amp; aproval expenses</t>
  </si>
  <si>
    <t>Intangible Assets in Initial Balance</t>
  </si>
  <si>
    <t>Vehicles &amp; Transportation elements</t>
  </si>
  <si>
    <t>Additional Non Current Assets Investments</t>
  </si>
  <si>
    <t>First Stablishment Expenses</t>
  </si>
  <si>
    <t>Launching Advertisement</t>
  </si>
  <si>
    <t>Web development expenses</t>
  </si>
  <si>
    <t>Start up fees</t>
  </si>
  <si>
    <t>Projects, Licences &amp; permissions</t>
  </si>
  <si>
    <t>Certificate of aproval of Company's name</t>
  </si>
  <si>
    <t>Capital Transfer Tax &amp; Stamp Duty</t>
  </si>
  <si>
    <t xml:space="preserve">Other long term deposits </t>
  </si>
  <si>
    <t>Premise rental deposit</t>
  </si>
  <si>
    <t>L.T. Financial Investments in Initial Balance</t>
  </si>
  <si>
    <t>NB:   Constitution Expenses do not affect Income Balance. They're stated with negative sign in the Networth in the Balance Sheet</t>
  </si>
  <si>
    <t>NB:   Stablishment and starting up expenses are charged in the correspondig Income Balance.</t>
  </si>
  <si>
    <t>Establishment &amp; Initial Expenses</t>
  </si>
  <si>
    <t>Establishment &amp; Starting up expenses</t>
  </si>
  <si>
    <t>Other establishment expenses</t>
  </si>
  <si>
    <t>Current Assets Investments</t>
  </si>
  <si>
    <t>CURRENT ASSETS INITIAL INVESTMENTS</t>
  </si>
  <si>
    <t>Land</t>
  </si>
  <si>
    <t>Land &amp; building improvement</t>
  </si>
  <si>
    <t>Plant Facilities &amp; Services</t>
  </si>
  <si>
    <t>General Plant Facilities &amp; Services</t>
  </si>
  <si>
    <t>Raw Materials</t>
  </si>
  <si>
    <t>S.T. Financial Investments in Init. Balance</t>
  </si>
  <si>
    <t>Short Term Premise Rental deposits</t>
  </si>
  <si>
    <t>Inventory / Stockage</t>
  </si>
  <si>
    <t>Previous In Progress produtcion</t>
  </si>
  <si>
    <t>Inventory in the Initial Balance</t>
  </si>
  <si>
    <t>Accounts receivable from clients</t>
  </si>
  <si>
    <t>Retentions over Personal Income Tax</t>
  </si>
  <si>
    <t>Available Cash / Liquidity</t>
  </si>
  <si>
    <t>Current Assents Total Investment</t>
  </si>
  <si>
    <t>ADDITIONAL CURRENT ASSETS INVESTMENTS</t>
  </si>
  <si>
    <t>Premise Rental Deposits (Short Term)</t>
  </si>
  <si>
    <t>Production in progress</t>
  </si>
  <si>
    <t>Other Current Assets</t>
  </si>
  <si>
    <t>Merchandises, Production ready for sale</t>
  </si>
  <si>
    <t>Other supplies (packaging &amp; others)</t>
  </si>
  <si>
    <t>Corporate Income Tax</t>
  </si>
  <si>
    <t>Sources of Financing &amp; Funding of investments</t>
  </si>
  <si>
    <t>FINANCING INVESTMENT REQUIEREMENTS</t>
  </si>
  <si>
    <t>SOURCES OF FINANCING INVESTMENTS</t>
  </si>
  <si>
    <t>Previous
(Initial Balance)</t>
  </si>
  <si>
    <t>EXTERNAL FINANCING: LOANS / MORTGAGES</t>
  </si>
  <si>
    <t>EXTERNAL FINANCING: CREDIT ACCOUNT</t>
  </si>
  <si>
    <t>Loans / Borrowings from the stockholders</t>
  </si>
  <si>
    <t>Non Current Assests Required Investment</t>
  </si>
  <si>
    <t>Current Assets Requiered Investment</t>
  </si>
  <si>
    <t>External Financing (Loans &amp; Mortgages)</t>
  </si>
  <si>
    <t>Financial Leasing</t>
  </si>
  <si>
    <t>Total number of periods</t>
  </si>
  <si>
    <t>Loan Constitution expenses</t>
  </si>
  <si>
    <t>Total number of payments</t>
  </si>
  <si>
    <t>Total Interests to be payed</t>
  </si>
  <si>
    <t>Total Loan Cost</t>
  </si>
  <si>
    <t>Periodical Payment</t>
  </si>
  <si>
    <t>Preamortization grace periods</t>
  </si>
  <si>
    <t>Duration (number of years)</t>
  </si>
  <si>
    <t>* Rentings DO NOT affect the financing requirements.</t>
  </si>
  <si>
    <t>Leasing Constitution expenses</t>
  </si>
  <si>
    <t>Renting Constitution expenses</t>
  </si>
  <si>
    <t>Imbalance in Balance Sheets</t>
  </si>
  <si>
    <t>Payments</t>
  </si>
  <si>
    <t>Total Investment to be financed</t>
  </si>
  <si>
    <t>Financing projected or foreseen</t>
  </si>
  <si>
    <t>OPERATIONAL LEASINGS (RENTINGS)</t>
  </si>
  <si>
    <t>FINANCING LEASINGS (LEASINGS)</t>
  </si>
  <si>
    <t>Leasing Payments</t>
  </si>
  <si>
    <t>Rentings Payments</t>
  </si>
  <si>
    <t>Financial Leasing Notes:</t>
  </si>
  <si>
    <t>Renting payments are fully considered as expenses in the corresponding year Income Balance.</t>
  </si>
  <si>
    <t>Financial Leasings are supossed to start at the beginning of every year, except the first year in wich it is cosidered to start up a the initial month.</t>
  </si>
  <si>
    <t>The assets financed with LEASING are include in the Balance Sheet just as if they were owned by the company, because it is supossed that they will be finnally acquired.  Assets in renting are not included in the Balance Sheet at all.</t>
  </si>
  <si>
    <t>Assets in RENTING are not included in the Balance Sheet at all.</t>
  </si>
  <si>
    <t>payments per year</t>
  </si>
  <si>
    <t>Sources of Initial Funding &amp; Financing</t>
  </si>
  <si>
    <t>Initial Investment Financing</t>
  </si>
  <si>
    <t>Networth (Owners Equity)</t>
  </si>
  <si>
    <t>External Funding Sources</t>
  </si>
  <si>
    <t>Long Term Creditors</t>
  </si>
  <si>
    <t>Short Term Creditors</t>
  </si>
  <si>
    <t>Financial L.T. Creditors (Loans &amp; Mortgages)</t>
  </si>
  <si>
    <t>Financial L.T. Creditors (Leasing)</t>
  </si>
  <si>
    <t>Financial S.T. Creditors (Loans &amp; Mortgages)</t>
  </si>
  <si>
    <t>Financial S.T. Creditors (Leasing)</t>
  </si>
  <si>
    <t>Trade creditors for in progress production</t>
  </si>
  <si>
    <t>Total Initial Funding &amp; FInancing</t>
  </si>
  <si>
    <t>Loans / Mortgages</t>
  </si>
  <si>
    <t>Principals (amounts)</t>
  </si>
  <si>
    <t>Nominal rates</t>
  </si>
  <si>
    <t>Initial expenses</t>
  </si>
  <si>
    <t>total nº of payments</t>
  </si>
  <si>
    <t>Periodic payment</t>
  </si>
  <si>
    <t>grace period in months</t>
  </si>
  <si>
    <t>Initial Grace month</t>
  </si>
  <si>
    <t>Total loan length (months)</t>
  </si>
  <si>
    <t>Grace nº of periods</t>
  </si>
  <si>
    <t>Financial Leasings</t>
  </si>
  <si>
    <t>Residual values</t>
  </si>
  <si>
    <t>Leasing Payment</t>
  </si>
  <si>
    <t>Lenght in months</t>
  </si>
  <si>
    <t>Initial grace month</t>
  </si>
  <si>
    <t>Initial Leasing Month</t>
  </si>
  <si>
    <t>Last Leasing month</t>
  </si>
  <si>
    <t>Interest grace period duration</t>
  </si>
  <si>
    <t>Initial amort. month</t>
  </si>
  <si>
    <t>Final loan month</t>
  </si>
  <si>
    <t>Months</t>
  </si>
  <si>
    <t>Interests</t>
  </si>
  <si>
    <t>Amortizations</t>
  </si>
  <si>
    <t>New loan amortization</t>
  </si>
  <si>
    <t>New Leasing Amort.</t>
  </si>
  <si>
    <t>Initial Renting Month</t>
  </si>
  <si>
    <t>Last Renting month</t>
  </si>
  <si>
    <t>Renting Payment</t>
  </si>
  <si>
    <t>Loan / Mortgage Amortization Table of successive Loans</t>
  </si>
  <si>
    <t>Detailed Calculation Table of Amortizations &amp; interests of successive Leasings</t>
  </si>
  <si>
    <t>Detailed Calculation Table of Payments of successive Rentings</t>
  </si>
  <si>
    <t>Human Resouces &amp; Labour Costs</t>
  </si>
  <si>
    <t>Staff ( nº people)</t>
  </si>
  <si>
    <t>Staff / employees</t>
  </si>
  <si>
    <t>Other non staff not employees</t>
  </si>
  <si>
    <t>Total staff</t>
  </si>
  <si>
    <t>Gross salaries for each employment / professional category</t>
  </si>
  <si>
    <t>Employees</t>
  </si>
  <si>
    <t>Total per month</t>
  </si>
  <si>
    <t>Social Security</t>
  </si>
  <si>
    <t>Social Security 
Gross Monthly Expenditure</t>
  </si>
  <si>
    <t>Monthly Gross Salaries 
Expenditure</t>
  </si>
  <si>
    <t>Personnel hiring&amp;firing fees</t>
  </si>
  <si>
    <t>hiring&amp;firing fees for employees</t>
  </si>
  <si>
    <t>hiring&amp;firing fees for self-employees</t>
  </si>
  <si>
    <t>Working owners &amp; self-employees</t>
  </si>
  <si>
    <t>Working Owners / Self employees</t>
  </si>
  <si>
    <t>Monthly staff</t>
  </si>
  <si>
    <t>Initial</t>
  </si>
  <si>
    <t>Average</t>
  </si>
  <si>
    <t>Total monthly staff</t>
  </si>
  <si>
    <t>Monthly Detailed Staff Forecast</t>
  </si>
  <si>
    <t>starting month</t>
  </si>
  <si>
    <t>Human Resources / Staff</t>
  </si>
  <si>
    <t>Personnel hiring &amp; firings</t>
  </si>
  <si>
    <t>Self employees ( hiring &amp; firing )</t>
  </si>
  <si>
    <t>Employees hiring&amp;firing</t>
  </si>
  <si>
    <t>nº of owners (For Personal Income Tax)</t>
  </si>
  <si>
    <t>Premise Renting</t>
  </si>
  <si>
    <t>Data</t>
  </si>
  <si>
    <t>Yearly payments</t>
  </si>
  <si>
    <t>Yearly Total</t>
  </si>
  <si>
    <t>Other Fixed Expenses</t>
  </si>
  <si>
    <t>Fixed Expenses Monthly Totals</t>
  </si>
  <si>
    <t>Grace months with no rent at start up</t>
  </si>
  <si>
    <t>Grace months due to reforms</t>
  </si>
  <si>
    <t xml:space="preserve">Fixed &amp; Other taxes </t>
  </si>
  <si>
    <t>Insurance fees</t>
  </si>
  <si>
    <t>Professional asociation /board /council</t>
  </si>
  <si>
    <t>Electricity (Low Season)</t>
  </si>
  <si>
    <t>Water supply, sanitation &amp; garbage fees</t>
  </si>
  <si>
    <t>Other supplies (gas, etc.)</t>
  </si>
  <si>
    <t>Phone / internet conection</t>
  </si>
  <si>
    <t>Web services &amp; hosting</t>
  </si>
  <si>
    <t>Alarm / Security service</t>
  </si>
  <si>
    <t>Rental fees &amp; expenses</t>
  </si>
  <si>
    <t>Consultants &amp; independent professionals</t>
  </si>
  <si>
    <t>stationery/office supplies</t>
  </si>
  <si>
    <t>Maintenance &amp; repairs</t>
  </si>
  <si>
    <t>Other unexpected expenses</t>
  </si>
  <si>
    <t xml:space="preserve">Congresses / Profesional Fairs </t>
  </si>
  <si>
    <t>Transportation &amp; Travelling</t>
  </si>
  <si>
    <t>Fixed Expenses Forecast Data</t>
  </si>
  <si>
    <t>product 1</t>
  </si>
  <si>
    <t xml:space="preserve">Prices are the average unitary selling prices. </t>
  </si>
  <si>
    <t>Variable cost are estimated over the same units than selling prices, and must be congruent accordingly.</t>
  </si>
  <si>
    <t>Totals</t>
  </si>
  <si>
    <t>% cash</t>
  </si>
  <si>
    <t>av. Delay</t>
  </si>
  <si>
    <t>Selling Prices</t>
  </si>
  <si>
    <t>Variable or Direct Costs Prices</t>
  </si>
  <si>
    <t>Line of products
(products or services)</t>
  </si>
  <si>
    <t>for each line of products or services</t>
  </si>
  <si>
    <t>Selling Prices &amp; Direct Costs</t>
  </si>
  <si>
    <t>Unitary Margins &amp; Direct Costs
Márgenes y Costes Variables Unitarios</t>
  </si>
  <si>
    <t>Unit. Margin</t>
  </si>
  <si>
    <t>Unit.  Direct Cost</t>
  </si>
  <si>
    <t>Sales Cashing Policies</t>
  </si>
  <si>
    <t>Payment Policies for Purchases &amp; Direct Costs</t>
  </si>
  <si>
    <t>Lines of products</t>
  </si>
  <si>
    <t>Receivable cashing</t>
  </si>
  <si>
    <t>delay (days)</t>
  </si>
  <si>
    <t>Receivable from clients</t>
  </si>
  <si>
    <t>Suppliers pending Paymements</t>
  </si>
  <si>
    <t>Payment delay</t>
  </si>
  <si>
    <t>Suppliers Paymements</t>
  </si>
  <si>
    <t>Cashing of Receivable pending from previous year Policy</t>
  </si>
  <si>
    <t>Purchases &amp; Direct Costs Payments Policiy pending from previous year</t>
  </si>
  <si>
    <t>Sales (Units)</t>
  </si>
  <si>
    <t>Monthly Totals</t>
  </si>
  <si>
    <t xml:space="preserve">Detailed Sales Forecast in units </t>
  </si>
  <si>
    <t>Networth / Equity</t>
  </si>
  <si>
    <t>Material Fixed Assets</t>
  </si>
  <si>
    <t>Accum. Material fixed assets depreciation</t>
  </si>
  <si>
    <t>Accum. Non Material fixed assets depr.</t>
  </si>
  <si>
    <t>FIXED LIABILITIES   (DEBT)</t>
  </si>
  <si>
    <t>Sales (units)</t>
  </si>
  <si>
    <t>Sales Seasonality by Product Lines</t>
  </si>
  <si>
    <t>Month</t>
  </si>
  <si>
    <t>Monthly Percentage</t>
  </si>
  <si>
    <t>Sales Forecast by product lines for</t>
  </si>
  <si>
    <t>average</t>
  </si>
  <si>
    <t>Production Pllaning: Direct Costs Distribution among production months prior to the sales</t>
  </si>
  <si>
    <t>Direct Costs Distribution among production months (days prior to the sales)</t>
  </si>
  <si>
    <t>nº of months before sale</t>
  </si>
  <si>
    <t>Sales in Units by lines Forecast</t>
  </si>
  <si>
    <t>Production Costs during the year</t>
  </si>
  <si>
    <t>Production Costs</t>
  </si>
  <si>
    <t>same month</t>
  </si>
  <si>
    <t>1 month before</t>
  </si>
  <si>
    <t>2 months before</t>
  </si>
  <si>
    <t>3 months before</t>
  </si>
  <si>
    <t>4 months before</t>
  </si>
  <si>
    <t>5 months before</t>
  </si>
  <si>
    <t>6 months before</t>
  </si>
  <si>
    <t>7 months before</t>
  </si>
  <si>
    <t>8 months before</t>
  </si>
  <si>
    <t>9 months before</t>
  </si>
  <si>
    <t>10 months before</t>
  </si>
  <si>
    <t>11 months before</t>
  </si>
  <si>
    <t>12 months before</t>
  </si>
  <si>
    <t>Production Forecast: Direct Cost Distribution among the units sold for each month</t>
  </si>
  <si>
    <t>Previous</t>
  </si>
  <si>
    <t>Production Costs (Direct) Forecasts for the units sold during the year</t>
  </si>
  <si>
    <t xml:space="preserve">Monthy distribution of Production Costs for the units sold during the year </t>
  </si>
  <si>
    <t>Months before sale</t>
  </si>
  <si>
    <t>(NEEDED TO CALCULATE SUBSEQUENT MONTHLY PAYMENTS TO BE DONE)</t>
  </si>
  <si>
    <t>Total costs / purchases needed to produce product 1 by months in wich costs take place</t>
  </si>
  <si>
    <t>Sales Forecast by Product Lines</t>
  </si>
  <si>
    <t>Sales</t>
  </si>
  <si>
    <t>(Units)</t>
  </si>
  <si>
    <t>Yearly Sales</t>
  </si>
  <si>
    <t>units sold</t>
  </si>
  <si>
    <t>Direct Cost Forecast for the Company by lines</t>
  </si>
  <si>
    <t>Direct Costs</t>
  </si>
  <si>
    <t>Sales Seasonality</t>
  </si>
  <si>
    <t>Yearly Totals</t>
  </si>
  <si>
    <t>Yearly Direct Costs</t>
  </si>
  <si>
    <t>Monthly Income Statement for the year</t>
  </si>
  <si>
    <t>Direct &amp; Commercial Costs</t>
  </si>
  <si>
    <t>Gross Margin over Income</t>
  </si>
  <si>
    <t>Labour Expenses</t>
  </si>
  <si>
    <t>Social Security Expenses</t>
  </si>
  <si>
    <t>Amoortizations &amp; Depreciations</t>
  </si>
  <si>
    <t>Financial Income</t>
  </si>
  <si>
    <t>Financial Expenses</t>
  </si>
  <si>
    <t>Financial Result</t>
  </si>
  <si>
    <t>Accrued Income Result</t>
  </si>
  <si>
    <t>Items</t>
  </si>
  <si>
    <t>Sales Income</t>
  </si>
  <si>
    <t>Subsidies Imputation</t>
  </si>
  <si>
    <t>Total Operations Income</t>
  </si>
  <si>
    <t>Defaulted Sales</t>
  </si>
  <si>
    <t>Total Operation Expenses</t>
  </si>
  <si>
    <t>E.B.I.T.</t>
  </si>
  <si>
    <t>EBT  Earnings Before Taxation</t>
  </si>
  <si>
    <t>Net Yearly Result</t>
  </si>
  <si>
    <t>5 years Analytic Yearly Income Statements</t>
  </si>
  <si>
    <t>diff</t>
  </si>
  <si>
    <t>Defaulted trade credits</t>
  </si>
  <si>
    <t>Losses to offset</t>
  </si>
  <si>
    <t>Previous Losses offset</t>
  </si>
  <si>
    <t>Gross Taxable Income Base</t>
  </si>
  <si>
    <t>1P (april)</t>
  </si>
  <si>
    <t>2P (october)</t>
  </si>
  <si>
    <t>3P (december)</t>
  </si>
  <si>
    <t>Allocation of the year's result: Reserves &amp; dividends to be distributed</t>
  </si>
  <si>
    <t>% / Profit</t>
  </si>
  <si>
    <t>% / Result</t>
  </si>
  <si>
    <t>Variation</t>
  </si>
  <si>
    <t>Allocation to reserves</t>
  </si>
  <si>
    <t>Dividend to distribute</t>
  </si>
  <si>
    <t>Net Earnings</t>
  </si>
  <si>
    <t>Payable Tax Quote</t>
  </si>
  <si>
    <t>Distributable Result</t>
  </si>
  <si>
    <t>Tax Quote (imputable)</t>
  </si>
  <si>
    <t>Payments on account based on …</t>
  </si>
  <si>
    <t>Personal Income Taxation for Self-employees and Freelance Professionals</t>
  </si>
  <si>
    <t>Total imputable Income</t>
  </si>
  <si>
    <t>Extraordinary income</t>
  </si>
  <si>
    <t>Gross Sales or Income</t>
  </si>
  <si>
    <t>nº of partners</t>
  </si>
  <si>
    <t>from</t>
  </si>
  <si>
    <t>to</t>
  </si>
  <si>
    <t>national</t>
  </si>
  <si>
    <t>Autonomic</t>
  </si>
  <si>
    <t>Direct Material Expenses</t>
  </si>
  <si>
    <t>Financial expenses - Fin. Income</t>
  </si>
  <si>
    <t>Deductible Expenses</t>
  </si>
  <si>
    <t>Retained &amp; payments in account</t>
  </si>
  <si>
    <t>Retained income</t>
  </si>
  <si>
    <t>Tax payments in account</t>
  </si>
  <si>
    <t>Total Advanced payed quote</t>
  </si>
  <si>
    <t>Fiscal Years</t>
  </si>
  <si>
    <t>Taxation Base per partner</t>
  </si>
  <si>
    <t>Advanced payments</t>
  </si>
  <si>
    <t>Gross Taxation Quote</t>
  </si>
  <si>
    <t>Differential Quote Forecast</t>
  </si>
  <si>
    <t>Negative result (to be refunded)</t>
  </si>
  <si>
    <t>Taxation Differential quote for each partner</t>
  </si>
  <si>
    <t>Labour Income / Taxation Bases</t>
  </si>
  <si>
    <t>Marginal taxation rate</t>
  </si>
  <si>
    <t>Vital Minimum</t>
  </si>
  <si>
    <t>Retained Income &amp; Payments in account</t>
  </si>
  <si>
    <t>Quarterly Liquidations</t>
  </si>
  <si>
    <t>Retained Income</t>
  </si>
  <si>
    <t>Personal Income Tax Quote</t>
  </si>
  <si>
    <t>Wages &amp; Sallaries</t>
  </si>
  <si>
    <t>Partners Social Security</t>
  </si>
  <si>
    <t>Employees Social Security</t>
  </si>
  <si>
    <t>Fixed Expenses Forecast</t>
  </si>
  <si>
    <t>Monthly Total Other Fixed Exp.</t>
  </si>
  <si>
    <t>Other Fixed Expenses Total</t>
  </si>
  <si>
    <t>Employees registrations &amp; cancellations</t>
  </si>
  <si>
    <t>Partners registrations &amp; cancellations</t>
  </si>
  <si>
    <t>Labour Registrations &amp; Cancellations</t>
  </si>
  <si>
    <t>In Cash</t>
  </si>
  <si>
    <t>Defaulted credits</t>
  </si>
  <si>
    <t>Payment Instalments</t>
  </si>
  <si>
    <t>Purchases &amp; Direct Costs</t>
  </si>
  <si>
    <t>Pending for the following year:</t>
  </si>
  <si>
    <t>Yearly Defaulted Credits</t>
  </si>
  <si>
    <t xml:space="preserve">Cashing &amp; Payments </t>
  </si>
  <si>
    <t>Yearly Sales Cashing</t>
  </si>
  <si>
    <t>Cash Collections</t>
  </si>
  <si>
    <t>Pro-rata Rule rates</t>
  </si>
  <si>
    <t>Total Sales</t>
  </si>
  <si>
    <t>Pro rata coefficients</t>
  </si>
  <si>
    <t>Yearly Fixed Assets Summary</t>
  </si>
  <si>
    <t>Labour Expenses: 
Sallaries</t>
  </si>
  <si>
    <t>Yearly Total Sallaries</t>
  </si>
  <si>
    <t>Yearly Total Fixed Expenses</t>
  </si>
  <si>
    <t>Yearly Non labour ExpensesTotal</t>
  </si>
  <si>
    <t>Non Current Assets Amortizations calculations</t>
  </si>
  <si>
    <t>Gross Initial</t>
  </si>
  <si>
    <t>Investment</t>
  </si>
  <si>
    <t>Previous accumulated</t>
  </si>
  <si>
    <t>NON CURRENT ASSETS INVESTMENTS</t>
  </si>
  <si>
    <t>Intangible Fixed Assets</t>
  </si>
  <si>
    <t>Fixed Assets Accountable Amortizations</t>
  </si>
  <si>
    <t>amortization</t>
  </si>
  <si>
    <t>term</t>
  </si>
  <si>
    <t>yearly amort.</t>
  </si>
  <si>
    <t>rate</t>
  </si>
  <si>
    <t>Yearly amortization quotes</t>
  </si>
  <si>
    <t>Average service life (years)</t>
  </si>
  <si>
    <t>Yearly amort. Quotes</t>
  </si>
  <si>
    <t>previous</t>
  </si>
  <si>
    <t>Yearly Av.</t>
  </si>
  <si>
    <t xml:space="preserve">Monthly totals  </t>
  </si>
  <si>
    <t>Other Financial Income</t>
  </si>
  <si>
    <t>Bank account interests</t>
  </si>
  <si>
    <t>Financial Expenses &amp; Income Forecast</t>
  </si>
  <si>
    <t>Credit account amounts used</t>
  </si>
  <si>
    <t>Credit account amounts not used</t>
  </si>
  <si>
    <t>Bank overdrafts</t>
  </si>
  <si>
    <t>Credit Account interests</t>
  </si>
  <si>
    <t>Non used credit fees</t>
  </si>
  <si>
    <t>Bank overdrafts penalties</t>
  </si>
  <si>
    <t>Leasing quotes</t>
  </si>
  <si>
    <t>Mortgage Interests &amp; fees</t>
  </si>
  <si>
    <t>Renting quotes</t>
  </si>
  <si>
    <t>Sales Collection</t>
  </si>
  <si>
    <t>Deferred / Recovered Defaults</t>
  </si>
  <si>
    <t>Other Cash Collections</t>
  </si>
  <si>
    <t>PAYMENTS</t>
  </si>
  <si>
    <t>Financial Expenses Payments</t>
  </si>
  <si>
    <t>Other payments</t>
  </si>
  <si>
    <t>Income Tax payments</t>
  </si>
  <si>
    <t>Long Term Creditors payments</t>
  </si>
  <si>
    <t>Total Payments forecast</t>
  </si>
  <si>
    <t>Monthly Cash Collection forecast</t>
  </si>
  <si>
    <t>Monthly payments forecast</t>
  </si>
  <si>
    <t>month</t>
  </si>
  <si>
    <t>Yearly Cash Flow</t>
  </si>
  <si>
    <t>Cash Flow Budget</t>
  </si>
  <si>
    <t>Monthly Collection Budget</t>
  </si>
  <si>
    <t>Maximum Cash overdraft</t>
  </si>
  <si>
    <t>Monthly Cash Flow Forecast</t>
  </si>
  <si>
    <t>Monthly Final Cash balance</t>
  </si>
  <si>
    <t>Other Out-flows</t>
  </si>
  <si>
    <t>Credit account used amount</t>
  </si>
  <si>
    <t>Maximum Monthly Final Cash balance</t>
  </si>
  <si>
    <t>DO NOT USE</t>
  </si>
  <si>
    <t>Other cash coll. atípicos</t>
  </si>
  <si>
    <t>Other cash collections</t>
  </si>
  <si>
    <t>Trade creditors coll.</t>
  </si>
  <si>
    <t>Capital Disbursement</t>
  </si>
  <si>
    <t>Monthly Total</t>
  </si>
  <si>
    <t>Credit from partners</t>
  </si>
  <si>
    <t>Other Non usual payments</t>
  </si>
  <si>
    <t>Investmment payments</t>
  </si>
  <si>
    <t>dividend payments</t>
  </si>
  <si>
    <t>Other LT Creditors payments</t>
  </si>
  <si>
    <t>Suppliers credits payments</t>
  </si>
  <si>
    <t>Other Unusual Cash Collections &amp; Payments</t>
  </si>
  <si>
    <t>Yearly Cash Flow Budgets Summary</t>
  </si>
  <si>
    <t>Cash Flow Budget Forecast: Cash Collections &amp; Payments</t>
  </si>
  <si>
    <t>Total Yearly Cash Collections</t>
  </si>
  <si>
    <t>Debt repayment (mortgages &amp; leasings)</t>
  </si>
  <si>
    <t>Yearly Final Cash Balances</t>
  </si>
  <si>
    <t>Maximum Yearly Final Cash balance in a Month</t>
  </si>
  <si>
    <t>Month of maximum Cash balance each year</t>
  </si>
  <si>
    <t>Credit Accounts &amp; Overdrafts</t>
  </si>
  <si>
    <t>Month of max. Overdraft</t>
  </si>
  <si>
    <t>Yearly maximum cash overdraft</t>
  </si>
  <si>
    <t>Max. Credit Account disposal</t>
  </si>
  <si>
    <t>Credit Lines Availability</t>
  </si>
  <si>
    <t>Break Even Point Analysis</t>
  </si>
  <si>
    <t>Total Fixed Expenses</t>
  </si>
  <si>
    <t>Financial Result Forecast</t>
  </si>
  <si>
    <t>Yearly Sales Forecast</t>
  </si>
  <si>
    <t>Monthly average sale</t>
  </si>
  <si>
    <t>= Sales Forecast/Break Even Point</t>
  </si>
  <si>
    <t>Monthly average Break Even</t>
  </si>
  <si>
    <t>Break Even Point (wo. Financial exp.)</t>
  </si>
  <si>
    <t>Break Even Point (Financial exp. Incl.)</t>
  </si>
  <si>
    <t>Average Contribution Margin</t>
  </si>
  <si>
    <t>Gross Earnings Forecast (E.B.I.T.)</t>
  </si>
  <si>
    <t>Earnings Before Taxes (E.B.T.)</t>
  </si>
  <si>
    <t>Cost</t>
  </si>
  <si>
    <t>Margin</t>
  </si>
  <si>
    <t>margin %</t>
  </si>
  <si>
    <t>% contrib.</t>
  </si>
  <si>
    <t>Product Lines</t>
  </si>
  <si>
    <t>Break Even Point Analysis &amp; Calculations</t>
  </si>
  <si>
    <t>Sales increases requiered</t>
  </si>
  <si>
    <t>Efficiency Ratios</t>
  </si>
  <si>
    <t>Profitabilaty Ratios</t>
  </si>
  <si>
    <t>Financial Ratio</t>
  </si>
  <si>
    <t xml:space="preserve">    Return On Equity</t>
  </si>
  <si>
    <t>1. ROE</t>
  </si>
  <si>
    <t>3. ROS</t>
  </si>
  <si>
    <t xml:space="preserve"> Net Income  /  Shareholder Equity (Networth)</t>
  </si>
  <si>
    <t>Earnings Before Interest &amp; Taxes (EBIT) / Total Sales</t>
  </si>
  <si>
    <t>Earnings Before Interest &amp; Taxes (EBIT) / Total Assets</t>
  </si>
  <si>
    <t>Total Sales / Total Assets</t>
  </si>
  <si>
    <t>2. Current ratio</t>
  </si>
  <si>
    <t>Receivables / Total Sales  x 365</t>
  </si>
  <si>
    <t>Current Assets - Short Term Liabilities</t>
  </si>
  <si>
    <t>(Networth + Long Term Liabilities) - Non Current Assets)</t>
  </si>
  <si>
    <t>Average number of employees</t>
  </si>
  <si>
    <t>(Employees + working partners)</t>
  </si>
  <si>
    <t>Break Even Pont</t>
  </si>
  <si>
    <t>Requiered sales to cover Fixed &amp; Direct Costs</t>
  </si>
  <si>
    <t>Sales Forecast / Break Even Point</t>
  </si>
  <si>
    <t>Sales Forecast</t>
  </si>
  <si>
    <t>av. Gross margin x (Sales - Break Even Point)   (EBITDA)</t>
  </si>
  <si>
    <t>Gross Earnings Forecast</t>
  </si>
  <si>
    <t>Cash Flow Forecast</t>
  </si>
  <si>
    <t>(Net Cash Balance Increases + Credit Account decrements)</t>
  </si>
  <si>
    <t>Estimated average service life of assets</t>
  </si>
  <si>
    <t>number of service years preview for fixed assets (average)</t>
  </si>
  <si>
    <t>Equity Average Financial Cost</t>
  </si>
  <si>
    <t>Current Assets  /  Current Liabilities</t>
  </si>
  <si>
    <t>4. Financial Leverage</t>
  </si>
  <si>
    <t>Total Liabilities / Shareholders Equity (Networth)</t>
  </si>
  <si>
    <t>3. Debt to Equity Ratio</t>
  </si>
  <si>
    <t>( EBI / EBIT ) x ( Total Assets  / Networth )</t>
  </si>
  <si>
    <t>8. Maximum natural growth allowance</t>
  </si>
  <si>
    <t>(margin x (1-%dividends)xAssets/Networth) /
 1/rotatión-margin*(1-%dividends)xAssets/Networth)</t>
  </si>
  <si>
    <t>(Current Assets – Inventories)/ Current Liabilities</t>
  </si>
  <si>
    <t>1. Quick ratio (Acid Test ratio)</t>
  </si>
  <si>
    <t>7. Days Payable Outstanding (DPO)</t>
  </si>
  <si>
    <t>6. Days Sales Outstanding (DSO)</t>
  </si>
  <si>
    <t>Trade Creditors / Sales Cost x 365</t>
  </si>
  <si>
    <t>Debt average financial Cost</t>
  </si>
  <si>
    <t>Financial Costs / Liabilities (LT + ST)</t>
  </si>
  <si>
    <t>Weighted Average Financial Cost</t>
  </si>
  <si>
    <t>dividends / Equity (Networth)</t>
  </si>
  <si>
    <t xml:space="preserve">    Return On Sales (operanting margin)</t>
  </si>
  <si>
    <t>1. Assets Rotation</t>
  </si>
  <si>
    <t>( Sales - Direct Costs ) / Total Sales</t>
  </si>
  <si>
    <t>Sales / Stockage</t>
  </si>
  <si>
    <t>2. Current Assets Turnover</t>
  </si>
  <si>
    <t>Sales / Current Assets</t>
  </si>
  <si>
    <t>3. Stockage (Inventory) Turnover</t>
  </si>
  <si>
    <t>5. Fixed Asset Debt Coverage</t>
  </si>
  <si>
    <t>(Networth + Long Term Liabilities) / Non Current Assets</t>
  </si>
  <si>
    <t>Investment Payback:</t>
  </si>
  <si>
    <t>Net Present Value (NPV)</t>
  </si>
  <si>
    <t>Internal Rate of Return (IRR)</t>
  </si>
  <si>
    <t>Modified Internal Rate of Return (MIRR)</t>
  </si>
  <si>
    <t>Years it would take to recover the initial investment</t>
  </si>
  <si>
    <t>Net Value in actual Money (discounted)</t>
  </si>
  <si>
    <t>rate that makes NPV null</t>
  </si>
  <si>
    <t>IRR modified to consider financing costs &amp; interests of positive cash flows</t>
  </si>
  <si>
    <t>Company's Value Estimation.  NPV &amp; IRR Calculations</t>
  </si>
  <si>
    <t>Free Cash Flows</t>
  </si>
  <si>
    <t>Amortizations &amp; Depreciations</t>
  </si>
  <si>
    <t>Cash Flow checking</t>
  </si>
  <si>
    <t>current €</t>
  </si>
  <si>
    <t>constant €</t>
  </si>
  <si>
    <t>NPV5 =</t>
  </si>
  <si>
    <t>NPVr =</t>
  </si>
  <si>
    <t>PER estimation</t>
  </si>
  <si>
    <t>NPV</t>
  </si>
  <si>
    <t>MIRR</t>
  </si>
  <si>
    <t>IRR</t>
  </si>
  <si>
    <t>Re-investment interest rate</t>
  </si>
  <si>
    <t>Discount Rate to calculate NPV</t>
  </si>
  <si>
    <t>3% by default</t>
  </si>
  <si>
    <t>interannual</t>
  </si>
  <si>
    <t>Intangible Assets Net Yearly Investments</t>
  </si>
  <si>
    <t>Tangible Net Yearly Investments</t>
  </si>
  <si>
    <t>Working Capital Requirements Investments (WCR)</t>
  </si>
  <si>
    <t>Accumated Free Cash Flow</t>
  </si>
  <si>
    <t>Yearly Free Cash Flows</t>
  </si>
  <si>
    <t>Risk free rate</t>
  </si>
  <si>
    <t>Company risk rate</t>
  </si>
  <si>
    <t>Industry risk rate</t>
  </si>
  <si>
    <t>specific risk rate</t>
  </si>
  <si>
    <t>general company risk rate</t>
  </si>
  <si>
    <t>perpetuity</t>
  </si>
  <si>
    <t>Cash Flows years 0 to 5 value</t>
  </si>
  <si>
    <t>MIRR calculation rates</t>
  </si>
  <si>
    <t>Financial cost rate</t>
  </si>
  <si>
    <t>Location:</t>
  </si>
  <si>
    <t>Name of the Company / Project:</t>
  </si>
  <si>
    <t>Legal / Taxation Form:</t>
  </si>
  <si>
    <t>Financial Planning date:</t>
  </si>
  <si>
    <t>Sheet Index of the Economical &amp; Financial Plan</t>
  </si>
  <si>
    <t>Sheet printing</t>
  </si>
  <si>
    <t>Final Project</t>
  </si>
  <si>
    <t>Perliminary</t>
  </si>
  <si>
    <t>YES</t>
  </si>
  <si>
    <t>Results</t>
  </si>
  <si>
    <t>Calculations</t>
  </si>
  <si>
    <t>Terms &amp; Conditions</t>
  </si>
  <si>
    <t>Bsic Data</t>
  </si>
  <si>
    <t>Investment Pay Back</t>
  </si>
  <si>
    <t>Discount % used to calculate NPV</t>
  </si>
  <si>
    <t>Deadline for NPV Calculation</t>
  </si>
  <si>
    <t>IRR (%)</t>
  </si>
  <si>
    <t>MIRR (%)</t>
  </si>
  <si>
    <t>TOTALS</t>
  </si>
  <si>
    <t>number of employees</t>
  </si>
  <si>
    <t>Average Gross Profit Rate</t>
  </si>
  <si>
    <t>ROE  (%)</t>
  </si>
  <si>
    <t>Break Even Point Security Coefficient</t>
  </si>
  <si>
    <t>Break Even Security Coefficient</t>
  </si>
  <si>
    <t>Break Even Security Coeff. (Financial Exp. Excl.)</t>
  </si>
  <si>
    <t>Break Even Security Coeff. (Financial Exp. incl.)</t>
  </si>
  <si>
    <t>ALARM PANEL</t>
  </si>
  <si>
    <t>Result</t>
  </si>
  <si>
    <t>Sec. Coeff.</t>
  </si>
  <si>
    <t>Yearly Income Statemts</t>
  </si>
  <si>
    <t>Max. Overdraft</t>
  </si>
  <si>
    <t>Liquidity</t>
  </si>
  <si>
    <t>Working Cap.</t>
  </si>
  <si>
    <t>Imbalance</t>
  </si>
  <si>
    <t>Fixed Expenses Season</t>
  </si>
  <si>
    <t>Years in the industry</t>
  </si>
  <si>
    <t>Fixed Expenses Incr. Rate</t>
  </si>
  <si>
    <t>Project / New Company</t>
  </si>
  <si>
    <t>Individual Entrepeneur (Equiv. Charge)</t>
  </si>
  <si>
    <t>Individual Entrepeneur (General Regime)</t>
  </si>
  <si>
    <t>Limited Liability Company  ( LLC )</t>
  </si>
  <si>
    <t>Joint Property Partnership  ( C.B. )</t>
  </si>
  <si>
    <t>Civil Society (S.C.)</t>
  </si>
  <si>
    <t>Asociation / NGO Non-profit Org.</t>
  </si>
  <si>
    <t>Foundation</t>
  </si>
  <si>
    <t>Specially Protected Cooperative</t>
  </si>
  <si>
    <t>Cooperative  ( S.Coop. )</t>
  </si>
  <si>
    <t>Andalusian Cooperative ( S.C.A. )</t>
  </si>
  <si>
    <t>Professional Civil Society</t>
  </si>
  <si>
    <t>Sole Limited Liability Company ( SLLC )</t>
  </si>
  <si>
    <t>Spanish Public Limited Workforce owned company  ( S.A.L. )</t>
  </si>
  <si>
    <t>Spanish Limited Workforce owned company ( S.L.L. )</t>
  </si>
  <si>
    <t>Public Limited Liability Company  (Inc. )</t>
  </si>
  <si>
    <t>SLLC</t>
  </si>
  <si>
    <t>C.S.</t>
  </si>
  <si>
    <t>Coop.</t>
  </si>
  <si>
    <t>PLLC / Inc.</t>
  </si>
  <si>
    <t>LLC / Ltd.</t>
  </si>
  <si>
    <t>Índex</t>
  </si>
  <si>
    <t>pages</t>
  </si>
  <si>
    <t>sheet type</t>
  </si>
  <si>
    <t>Sheets</t>
  </si>
  <si>
    <t>NCA (Fixed) Initial Investment</t>
  </si>
  <si>
    <t>Initial Expenses</t>
  </si>
  <si>
    <t>Funding</t>
  </si>
  <si>
    <t>Staff  (Human Resources)</t>
  </si>
  <si>
    <t>Fixed Expenses Data</t>
  </si>
  <si>
    <t>Prices - Direct Costs by lines</t>
  </si>
  <si>
    <t>NCA Additional Investment</t>
  </si>
  <si>
    <t>Initial Funding</t>
  </si>
  <si>
    <t>Mortgages: Detail Calculations</t>
  </si>
  <si>
    <t>Leasing: : Detail Calculations</t>
  </si>
  <si>
    <t>Renting: : Detail Calculations</t>
  </si>
  <si>
    <t>Other Cashing &amp; Payments</t>
  </si>
  <si>
    <t>Monthly detailed staff</t>
  </si>
  <si>
    <t>Cashing &amp; Payment Policies</t>
  </si>
  <si>
    <t>Initial Balance Sheet</t>
  </si>
  <si>
    <t>Yearlly Balance Sheets</t>
  </si>
  <si>
    <t>Sales Forecast 0</t>
  </si>
  <si>
    <t>Sales Forecast 1</t>
  </si>
  <si>
    <t>Sales Forecast 2</t>
  </si>
  <si>
    <t>Sales Forecast 3</t>
  </si>
  <si>
    <t>Sales Forecast 4</t>
  </si>
  <si>
    <t>Income Statement 0</t>
  </si>
  <si>
    <t>Income Statement 1</t>
  </si>
  <si>
    <t>Income Statement 2</t>
  </si>
  <si>
    <t>Income Statement 3</t>
  </si>
  <si>
    <t>Income Statement 4</t>
  </si>
  <si>
    <t>Yearly Income Statements: Comparative Analysis</t>
  </si>
  <si>
    <t>Personal Income Tax</t>
  </si>
  <si>
    <t>Collections &amp; Payments 0</t>
  </si>
  <si>
    <t>Collections &amp; Payments 1</t>
  </si>
  <si>
    <t>Collections &amp; Payments 2</t>
  </si>
  <si>
    <t>Collections &amp; Payments 3</t>
  </si>
  <si>
    <t>Collections &amp; Payments 4</t>
  </si>
  <si>
    <t>Personal Income Tax Calculations</t>
  </si>
  <si>
    <t>Fixed Expenses 0</t>
  </si>
  <si>
    <t>Fixed Expenses 1</t>
  </si>
  <si>
    <t>Fixed Expenses 2</t>
  </si>
  <si>
    <t>Fixed Expenses 3</t>
  </si>
  <si>
    <t>Fixed Expenses 4</t>
  </si>
  <si>
    <t>VAT 0</t>
  </si>
  <si>
    <t>VAT 1</t>
  </si>
  <si>
    <t>VAT 2</t>
  </si>
  <si>
    <t>VAT 3</t>
  </si>
  <si>
    <t>VAT 4</t>
  </si>
  <si>
    <t>Fixed Expenses Summary</t>
  </si>
  <si>
    <t>Financial Expenses &amp; Income</t>
  </si>
  <si>
    <t>Cash Flow 0</t>
  </si>
  <si>
    <t>Cash Flow 1</t>
  </si>
  <si>
    <t>Cash Flow 2</t>
  </si>
  <si>
    <t>Cash Flow 3</t>
  </si>
  <si>
    <t>Cash Flow 4</t>
  </si>
  <si>
    <t>5 year Monthly Cash Flow Summary</t>
  </si>
  <si>
    <t>Sales Forecast Summary</t>
  </si>
  <si>
    <t>Basic Ratio Analysis</t>
  </si>
  <si>
    <t>Company Valuation</t>
  </si>
  <si>
    <t>Executive Summary</t>
  </si>
  <si>
    <t>Monthly</t>
  </si>
  <si>
    <t>Settlements periodicity</t>
  </si>
  <si>
    <t>Small &amp; Medium Entrepeneurs Program</t>
  </si>
  <si>
    <t>SME Consolidation Program</t>
  </si>
  <si>
    <t>Touristic Entrepeneurs Program</t>
  </si>
  <si>
    <t xml:space="preserve">Self employment </t>
  </si>
  <si>
    <t>Universitarians Entrepeneurship</t>
  </si>
  <si>
    <t>Parámeters</t>
  </si>
  <si>
    <t>Current Assets Investment</t>
  </si>
  <si>
    <t>Sales Forecast Data</t>
  </si>
  <si>
    <t>UNIVERSITY ENTREPENEURSHIP</t>
  </si>
  <si>
    <t>ITBS</t>
  </si>
  <si>
    <t>Rep. Dominicana</t>
  </si>
  <si>
    <t>RD $</t>
  </si>
  <si>
    <t>RD Peso</t>
  </si>
  <si>
    <t>Initial &amp; Constitution expenses</t>
  </si>
  <si>
    <t>Credit Limit  (Maximum credit availability)</t>
  </si>
  <si>
    <t>Nominal Interest Rate (%)</t>
  </si>
  <si>
    <t>Residual value</t>
  </si>
  <si>
    <t>Interest rate over used credit</t>
  </si>
  <si>
    <t>Interest rate over non used or undrown credit</t>
  </si>
  <si>
    <t>US $</t>
  </si>
  <si>
    <t>UK Pound</t>
  </si>
  <si>
    <t>% yearly increase</t>
  </si>
  <si>
    <t>Sales in units Forecast Data</t>
  </si>
  <si>
    <t>¥</t>
  </si>
  <si>
    <t>JPY</t>
  </si>
  <si>
    <t>Dividends &amp; Reserves Policies</t>
  </si>
  <si>
    <t>Refund</t>
  </si>
  <si>
    <t>Max. Partners monthly salary</t>
  </si>
  <si>
    <t>SS Society Self Employees fee</t>
  </si>
  <si>
    <t>SS Self Employment minimum fee</t>
  </si>
  <si>
    <t>Sorted according anglosaxon order</t>
  </si>
  <si>
    <t>9. Capacidad para devolver deuda financiera</t>
  </si>
  <si>
    <t>(Beneficio Neto + Amortizaciones)  / Acreedores Financieros</t>
  </si>
  <si>
    <t>Cash-Flow</t>
  </si>
  <si>
    <t>Years</t>
  </si>
  <si>
    <t>Turnover</t>
  </si>
  <si>
    <t>Short Term Receivable</t>
  </si>
  <si>
    <t>Receivable subsidies</t>
  </si>
  <si>
    <t>Subsidies Cashing Policies</t>
  </si>
  <si>
    <t>Year of allocation</t>
  </si>
  <si>
    <t>Sorted according EU Continental order</t>
  </si>
  <si>
    <t>Interannual Prices
increase rate</t>
  </si>
  <si>
    <t>Promotors:</t>
  </si>
  <si>
    <t>Initial simulation Year:</t>
  </si>
  <si>
    <t>Initial month of the first quarter of the economic year / cycle</t>
  </si>
  <si>
    <t>Initial month of Q1</t>
  </si>
  <si>
    <t>Warehouse automatic increase</t>
  </si>
  <si>
    <t>Instrumental sets</t>
  </si>
  <si>
    <t>Yearly Fixed Expenses</t>
  </si>
  <si>
    <t xml:space="preserve">Banking effective interest rate </t>
  </si>
  <si>
    <t>BRL</t>
  </si>
  <si>
    <t>R$</t>
  </si>
  <si>
    <t>Financial income</t>
  </si>
  <si>
    <t>Other Long Term Creditors</t>
  </si>
  <si>
    <t>P.I.T.</t>
  </si>
  <si>
    <t>C.I.T</t>
  </si>
  <si>
    <t>Trade creditors (debtors)</t>
  </si>
  <si>
    <t>Yearly Gross Margins</t>
  </si>
  <si>
    <t>Gross Margins Forecast for the Company by lines</t>
  </si>
  <si>
    <t>Gross Marg.</t>
  </si>
  <si>
    <t>Forecast</t>
  </si>
  <si>
    <t>Total company risk rate</t>
  </si>
  <si>
    <t>% rate discount.  Resources cost</t>
  </si>
  <si>
    <t>Company term, nº of cashflows</t>
  </si>
  <si>
    <t>Estimated Iflation rate</t>
  </si>
  <si>
    <r>
      <t>% growth rate of cashflows beyond 5</t>
    </r>
    <r>
      <rPr>
        <vertAlign val="superscript"/>
        <sz val="10"/>
        <rFont val="Tahoma"/>
        <family val="2"/>
      </rPr>
      <t>th</t>
    </r>
    <r>
      <rPr>
        <sz val="10"/>
        <rFont val="Tahoma"/>
        <family val="2"/>
      </rPr>
      <t xml:space="preserve"> year</t>
    </r>
  </si>
  <si>
    <t>Corporate&amp; associated Inv.</t>
  </si>
  <si>
    <t>Available Cash / (Deficit)</t>
  </si>
  <si>
    <t>Net Yearly Investments</t>
  </si>
  <si>
    <t>Total Non Current Assets Investment</t>
  </si>
  <si>
    <t>Non Current Assets Yearly Investment</t>
  </si>
  <si>
    <t>Total Yearly Investment</t>
  </si>
  <si>
    <t>Financial Capital Buffer</t>
  </si>
  <si>
    <t>Prev. Balance Sheet</t>
  </si>
  <si>
    <t>Prev. Bal. Sheet</t>
  </si>
  <si>
    <t>Prev. Loan Short Term</t>
  </si>
  <si>
    <t>Short Term Amort CP Prev Leasing</t>
  </si>
  <si>
    <t>Previus</t>
  </si>
  <si>
    <t>Total Initial</t>
  </si>
  <si>
    <t>Total Amount</t>
  </si>
  <si>
    <t>Initial Previous Bal. Sheet</t>
  </si>
  <si>
    <t>Total Inicial</t>
  </si>
  <si>
    <t>Málaga</t>
  </si>
  <si>
    <t>Coworking</t>
  </si>
  <si>
    <t>Soc.
% retenc. Previous year</t>
  </si>
  <si>
    <t>Initial Years</t>
  </si>
  <si>
    <t>Aditional Funding including Current Assets in Year 0</t>
  </si>
  <si>
    <t>Cash  Deficits at the beginning of each year</t>
  </si>
  <si>
    <t>Estimated Cashflows used for VNA, IRR, MIRR calculations  Constants from the 6th year on</t>
  </si>
  <si>
    <t>years</t>
  </si>
  <si>
    <t>ROI  / ROA (%)</t>
  </si>
  <si>
    <t>2. ROI / ROA</t>
  </si>
  <si>
    <t xml:space="preserve">    Return On Investment / Assets</t>
  </si>
  <si>
    <t>% collection fee</t>
  </si>
  <si>
    <t>Collection expenses (bank fees)</t>
  </si>
  <si>
    <t>% bank fee for sales collection</t>
  </si>
  <si>
    <t>Interests &amp; financial expenses / funding</t>
  </si>
  <si>
    <t>10. Average balanced funding cost</t>
  </si>
  <si>
    <t>Total Yearly Marketing Expenditure</t>
  </si>
  <si>
    <t>Yearly amount</t>
  </si>
  <si>
    <t>% o/sales</t>
  </si>
  <si>
    <r>
      <t xml:space="preserve">Digital Marketing </t>
    </r>
    <r>
      <rPr>
        <sz val="10"/>
        <rFont val="Tahoma"/>
        <family val="2"/>
      </rPr>
      <t xml:space="preserve">(SEO, SEM, etc) </t>
    </r>
  </si>
  <si>
    <r>
      <t xml:space="preserve">Offline Marketing </t>
    </r>
    <r>
      <rPr>
        <sz val="10"/>
        <rFont val="Tahoma"/>
        <family val="2"/>
      </rPr>
      <t xml:space="preserve">(Advertising, Promotion, etc) </t>
    </r>
  </si>
  <si>
    <t>Online Marketing fixed expenses</t>
  </si>
  <si>
    <t>Offline Marketing fixed expenses</t>
  </si>
  <si>
    <t>nº yearly
payments</t>
  </si>
  <si>
    <t>% yearly
 incr.</t>
  </si>
  <si>
    <t>Marketing Expenditure</t>
  </si>
  <si>
    <t>Marketing Expenses</t>
  </si>
  <si>
    <t>CAC</t>
  </si>
  <si>
    <t/>
  </si>
  <si>
    <t>RA</t>
  </si>
  <si>
    <t>VC</t>
  </si>
  <si>
    <t>LTV / CAC=</t>
  </si>
  <si>
    <t>New Customer Adquisition Cost</t>
  </si>
  <si>
    <t>Newly adquired clients</t>
  </si>
  <si>
    <t>Expected nº of years for a client</t>
  </si>
  <si>
    <t>Mean profitability for new adquired clients</t>
  </si>
  <si>
    <t xml:space="preserve">Life Time Value LTV </t>
  </si>
  <si>
    <t>Typically LTV should be at least  3 times greater than the CAC, eventhough it depends on the industry and the circumstances.</t>
  </si>
  <si>
    <t>Real</t>
  </si>
  <si>
    <r>
      <t xml:space="preserve">EBITDA </t>
    </r>
    <r>
      <rPr>
        <sz val="9"/>
        <rFont val="Lucida Sans"/>
        <family val="2"/>
      </rPr>
      <t>(5 – 6)</t>
    </r>
  </si>
  <si>
    <t>TIR</t>
  </si>
  <si>
    <r>
      <t xml:space="preserve">Para destinar a  </t>
    </r>
    <r>
      <rPr>
        <b/>
        <sz val="9"/>
        <rFont val="Wingdings"/>
        <charset val="2"/>
      </rPr>
      <t>à</t>
    </r>
  </si>
  <si>
    <t>TOTAL</t>
  </si>
  <si>
    <t>Investor's Day Summary</t>
  </si>
  <si>
    <t>CUANTITATIVE DATA</t>
  </si>
  <si>
    <t>3.1   Funding Origin</t>
  </si>
  <si>
    <t>Funding source</t>
  </si>
  <si>
    <t>Investment data</t>
  </si>
  <si>
    <t>nº of issued shares each time</t>
  </si>
  <si>
    <t>Total number of issued shares</t>
  </si>
  <si>
    <t>Valuation after each round</t>
  </si>
  <si>
    <t>Pre-Money Valuation</t>
  </si>
  <si>
    <t>Description year</t>
  </si>
  <si>
    <t>PreMoney &amp; PostMoney Valuation</t>
  </si>
  <si>
    <t>% of capital for the investment</t>
  </si>
  <si>
    <r>
      <t>3.5.</t>
    </r>
    <r>
      <rPr>
        <sz val="11"/>
        <rFont val="Calibri"/>
        <family val="2"/>
      </rPr>
      <t xml:space="preserve"> </t>
    </r>
    <r>
      <rPr>
        <b/>
        <sz val="9"/>
        <color indexed="8"/>
        <rFont val="Calibri-Bold"/>
      </rPr>
      <t>% of social capital for the investment</t>
    </r>
    <r>
      <rPr>
        <sz val="9"/>
        <color indexed="8"/>
        <rFont val="Calibri-Bold"/>
      </rPr>
      <t>:</t>
    </r>
  </si>
  <si>
    <t>Offered Profitability for the shareholder (%)</t>
  </si>
  <si>
    <t>WACC for the company (% discount rate)</t>
  </si>
  <si>
    <t>Free Cash Flow
F.C.F.</t>
  </si>
  <si>
    <t>Operations Cash Flow
O.C.F.</t>
  </si>
  <si>
    <t>Capital Expenditure
CAPEX</t>
  </si>
  <si>
    <t>Net Operating Profit After Taxes
( NOPAT )</t>
  </si>
  <si>
    <t>Return Over Equity
ROE</t>
  </si>
  <si>
    <t>Return Over Assets/Investment
ROA / ROI</t>
  </si>
  <si>
    <t xml:space="preserve">3.3.1. Other interesting financial metrics : </t>
  </si>
  <si>
    <t>(OPTIONAL)</t>
  </si>
  <si>
    <t>3.3.2. Valuation Metrics of the Company at the end of the last period</t>
  </si>
  <si>
    <t>Break Even Point</t>
  </si>
  <si>
    <t>Final Cash-Flow</t>
  </si>
  <si>
    <t>6. Other expenses</t>
  </si>
  <si>
    <t xml:space="preserve">5. Gross Earnings
(1- 4) </t>
  </si>
  <si>
    <t>4. Total Costs &amp; expenses (2 + 3)</t>
  </si>
  <si>
    <t>3. General Expenditure</t>
  </si>
  <si>
    <r>
      <t>2. COGS</t>
    </r>
    <r>
      <rPr>
        <sz val="11"/>
        <rFont val="Calibri"/>
        <family val="2"/>
      </rPr>
      <t xml:space="preserve"> </t>
    </r>
    <r>
      <rPr>
        <sz val="8"/>
        <rFont val="Calibri"/>
        <family val="2"/>
      </rPr>
      <t>(Cost of goods selled</t>
    </r>
    <r>
      <rPr>
        <sz val="8"/>
        <rFont val="Lucida Sans"/>
        <family val="2"/>
      </rPr>
      <t>)</t>
    </r>
  </si>
  <si>
    <t>1. Sales Income</t>
  </si>
  <si>
    <t>3.3   Financial Summary for the Project</t>
  </si>
  <si>
    <t>3.2   Pre-Money Valuation</t>
  </si>
  <si>
    <t>Series</t>
  </si>
  <si>
    <t>Requested Capital Funding</t>
  </si>
  <si>
    <t>Destination</t>
  </si>
  <si>
    <t>Investment and funding sources</t>
  </si>
  <si>
    <t>Customer purchases per year: Purchases / client &amp; year</t>
  </si>
  <si>
    <r>
      <rPr>
        <b/>
        <sz val="11"/>
        <rFont val="Tahoma"/>
        <family val="2"/>
      </rPr>
      <t xml:space="preserve">ROI marketing investment </t>
    </r>
    <r>
      <rPr>
        <sz val="11"/>
        <rFont val="Tahoma"/>
        <family val="2"/>
      </rPr>
      <t xml:space="preserve">  </t>
    </r>
    <r>
      <rPr>
        <sz val="10"/>
        <rFont val="Tahoma"/>
        <family val="2"/>
      </rPr>
      <t>(Gross margin - MKT investment)/MKT investment</t>
    </r>
  </si>
  <si>
    <t>Free Cash Flow over Capital
CROC</t>
  </si>
  <si>
    <t>Clients balking rate</t>
  </si>
  <si>
    <t>Clients retention rate</t>
  </si>
  <si>
    <t>% retention</t>
  </si>
  <si>
    <t>% balking</t>
  </si>
  <si>
    <t>Pay Back (years)</t>
  </si>
  <si>
    <t>aa</t>
  </si>
  <si>
    <t>new clients</t>
  </si>
  <si>
    <t>RETA Subsidied</t>
  </si>
  <si>
    <t>Online Variable Marketing expenses</t>
  </si>
  <si>
    <t>Online Fixed Marketing expenses</t>
  </si>
  <si>
    <t>Offline Variable Marketing expenses</t>
  </si>
  <si>
    <t>Offline Fixed Marketing expenses</t>
  </si>
  <si>
    <t>5. Gross Profit Rate</t>
  </si>
  <si>
    <t>6. Operational Leverage</t>
  </si>
  <si>
    <t>4. ROCE  Return on Capital Employed</t>
  </si>
  <si>
    <t>EBIT / Capital Employed (Long Term Financing)</t>
  </si>
  <si>
    <t>RETA Self empoyees Subsidied</t>
  </si>
  <si>
    <t>Deductible deductible VAT correction</t>
  </si>
  <si>
    <t>Año</t>
  </si>
  <si>
    <t>columna</t>
  </si>
  <si>
    <t>Partners Soc. Sec. regularisation (yearly)</t>
  </si>
  <si>
    <t>Partners Soc. Sec. Monthly payment</t>
  </si>
  <si>
    <t>Partners Soc. Sec. Contribution Base</t>
  </si>
  <si>
    <t>Monthly average</t>
  </si>
  <si>
    <t>Previous Net Yield</t>
  </si>
  <si>
    <t>Bases estimation for the Partners Social Sec. contributions</t>
  </si>
  <si>
    <t>Cálculo de rendimientos netos</t>
  </si>
  <si>
    <t>=(Ingresos-Gastos) * (1-deducción)</t>
  </si>
  <si>
    <t>coef.</t>
  </si>
  <si>
    <t>Base</t>
  </si>
  <si>
    <t>Regularisation /month / partner</t>
  </si>
  <si>
    <t>Subsidised</t>
  </si>
  <si>
    <t>Criterio (&gt;=)</t>
  </si>
  <si>
    <t>Altman Z-score = 1,2 * T1 + 1,4 * T2 + 3,3 * T3 + 0,6 * T4 + 1,0 * T5</t>
  </si>
  <si>
    <t>Z (Altman)</t>
  </si>
  <si>
    <t>Z</t>
  </si>
  <si>
    <t>Viability Analysis</t>
  </si>
  <si>
    <t>Unidimensional Analysis</t>
  </si>
  <si>
    <t>Altman Multidimensional Test</t>
  </si>
  <si>
    <t>Altman Z-score fórmula consists in the following calculation:</t>
  </si>
  <si>
    <t>coefficient</t>
  </si>
  <si>
    <t>Net Profit / Sales</t>
  </si>
  <si>
    <t>Net Profit / Total Assets</t>
  </si>
  <si>
    <t>Networth / Networth &amp; Liabilities</t>
  </si>
  <si>
    <t>Net Profit / Networth</t>
  </si>
  <si>
    <t>Total Assets/ Short Term Liabilities</t>
  </si>
  <si>
    <t>Component</t>
  </si>
  <si>
    <t>T1: (Working Capital/Total Assets)</t>
  </si>
  <si>
    <t>T3: (EBITDA / Total Assets)</t>
  </si>
  <si>
    <t>T5: (Net Sales / Total Assets)</t>
  </si>
  <si>
    <t>T2: (Reinvested Profit / Total Assets)</t>
  </si>
  <si>
    <t>T4: (Stock Market Value / Total Liabilities)</t>
  </si>
  <si>
    <t>The formula consists in this calcululation:</t>
  </si>
  <si>
    <t>Coman &amp; Holman Test</t>
  </si>
  <si>
    <t>Coefficient</t>
  </si>
  <si>
    <t>Probability</t>
  </si>
  <si>
    <t>(Calculations under verification… )</t>
  </si>
  <si>
    <t>Bankruptcy / Default Probability</t>
  </si>
  <si>
    <t>A1: ( Liabilities + Available ) / Total Assets</t>
  </si>
  <si>
    <t>A2: (Networth + LT Liabilities ) / Total Liabilities</t>
  </si>
  <si>
    <t>A3: (Financial expenses / Sales)</t>
  </si>
  <si>
    <t>A4: (Personnel Expenses / Added Value)</t>
  </si>
  <si>
    <t>A5: ( Operations Cash Flow )/( Current Liabilities )</t>
  </si>
  <si>
    <t>Months of initial ramp</t>
  </si>
  <si>
    <t>Current Year</t>
  </si>
  <si>
    <t>From (&gt;)</t>
  </si>
  <si>
    <t>Up to (&lt;=)</t>
  </si>
  <si>
    <t>Fee</t>
  </si>
  <si>
    <t>€/month</t>
  </si>
  <si>
    <t>Regardeless of the whole income</t>
  </si>
  <si>
    <t>Deduction</t>
  </si>
  <si>
    <t>Self employment Forfait</t>
  </si>
  <si>
    <t>Non Company self employees</t>
  </si>
  <si>
    <t>Company self employees</t>
  </si>
  <si>
    <t>Revenue (monthly)</t>
  </si>
  <si>
    <t>20251106pE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</si>
</sst>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3">
    <numFmt numFmtId="6" formatCode="#,##0\ &quot;€&quot;;[Red]\-#,##0\ &quot;€&quot;"/>
    <numFmt numFmtId="164" formatCode="_-* #,##0.00\ _€_-;\-* #,##0.00\ _€_-;_-* &quot;-&quot;??\ _€_-;_-@_-"/>
    <numFmt numFmtId="165" formatCode="_-* #,##0\ _P_t_s_-;\-* #,##0\ _P_t_s_-;_-* &quot;-&quot;\ _P_t_s_-;_-@_-"/>
    <numFmt numFmtId="166" formatCode="_-* #,##0.00\ _P_t_s_-;\-* #,##0.00\ _P_t_s_-;_-* &quot;-&quot;??\ _P_t_s_-;_-@_-"/>
    <numFmt numFmtId="167" formatCode="0.0%"/>
    <numFmt numFmtId="168" formatCode="#,##0.0000000000"/>
    <numFmt numFmtId="169" formatCode="#,##0_ ;[Red]\-#,##0\ "/>
    <numFmt numFmtId="170" formatCode="_-* #,##0\ _P_t_s_-;\(\ #,##0\ \)_*;_-* &quot;-&quot;\ _P_t_s_-;_-@_-"/>
    <numFmt numFmtId="171" formatCode="0_ ;[Red]\-0\ "/>
    <numFmt numFmtId="172" formatCode="&quot;a&quot;\ ###\ &quot;días&quot;"/>
    <numFmt numFmtId="173" formatCode="&quot;% a&quot;\ ###\ &quot;días&quot;"/>
    <numFmt numFmtId="174" formatCode="#,##0\ \€"/>
    <numFmt numFmtId="175" formatCode="0.000"/>
    <numFmt numFmtId="176" formatCode="mmmm\-yyyy"/>
    <numFmt numFmtId="177" formatCode="#,##0.00_ ;[Red]\-#,##0.00\ "/>
    <numFmt numFmtId="178" formatCode="&quot;mes&quot;\ 0"/>
    <numFmt numFmtId="179" formatCode="mmmm"/>
    <numFmt numFmtId="180" formatCode="0.00_ ;[Red]\-0.00\ "/>
    <numFmt numFmtId="181" formatCode="0%;;\-"/>
    <numFmt numFmtId="182" formatCode="_-* #,##0\ _P_t_s_-;\(\ #,##0\ \)_*_*_*;_-* &quot;-&quot;\ _P_t_s_-;_-@_-"/>
    <numFmt numFmtId="183" formatCode="_-* #,##0\ _P_t_s_-;[Red]\(\ #,##0\ \)_*_*_*;_-* &quot;-&quot;\ _P_t_s_-;_-@_-"/>
    <numFmt numFmtId="184" formatCode="0%;\-0%;\-"/>
    <numFmt numFmtId="185" formatCode="#,##0.0"/>
    <numFmt numFmtId="186" formatCode="#,##0\ _€"/>
    <numFmt numFmtId="187" formatCode="\+\ #,##0\ ;[Red]\-\ #,##0;\-"/>
    <numFmt numFmtId="188" formatCode="_-* #,##0\ _P_t_s_-;[Red]\(\ #,##0\ \)\ _*\ \ \ \ ;_-* &quot;-&quot;\ _P_t_s_-;_-@_-"/>
    <numFmt numFmtId="189" formatCode="#,##0.0%_*;[Red]\(\ #,##0.0%\ \)_*"/>
    <numFmt numFmtId="190" formatCode="#,##0_*;[Red]\(\ #,##0\ \)_*"/>
    <numFmt numFmtId="191" formatCode="#,##0;[Red]\ \(\ #,##0\ \)"/>
    <numFmt numFmtId="192" formatCode="#,##0.0%;[Red]\(\ #,##0.0%\ \)"/>
    <numFmt numFmtId="193" formatCode="#,##0;[Red]\(\ #,##0\ \)_*"/>
    <numFmt numFmtId="194" formatCode="#,##0.00_*;[Red]\(\ #,##0.00\ \)_*"/>
    <numFmt numFmtId="195" formatCode="#,##0_*;[Red]\(#,##0\)_*"/>
    <numFmt numFmtId="196" formatCode="0.00%_*;[Red]\(\ 0.00%\ \)_*"/>
    <numFmt numFmtId="197" formatCode="#,##0.00_ ;[Red]\-#,##0.00\ ;;@"/>
    <numFmt numFmtId="198" formatCode="#,##0\ \ _*;[Red]\(\ #,##0\ \)_*"/>
    <numFmt numFmtId="199" formatCode="#,##0\ \ _*;[Red]\(\ #,##0\ \)"/>
    <numFmt numFmtId="200" formatCode="#,##0_*"/>
    <numFmt numFmtId="201" formatCode="0.0%_*"/>
    <numFmt numFmtId="202" formatCode="#,##0_*;[Red]\(\ #,##0\ \)"/>
    <numFmt numFmtId="203" formatCode="dd/mm/yyyy;@"/>
    <numFmt numFmtId="204" formatCode="#,##0_*;[Red]\ \(\ #,##0\ \)_*"/>
    <numFmt numFmtId="205" formatCode="#,##0;;\-"/>
    <numFmt numFmtId="206" formatCode="#,##0_*;;\-\ \ \ _*"/>
    <numFmt numFmtId="207" formatCode="#,##0.00_*"/>
    <numFmt numFmtId="208" formatCode="&quot;Año&quot;\ 0"/>
    <numFmt numFmtId="209" formatCode="&quot;Datos Año&quot;\ 0"/>
    <numFmt numFmtId="210" formatCode="&quot;Año&quot;\ 0\ &quot;:&quot;"/>
    <numFmt numFmtId="211" formatCode="_-* #,##0\ _-;\-* #,##0\ _P_t_s_-;_-* &quot;-&quot;\ _P_t_s_-;_-@_-"/>
    <numFmt numFmtId="212" formatCode="_-* #,##0.00\ [$€]_-;\-* #,##0.00\ [$€]_-;_-* &quot;-&quot;??\ [$€]_-;_-@_-"/>
    <numFmt numFmtId="213" formatCode="#,##0_*;;\-\ \ _*"/>
    <numFmt numFmtId="214" formatCode="#,##0.0;;\-"/>
    <numFmt numFmtId="215" formatCode="0.00%_*"/>
    <numFmt numFmtId="216" formatCode="#,##0_*;;\-\ _*"/>
    <numFmt numFmtId="217" formatCode="0.00%_*;;\-\ _*"/>
    <numFmt numFmtId="218" formatCode="#,##0_*;\-\ _*"/>
    <numFmt numFmtId="219" formatCode="#,##0_*;[Red]\ \(\ #,##0\ \)"/>
    <numFmt numFmtId="220" formatCode="0.00%_*;;\-\ \ _*"/>
    <numFmt numFmtId="221" formatCode="0.00%_*;;\-\ \ \ _*"/>
    <numFmt numFmtId="222" formatCode="#,##0_*;[Red]\(#,##0\)_*;\-\ \ _*"/>
    <numFmt numFmtId="223" formatCode="#,##0_*;[Red]\(#,##0\)_*;\-\ \ \ _*"/>
    <numFmt numFmtId="224" formatCode="#,##0_*;[Red]\ \(\ #,##0\ \)_*;\-\ \ \ _*"/>
    <numFmt numFmtId="225" formatCode="#,##0_*;[Red]\ \(\ #,##0\ \);\-\ \ \ _*"/>
    <numFmt numFmtId="226" formatCode="#,##0.00_*;;\-\ \ \ _*"/>
    <numFmt numFmtId="227" formatCode="#,##0_*\ ;[Red]\(\ #,##0\ \);\-\ \ \ _*"/>
    <numFmt numFmtId="228" formatCode="#,##0_*;[Red]\(\ #,##0\ \);\-\ \ \ _*"/>
    <numFmt numFmtId="229" formatCode="#,##0_*;[Red]\(\ #,##0\ \)_*;\-\ \ \ _*"/>
    <numFmt numFmtId="230" formatCode="0.00%;;\-\ \ \ _*"/>
    <numFmt numFmtId="231" formatCode="#,##0.00;;\-"/>
    <numFmt numFmtId="232" formatCode="#,##0\ _*;;\-\ \ \ _*"/>
    <numFmt numFmtId="233" formatCode="#,##0.0%\ \ _*;[Red]\(#,##0.0%\)\ \ _*;\-\ \ \ _*"/>
    <numFmt numFmtId="234" formatCode="#,##0\ \ \ \ _*;[Red]\(\ #,##0\ \)\ \ \ _*;\-\ \ \ \ \ _*"/>
    <numFmt numFmtId="235" formatCode="#,##0\ \ \ \ _*;[Red]\(\ #,##0\ \)\ \ \ _*;\-\ \ \ \ _*"/>
    <numFmt numFmtId="236" formatCode="#,##0.0%_*;[Red]\(\ #,##0.0%\ \)_*;\-\ \ \ \ _*"/>
    <numFmt numFmtId="237" formatCode="#,##0\ \ \ \ _*;[Red]\(\ #,##0\ \)\ \ \ _*;\-\ \ \ \ \ _*;_*\ \ \ \ &quot;OK&quot;"/>
    <numFmt numFmtId="238" formatCode="\ #,##0\ \ _*;\(\ #,##0\ \)\ _*;\-\ \ \ \ _*"/>
    <numFmt numFmtId="239" formatCode="#,##0.00\ _*;[Red]\-#,##0.00\ _*;\-\ \ \ \ _*"/>
    <numFmt numFmtId="240" formatCode="#,##0\ \ _*;;\-\ \ \ _*"/>
    <numFmt numFmtId="241" formatCode="#,##0.00\ \ _*;[Red]\(\ #,##0.00\ \)\ \ \ _*;\-\ \ \ \ _*"/>
    <numFmt numFmtId="242" formatCode="#,##0\ \ _*;[Red]\(\ #,##0\ \)\ \ \ _*;\-\ \ \ \ _*"/>
    <numFmt numFmtId="243" formatCode="#,##0_*;;\-_*"/>
    <numFmt numFmtId="244" formatCode="#,##0\ \ _*;[Red]\(\ #,##0\ \)\ \ _*"/>
    <numFmt numFmtId="245" formatCode="#,##0.00_*;[Red]\(#,##0.00\)"/>
    <numFmt numFmtId="246" formatCode="0.00%;[Red]\(\ 0.00%\ \)"/>
    <numFmt numFmtId="247" formatCode="0.0%;;\-\ \ \ _*"/>
    <numFmt numFmtId="248" formatCode="#,##0.00_*;[Red]\(\ #,##0.00\ \)"/>
    <numFmt numFmtId="249" formatCode="\ #,##0.0\ \ _*;\(\ #,##0.0\ \)\ _*;\-\ \ \ \ _*"/>
    <numFmt numFmtId="250" formatCode="0.00%_*;;\-\ 0.00%_*"/>
    <numFmt numFmtId="251" formatCode="#,##0.0%;[Red]\(\ #,##0.0%\ \);\-"/>
    <numFmt numFmtId="252" formatCode="0.00;&quot;N/D&quot;;&quot;N/D&quot;"/>
    <numFmt numFmtId="253" formatCode="0;&quot;N/D&quot;;&quot;N/D&quot;"/>
    <numFmt numFmtId="254" formatCode="#,##0_*;\(\ #,##0\ \)_*"/>
    <numFmt numFmtId="255" formatCode="0.0%;[Red]\(0.0%\)"/>
    <numFmt numFmtId="256" formatCode="#,##0\ \ _*;[Red]\(#,##0\)_*"/>
    <numFmt numFmtId="257" formatCode="#,##0.00\ \ _*;;\-\ \ \ _*"/>
    <numFmt numFmtId="258" formatCode="#,##0.0000\ _*;[Red]\-#,##0.0000\ _*;\-\ \ \ \ _*"/>
    <numFmt numFmtId="259" formatCode="\-*@"/>
    <numFmt numFmtId="260" formatCode="#,##0.0%_*;[Red]\(\ #,##0.0%\ \)_*;\-\ \ \ \ _*;_ \ \ \ \ \ \ \ @"/>
    <numFmt numFmtId="261" formatCode="#,##0_*;[Red]\(\ #,##0\ \)_*;;_ \ \ \ \ \ \ \ @"/>
    <numFmt numFmtId="262" formatCode="0%;;\-\ _*"/>
    <numFmt numFmtId="263" formatCode="0.0000"/>
    <numFmt numFmtId="264" formatCode="#,##0_*;\ \(\ #,##0\ \)"/>
    <numFmt numFmtId="265" formatCode="0.0"/>
    <numFmt numFmtId="266" formatCode="_-* #,##0\ _P_t_s_-;\-* #,##0\ _P_t_s_-;_-* &quot;-&quot;??\ _P_t_s_-;_-@_-"/>
    <numFmt numFmtId="267" formatCode="0.00%\ \ _*"/>
    <numFmt numFmtId="268" formatCode="#,##0.0%\ _*;[Red]\(\ #,##0.0%\ \)_*;\-"/>
    <numFmt numFmtId="269" formatCode="0.00%\ \ _*;;;\ \ \ \ \ \ \ \ \ \ \ @"/>
    <numFmt numFmtId="270" formatCode="#,##0_*;\(\ #,##0\ \)_*;\-\ \ \ _*"/>
    <numFmt numFmtId="271" formatCode="#,##0.00;\(\ #,##0.00\ \);\-\ _*"/>
    <numFmt numFmtId="272" formatCode="#,##0.0%;\(\ #,##0.0%\ \);\-"/>
    <numFmt numFmtId="273" formatCode="#,##0_*;[Red]\(\ #,##0\ \)_*;;_ \ \ @"/>
    <numFmt numFmtId="274" formatCode="&quot;mes &quot;0\ "/>
    <numFmt numFmtId="275" formatCode="#,##0\ \ \ \ _*"/>
    <numFmt numFmtId="276" formatCode="#,##0.00%\ \ \ \ _*"/>
    <numFmt numFmtId="277" formatCode="_-* #,##0.00\ _P_t_s_-;\-* #,##0.00\ _P_t_s_-;_-* &quot;-&quot;\ _P_t_s_-;_-@_-"/>
    <numFmt numFmtId="278" formatCode="_-* #,##0.0\ _P_t_s_-;\-* #,##0.0\ _P_t_s_-;_-* &quot;-&quot;\ _P_t_s_-;_-@_-"/>
    <numFmt numFmtId="279" formatCode="#,##0.00\ \ \ \ _*"/>
    <numFmt numFmtId="280" formatCode="&quot;Year&quot;\ 0"/>
    <numFmt numFmtId="281" formatCode="&quot;Year&quot;\ 0\ &quot;:&quot;"/>
    <numFmt numFmtId="282" formatCode="#,##0\ &quot;periods&quot;"/>
    <numFmt numFmtId="283" formatCode="#,##0.0\ \ &quot;years&quot;\ \ _*;;\-\ \ \ _*"/>
    <numFmt numFmtId="284" formatCode="&quot;% &quot;\ ###\ &quot;days&quot;"/>
    <numFmt numFmtId="285" formatCode="&quot;Year&quot;\ 0&quot;:&quot;"/>
    <numFmt numFmtId="286" formatCode="&quot;Output / Sales &quot;\ @\ &quot;rate&quot;"/>
    <numFmt numFmtId="287" formatCode="&quot;delayed&quot;\ ###\ &quot;days&quot;"/>
    <numFmt numFmtId="288" formatCode="0.00\ &quot;years&quot;"/>
    <numFmt numFmtId="289" formatCode="&quot;month &quot;0\ "/>
    <numFmt numFmtId="290" formatCode="0.0%;;\-\ \ _*"/>
    <numFmt numFmtId="291" formatCode="#,##0.0%_*;[Red]\(\ #,##0.0%\ \)_*;\-\ \ \ _*"/>
    <numFmt numFmtId="292" formatCode="#,##0_*;[Red]\(\ #,##0\ \)_*;\-\ _*;_*\ \ \ @"/>
    <numFmt numFmtId="293" formatCode="#,##0.00\ _*;[Red]\(\ #,##0.00\ \)\ _*;\-\ _*;_*\ \ \ \ @"/>
    <numFmt numFmtId="294" formatCode="#,##0\ \ _*;[Red]\(\ #,##0\ \)\ \ _*;\-\ _*;\ \ @\ \ \ _*"/>
    <numFmt numFmtId="295" formatCode="#,##0.00%_*;[Red]\(\ #,##0.00%\ \)_*;\-\ \ \ \ _*"/>
    <numFmt numFmtId="296" formatCode="#,##0.0%_*;\(\ #,##0.0%\ \)_*;\-\ \ \ _*"/>
    <numFmt numFmtId="297" formatCode="#,##0_*;[Red]\(\ #,##0\ \)_*;\-\ \ _*"/>
    <numFmt numFmtId="298" formatCode="yyyy"/>
    <numFmt numFmtId="299" formatCode="[$-409]dd\-mmm\-yy"/>
    <numFmt numFmtId="300" formatCode="_-* #,##0.00\ _P_t_s_-;\(\ #,##0.00\ \)_*;_-* &quot;-&quot;\ _P_t_s_-;_-@_-"/>
    <numFmt numFmtId="301" formatCode="#,##0_*;[Red]\(\ #,##0\ \)_*;\-\ _*;_ \ \ \ \ \ \ \ @"/>
    <numFmt numFmtId="302" formatCode="0.0%;[Red]\(0.0%\);\-\ _*"/>
    <numFmt numFmtId="303" formatCode="#,##0_*;\(\ #,##0\ \)_*;\ \-\ _*"/>
    <numFmt numFmtId="304" formatCode="#,##0.00_*;\(\ #,##0.00\ \)_*;\ \-\ _*"/>
    <numFmt numFmtId="305" formatCode="#,##0.00_*;[Red]\(\ #,##0.00\ \)_*;\-\ _*;_ \ \ \ \ \ \ \ @"/>
    <numFmt numFmtId="306" formatCode="#,##0.0#"/>
    <numFmt numFmtId="307" formatCode="#,##0;[Red]\(\ #,##0\ \);\ \-\ _*"/>
    <numFmt numFmtId="308" formatCode="#,##0.00_*;[Red]\(\ #,##0.00\ \)_*;\-\ \ \ _*"/>
    <numFmt numFmtId="309" formatCode="0.0%;[Red]\(0.0%\);\-\ \ _*"/>
    <numFmt numFmtId="310" formatCode="#,##0.00_ ;\-#,##0.00\ "/>
    <numFmt numFmtId="311" formatCode="0;[Red]0"/>
    <numFmt numFmtId="312" formatCode="#,##0.00_*;[Red]\(\ #,##0.00\ \)_*;\-\ _*;_*\ \ \ @"/>
    <numFmt numFmtId="313" formatCode="#,##0_*;[Red]\(\ #,##0\ \);\-\ _*"/>
    <numFmt numFmtId="314" formatCode="0.00%;[Red]\(0.00%\);\-\ \ _*"/>
    <numFmt numFmtId="315" formatCode="#,##0.00;[Red]#,##0.00;\-_*"/>
  </numFmts>
  <fonts count="127">
    <font>
      <sz val="12"/>
      <name val="Times New Roman"/>
      <family val="1"/>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2"/>
      <name val="Times New Roman"/>
      <family val="1"/>
    </font>
    <font>
      <sz val="8"/>
      <name val="Times New Roman"/>
      <family val="1"/>
    </font>
    <font>
      <sz val="8"/>
      <color indexed="81"/>
      <name val="Tahoma"/>
      <family val="2"/>
    </font>
    <font>
      <b/>
      <sz val="8"/>
      <color indexed="81"/>
      <name val="Tahoma"/>
      <family val="2"/>
    </font>
    <font>
      <b/>
      <sz val="12"/>
      <color indexed="10"/>
      <name val="Times New Roman"/>
      <family val="1"/>
    </font>
    <font>
      <sz val="10"/>
      <color indexed="81"/>
      <name val="Tahoma"/>
      <family val="2"/>
    </font>
    <font>
      <b/>
      <sz val="10"/>
      <color indexed="81"/>
      <name val="Tahoma"/>
      <family val="2"/>
    </font>
    <font>
      <b/>
      <sz val="12"/>
      <color indexed="81"/>
      <name val="Tahoma"/>
      <family val="2"/>
    </font>
    <font>
      <sz val="12"/>
      <color indexed="81"/>
      <name val="Tahoma"/>
      <family val="2"/>
    </font>
    <font>
      <b/>
      <sz val="14"/>
      <name val="Tahoma"/>
      <family val="2"/>
    </font>
    <font>
      <b/>
      <sz val="18"/>
      <name val="Tahoma"/>
      <family val="2"/>
    </font>
    <font>
      <sz val="11"/>
      <color indexed="81"/>
      <name val="Tahoma"/>
      <family val="2"/>
    </font>
    <font>
      <b/>
      <sz val="12"/>
      <name val="Tahoma"/>
      <family val="2"/>
    </font>
    <font>
      <b/>
      <sz val="11"/>
      <color indexed="81"/>
      <name val="Tahoma"/>
      <family val="2"/>
    </font>
    <font>
      <u/>
      <sz val="10.199999999999999"/>
      <color indexed="12"/>
      <name val="Times New Roman"/>
      <family val="1"/>
    </font>
    <font>
      <b/>
      <sz val="10"/>
      <name val="Tahoma"/>
      <family val="2"/>
    </font>
    <font>
      <sz val="12"/>
      <name val="Tahoma"/>
      <family val="2"/>
    </font>
    <font>
      <b/>
      <sz val="11"/>
      <name val="Tahoma"/>
      <family val="2"/>
    </font>
    <font>
      <sz val="10"/>
      <name val="Tahoma"/>
      <family val="2"/>
    </font>
    <font>
      <b/>
      <sz val="7"/>
      <name val="Tahoma"/>
      <family val="2"/>
    </font>
    <font>
      <b/>
      <sz val="20"/>
      <name val="Tahoma"/>
      <family val="2"/>
    </font>
    <font>
      <sz val="16"/>
      <name val="Tahoma"/>
      <family val="2"/>
    </font>
    <font>
      <sz val="20"/>
      <name val="Tahoma"/>
      <family val="2"/>
    </font>
    <font>
      <sz val="22"/>
      <name val="Tahoma"/>
      <family val="2"/>
    </font>
    <font>
      <b/>
      <sz val="16"/>
      <name val="Tahoma"/>
      <family val="2"/>
    </font>
    <font>
      <b/>
      <sz val="14"/>
      <color indexed="10"/>
      <name val="Tahoma"/>
      <family val="2"/>
    </font>
    <font>
      <b/>
      <sz val="14"/>
      <color indexed="9"/>
      <name val="Tahoma"/>
      <family val="2"/>
    </font>
    <font>
      <b/>
      <sz val="12"/>
      <color indexed="9"/>
      <name val="Tahoma"/>
      <family val="2"/>
    </font>
    <font>
      <b/>
      <sz val="10"/>
      <color indexed="9"/>
      <name val="Tahoma"/>
      <family val="2"/>
    </font>
    <font>
      <b/>
      <sz val="8"/>
      <name val="Tahoma"/>
      <family val="2"/>
    </font>
    <font>
      <sz val="18"/>
      <name val="Tahoma"/>
      <family val="2"/>
    </font>
    <font>
      <sz val="12"/>
      <color indexed="9"/>
      <name val="Tahoma"/>
      <family val="2"/>
    </font>
    <font>
      <u/>
      <sz val="12"/>
      <color indexed="12"/>
      <name val="Tahoma"/>
      <family val="2"/>
    </font>
    <font>
      <sz val="11"/>
      <name val="Tahoma"/>
      <family val="2"/>
    </font>
    <font>
      <i/>
      <sz val="10"/>
      <name val="Arial"/>
      <family val="2"/>
    </font>
    <font>
      <i/>
      <sz val="12"/>
      <name val="Arial"/>
      <family val="2"/>
    </font>
    <font>
      <i/>
      <sz val="12"/>
      <name val="Tahoma"/>
      <family val="2"/>
    </font>
    <font>
      <sz val="18"/>
      <color indexed="10"/>
      <name val="Tahoma"/>
      <family val="2"/>
    </font>
    <font>
      <sz val="8"/>
      <name val="Tahoma"/>
      <family val="2"/>
    </font>
    <font>
      <b/>
      <sz val="9"/>
      <name val="Tahoma"/>
      <family val="2"/>
    </font>
    <font>
      <b/>
      <sz val="12"/>
      <color indexed="10"/>
      <name val="Tahoma"/>
      <family val="2"/>
    </font>
    <font>
      <sz val="14"/>
      <name val="Tahoma"/>
      <family val="2"/>
    </font>
    <font>
      <sz val="24"/>
      <name val="Tahoma"/>
      <family val="2"/>
    </font>
    <font>
      <b/>
      <i/>
      <sz val="14"/>
      <name val="Tahoma"/>
      <family val="2"/>
    </font>
    <font>
      <b/>
      <i/>
      <sz val="12"/>
      <name val="Tahoma"/>
      <family val="2"/>
    </font>
    <font>
      <sz val="12"/>
      <color indexed="10"/>
      <name val="Tahoma"/>
      <family val="2"/>
    </font>
    <font>
      <b/>
      <sz val="10"/>
      <color indexed="10"/>
      <name val="Tahoma"/>
      <family val="2"/>
    </font>
    <font>
      <sz val="14"/>
      <color indexed="9"/>
      <name val="Tahoma"/>
      <family val="2"/>
    </font>
    <font>
      <b/>
      <sz val="11"/>
      <color indexed="9"/>
      <name val="Tahoma"/>
      <family val="2"/>
    </font>
    <font>
      <b/>
      <sz val="15"/>
      <color indexed="9"/>
      <name val="Tahoma"/>
      <family val="2"/>
    </font>
    <font>
      <u/>
      <sz val="12"/>
      <color indexed="9"/>
      <name val="Tahoma"/>
      <family val="2"/>
    </font>
    <font>
      <sz val="10"/>
      <color indexed="9"/>
      <name val="Tahoma"/>
      <family val="2"/>
    </font>
    <font>
      <b/>
      <sz val="19"/>
      <color indexed="10"/>
      <name val="Tahoma"/>
      <family val="2"/>
    </font>
    <font>
      <b/>
      <sz val="19"/>
      <name val="Tahoma"/>
      <family val="2"/>
    </font>
    <font>
      <sz val="19"/>
      <color indexed="10"/>
      <name val="Tahoma"/>
      <family val="2"/>
    </font>
    <font>
      <b/>
      <i/>
      <sz val="11"/>
      <name val="Tahoma"/>
      <family val="2"/>
    </font>
    <font>
      <sz val="9"/>
      <name val="Tahoma"/>
      <family val="2"/>
    </font>
    <font>
      <sz val="11"/>
      <color indexed="9"/>
      <name val="Tahoma"/>
      <family val="2"/>
    </font>
    <font>
      <sz val="18"/>
      <color indexed="9"/>
      <name val="Tahoma"/>
      <family val="2"/>
    </font>
    <font>
      <b/>
      <sz val="9.5"/>
      <name val="Tahoma"/>
      <family val="2"/>
    </font>
    <font>
      <b/>
      <sz val="8.5"/>
      <name val="Tahoma"/>
      <family val="2"/>
    </font>
    <font>
      <sz val="26"/>
      <color indexed="10"/>
      <name val="Tahoma"/>
      <family val="2"/>
    </font>
    <font>
      <i/>
      <sz val="10"/>
      <name val="Tahoma"/>
      <family val="2"/>
    </font>
    <font>
      <sz val="16"/>
      <color indexed="10"/>
      <name val="Tahoma"/>
      <family val="2"/>
    </font>
    <font>
      <b/>
      <i/>
      <sz val="9"/>
      <name val="Tahoma"/>
      <family val="2"/>
    </font>
    <font>
      <sz val="10"/>
      <color indexed="12"/>
      <name val="Arial"/>
      <family val="2"/>
    </font>
    <font>
      <sz val="10"/>
      <color indexed="12"/>
      <name val="Tahoma"/>
      <family val="2"/>
    </font>
    <font>
      <b/>
      <vertAlign val="subscript"/>
      <sz val="10"/>
      <name val="Tahoma"/>
      <family val="2"/>
    </font>
    <font>
      <i/>
      <sz val="10"/>
      <color indexed="10"/>
      <name val="Tahoma"/>
      <family val="2"/>
    </font>
    <font>
      <sz val="12"/>
      <name val="Arial"/>
      <family val="2"/>
    </font>
    <font>
      <b/>
      <sz val="12"/>
      <name val="Arial"/>
      <family val="2"/>
    </font>
    <font>
      <sz val="10"/>
      <color indexed="9"/>
      <name val="Arial"/>
      <family val="2"/>
    </font>
    <font>
      <sz val="12"/>
      <name val="Arial"/>
      <family val="2"/>
    </font>
    <font>
      <sz val="12"/>
      <color indexed="9"/>
      <name val="Times New Roman"/>
      <family val="1"/>
    </font>
    <font>
      <i/>
      <sz val="11"/>
      <name val="Tahoma"/>
      <family val="2"/>
    </font>
    <font>
      <b/>
      <i/>
      <sz val="10"/>
      <name val="Tahoma"/>
      <family val="2"/>
    </font>
    <font>
      <sz val="9"/>
      <color indexed="81"/>
      <name val="Tahoma"/>
      <family val="2"/>
    </font>
    <font>
      <b/>
      <sz val="9"/>
      <color indexed="81"/>
      <name val="Tahoma"/>
      <family val="2"/>
    </font>
    <font>
      <b/>
      <sz val="10.5"/>
      <name val="Tahoma"/>
      <family val="2"/>
    </font>
    <font>
      <b/>
      <sz val="11.5"/>
      <name val="Tahoma"/>
      <family val="2"/>
    </font>
    <font>
      <b/>
      <sz val="12"/>
      <name val="Times New Roman"/>
      <family val="1"/>
    </font>
    <font>
      <b/>
      <sz val="11"/>
      <name val="Times New Roman"/>
      <family val="1"/>
    </font>
    <font>
      <vertAlign val="superscript"/>
      <sz val="10"/>
      <name val="Tahoma"/>
      <family val="2"/>
    </font>
    <font>
      <b/>
      <sz val="11"/>
      <name val="Lucida Sans"/>
      <family val="2"/>
    </font>
    <font>
      <b/>
      <sz val="9"/>
      <name val="Lucida Sans"/>
      <family val="2"/>
    </font>
    <font>
      <sz val="9"/>
      <name val="Lucida Sans"/>
      <family val="2"/>
    </font>
    <font>
      <b/>
      <i/>
      <sz val="9"/>
      <name val="Lucida Sans"/>
      <family val="2"/>
    </font>
    <font>
      <sz val="10"/>
      <name val="Lucida Sans"/>
      <family val="2"/>
    </font>
    <font>
      <sz val="11"/>
      <name val="Calibri"/>
      <family val="2"/>
    </font>
    <font>
      <sz val="8"/>
      <name val="Calibri"/>
      <family val="2"/>
    </font>
    <font>
      <sz val="8"/>
      <name val="Lucida Sans"/>
      <family val="2"/>
    </font>
    <font>
      <i/>
      <sz val="9"/>
      <name val="Lucida Sans"/>
      <family val="2"/>
    </font>
    <font>
      <b/>
      <sz val="10"/>
      <name val="Lucida Sans"/>
      <family val="2"/>
    </font>
    <font>
      <sz val="9"/>
      <color indexed="8"/>
      <name val="Calibri-Bold"/>
    </font>
    <font>
      <b/>
      <sz val="9"/>
      <name val="Wingdings"/>
      <charset val="2"/>
    </font>
    <font>
      <b/>
      <sz val="8"/>
      <name val="Lucida Sans"/>
      <family val="2"/>
    </font>
    <font>
      <b/>
      <sz val="9"/>
      <color indexed="8"/>
      <name val="Calibri-Bold"/>
    </font>
    <font>
      <b/>
      <sz val="14"/>
      <color rgb="FFFF0000"/>
      <name val="Tahoma"/>
      <family val="2"/>
    </font>
    <font>
      <b/>
      <sz val="10"/>
      <color theme="0"/>
      <name val="Calibri"/>
      <family val="2"/>
      <scheme val="minor"/>
    </font>
    <font>
      <sz val="10"/>
      <color theme="0"/>
      <name val="Calibri"/>
      <family val="2"/>
      <scheme val="minor"/>
    </font>
    <font>
      <sz val="11"/>
      <color theme="0"/>
      <name val="Tahoma"/>
      <family val="2"/>
    </font>
    <font>
      <sz val="10"/>
      <color rgb="FFFF0000"/>
      <name val="Tahoma"/>
      <family val="2"/>
    </font>
    <font>
      <sz val="12"/>
      <color rgb="FFFF0000"/>
      <name val="Tahoma"/>
      <family val="2"/>
    </font>
    <font>
      <sz val="10"/>
      <color theme="0"/>
      <name val="Tahoma"/>
      <family val="2"/>
    </font>
    <font>
      <b/>
      <sz val="11"/>
      <color theme="0"/>
      <name val="Tahoma"/>
      <family val="2"/>
    </font>
    <font>
      <sz val="12"/>
      <color theme="0"/>
      <name val="Tahoma"/>
      <family val="2"/>
    </font>
    <font>
      <b/>
      <sz val="10"/>
      <color theme="0"/>
      <name val="Tahoma"/>
      <family val="2"/>
    </font>
    <font>
      <sz val="8"/>
      <color theme="0"/>
      <name val="Tahoma"/>
      <family val="2"/>
    </font>
    <font>
      <b/>
      <sz val="12"/>
      <color rgb="FFFF0000"/>
      <name val="Tahoma"/>
      <family val="2"/>
    </font>
    <font>
      <sz val="12"/>
      <color theme="0"/>
      <name val="Times New Roman"/>
      <family val="1"/>
    </font>
    <font>
      <sz val="12"/>
      <color theme="0"/>
      <name val="Trebuchet MS"/>
      <family val="2"/>
    </font>
    <font>
      <sz val="18"/>
      <color theme="0"/>
      <name val="Tahoma"/>
      <family val="2"/>
    </font>
    <font>
      <sz val="14"/>
      <color theme="0"/>
      <name val="Tahoma"/>
      <family val="2"/>
    </font>
    <font>
      <b/>
      <sz val="12"/>
      <color theme="0"/>
      <name val="Tahoma"/>
      <family val="2"/>
    </font>
    <font>
      <b/>
      <sz val="10"/>
      <color rgb="FFFF0000"/>
      <name val="Tahoma"/>
      <family val="2"/>
    </font>
    <font>
      <b/>
      <sz val="16"/>
      <color theme="6" tint="-0.249977111117893"/>
      <name val="Calibri"/>
      <family val="2"/>
      <scheme val="minor"/>
    </font>
    <font>
      <sz val="12"/>
      <name val="Calibri"/>
      <family val="2"/>
      <scheme val="minor"/>
    </font>
    <font>
      <b/>
      <sz val="14"/>
      <color rgb="FFFF0000"/>
      <name val="Calibri"/>
      <family val="2"/>
      <scheme val="minor"/>
    </font>
    <font>
      <b/>
      <sz val="9"/>
      <color rgb="FF000000"/>
      <name val="Calibri-Bold"/>
    </font>
    <font>
      <b/>
      <sz val="14"/>
      <name val="Calibri"/>
      <family val="2"/>
      <scheme val="minor"/>
    </font>
    <font>
      <b/>
      <sz val="14"/>
      <color theme="0"/>
      <name val="Tahoma"/>
      <family val="2"/>
    </font>
  </fonts>
  <fills count="26">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indexed="13"/>
        <bgColor indexed="64"/>
      </patternFill>
    </fill>
    <fill>
      <patternFill patternType="solid">
        <fgColor indexed="45"/>
        <bgColor indexed="64"/>
      </patternFill>
    </fill>
    <fill>
      <patternFill patternType="solid">
        <fgColor indexed="15"/>
        <bgColor indexed="64"/>
      </patternFill>
    </fill>
    <fill>
      <patternFill patternType="solid">
        <fgColor indexed="43"/>
        <bgColor indexed="64"/>
      </patternFill>
    </fill>
    <fill>
      <patternFill patternType="solid">
        <fgColor indexed="41"/>
        <bgColor indexed="64"/>
      </patternFill>
    </fill>
    <fill>
      <patternFill patternType="solid">
        <fgColor indexed="51"/>
        <bgColor indexed="64"/>
      </patternFill>
    </fill>
    <fill>
      <patternFill patternType="solid">
        <fgColor indexed="42"/>
        <bgColor indexed="64"/>
      </patternFill>
    </fill>
    <fill>
      <patternFill patternType="solid">
        <fgColor indexed="44"/>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C000"/>
        <bgColor indexed="64"/>
      </patternFill>
    </fill>
    <fill>
      <patternFill patternType="solid">
        <fgColor theme="6" tint="-0.249977111117893"/>
        <bgColor indexed="64"/>
      </patternFill>
    </fill>
    <fill>
      <patternFill patternType="solid">
        <fgColor rgb="FFDDD9C3"/>
        <bgColor indexed="64"/>
      </patternFill>
    </fill>
    <fill>
      <patternFill patternType="solid">
        <fgColor theme="9" tint="0.39997558519241921"/>
        <bgColor indexed="64"/>
      </patternFill>
    </fill>
    <fill>
      <patternFill patternType="solid">
        <fgColor rgb="FFFFFF00"/>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theme="2" tint="-9.9978637043366805E-2"/>
        <bgColor indexed="64"/>
      </patternFill>
    </fill>
    <fill>
      <patternFill patternType="solid">
        <fgColor rgb="FFFF0000"/>
        <bgColor indexed="64"/>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thin">
        <color indexed="64"/>
      </right>
      <top/>
      <bottom/>
      <diagonal/>
    </border>
    <border>
      <left style="thin">
        <color indexed="64"/>
      </left>
      <right/>
      <top/>
      <bottom/>
      <diagonal/>
    </border>
    <border>
      <left style="thin">
        <color indexed="64"/>
      </left>
      <right/>
      <top style="thin">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top style="thin">
        <color indexed="64"/>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style="double">
        <color indexed="64"/>
      </right>
      <top style="double">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medium">
        <color indexed="64"/>
      </bottom>
      <diagonal/>
    </border>
    <border>
      <left/>
      <right/>
      <top/>
      <bottom style="thin">
        <color indexed="64"/>
      </bottom>
      <diagonal/>
    </border>
    <border>
      <left/>
      <right style="double">
        <color indexed="64"/>
      </right>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diagonal/>
    </border>
    <border>
      <left style="thick">
        <color indexed="64"/>
      </left>
      <right/>
      <top style="medium">
        <color indexed="64"/>
      </top>
      <bottom/>
      <diagonal/>
    </border>
    <border>
      <left style="medium">
        <color indexed="64"/>
      </left>
      <right style="thick">
        <color indexed="64"/>
      </right>
      <top style="medium">
        <color indexed="64"/>
      </top>
      <bottom/>
      <diagonal/>
    </border>
    <border>
      <left style="thick">
        <color indexed="64"/>
      </left>
      <right style="thin">
        <color indexed="64"/>
      </right>
      <top/>
      <bottom style="thin">
        <color indexed="64"/>
      </bottom>
      <diagonal/>
    </border>
    <border>
      <left style="thick">
        <color indexed="64"/>
      </left>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medium">
        <color indexed="64"/>
      </left>
      <right style="thick">
        <color indexed="64"/>
      </right>
      <top/>
      <bottom/>
      <diagonal/>
    </border>
    <border>
      <left style="thick">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ck">
        <color indexed="64"/>
      </top>
      <bottom/>
      <diagonal/>
    </border>
    <border>
      <left style="thick">
        <color indexed="64"/>
      </left>
      <right/>
      <top style="medium">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medium">
        <color indexed="64"/>
      </top>
      <bottom style="thick">
        <color indexed="64"/>
      </bottom>
      <diagonal/>
    </border>
    <border>
      <left/>
      <right style="thick">
        <color indexed="64"/>
      </right>
      <top style="medium">
        <color indexed="64"/>
      </top>
      <bottom style="thick">
        <color indexed="64"/>
      </bottom>
      <diagonal/>
    </border>
    <border>
      <left/>
      <right style="double">
        <color indexed="64"/>
      </right>
      <top style="thick">
        <color indexed="64"/>
      </top>
      <bottom/>
      <diagonal/>
    </border>
    <border>
      <left style="thick">
        <color indexed="64"/>
      </left>
      <right/>
      <top style="medium">
        <color indexed="64"/>
      </top>
      <bottom style="thin">
        <color indexed="64"/>
      </bottom>
      <diagonal/>
    </border>
    <border>
      <left style="thick">
        <color indexed="64"/>
      </left>
      <right style="thin">
        <color indexed="64"/>
      </right>
      <top style="medium">
        <color indexed="64"/>
      </top>
      <bottom style="thin">
        <color indexed="64"/>
      </bottom>
      <diagonal/>
    </border>
    <border>
      <left style="medium">
        <color indexed="64"/>
      </left>
      <right style="double">
        <color indexed="64"/>
      </right>
      <top style="medium">
        <color indexed="64"/>
      </top>
      <bottom style="medium">
        <color indexed="64"/>
      </bottom>
      <diagonal/>
    </border>
    <border>
      <left style="thin">
        <color indexed="64"/>
      </left>
      <right/>
      <top/>
      <bottom style="medium">
        <color indexed="64"/>
      </bottom>
      <diagonal/>
    </border>
    <border>
      <left style="thick">
        <color indexed="64"/>
      </left>
      <right style="medium">
        <color indexed="64"/>
      </right>
      <top style="thick">
        <color indexed="64"/>
      </top>
      <bottom/>
      <diagonal/>
    </border>
    <border>
      <left/>
      <right style="medium">
        <color indexed="64"/>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9"/>
      </left>
      <right style="medium">
        <color indexed="9"/>
      </right>
      <top style="medium">
        <color indexed="9"/>
      </top>
      <bottom style="medium">
        <color indexed="9"/>
      </bottom>
      <diagonal/>
    </border>
    <border>
      <left style="medium">
        <color indexed="64"/>
      </left>
      <right style="medium">
        <color indexed="64"/>
      </right>
      <top style="thick">
        <color indexed="64"/>
      </top>
      <bottom/>
      <diagonal/>
    </border>
    <border>
      <left style="medium">
        <color indexed="64"/>
      </left>
      <right/>
      <top style="thick">
        <color indexed="64"/>
      </top>
      <bottom/>
      <diagonal/>
    </border>
    <border>
      <left/>
      <right style="medium">
        <color indexed="64"/>
      </right>
      <top/>
      <bottom style="thick">
        <color indexed="64"/>
      </bottom>
      <diagonal/>
    </border>
    <border>
      <left style="medium">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thick">
        <color indexed="64"/>
      </left>
      <right style="medium">
        <color indexed="64"/>
      </right>
      <top style="thin">
        <color indexed="64"/>
      </top>
      <bottom style="thin">
        <color indexed="64"/>
      </bottom>
      <diagonal/>
    </border>
    <border>
      <left style="thick">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double">
        <color indexed="64"/>
      </left>
      <right/>
      <top style="medium">
        <color indexed="64"/>
      </top>
      <bottom/>
      <diagonal/>
    </border>
    <border>
      <left style="double">
        <color indexed="64"/>
      </left>
      <right style="medium">
        <color indexed="64"/>
      </right>
      <top style="medium">
        <color indexed="64"/>
      </top>
      <bottom/>
      <diagonal/>
    </border>
    <border>
      <left/>
      <right style="double">
        <color indexed="64"/>
      </right>
      <top style="medium">
        <color indexed="64"/>
      </top>
      <bottom/>
      <diagonal/>
    </border>
    <border>
      <left/>
      <right style="thick">
        <color indexed="64"/>
      </right>
      <top style="medium">
        <color indexed="64"/>
      </top>
      <bottom/>
      <diagonal/>
    </border>
    <border>
      <left style="thin">
        <color indexed="64"/>
      </left>
      <right/>
      <top style="medium">
        <color indexed="64"/>
      </top>
      <bottom/>
      <diagonal/>
    </border>
    <border>
      <left style="thick">
        <color indexed="64"/>
      </left>
      <right style="medium">
        <color indexed="64"/>
      </right>
      <top/>
      <bottom style="thick">
        <color indexed="64"/>
      </bottom>
      <diagonal/>
    </border>
    <border>
      <left style="thick">
        <color indexed="64"/>
      </left>
      <right style="thin">
        <color indexed="64"/>
      </right>
      <top style="medium">
        <color indexed="64"/>
      </top>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double">
        <color indexed="64"/>
      </left>
      <right style="thin">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medium">
        <color indexed="64"/>
      </left>
      <right style="double">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diagonal/>
    </border>
    <border>
      <left style="medium">
        <color indexed="64"/>
      </left>
      <right style="thick">
        <color indexed="64"/>
      </right>
      <top/>
      <bottom style="thin">
        <color indexed="64"/>
      </bottom>
      <diagonal/>
    </border>
    <border>
      <left style="medium">
        <color indexed="64"/>
      </left>
      <right style="medium">
        <color indexed="64"/>
      </right>
      <top style="thin">
        <color indexed="64"/>
      </top>
      <bottom style="thick">
        <color indexed="64"/>
      </bottom>
      <diagonal/>
    </border>
    <border>
      <left/>
      <right/>
      <top style="thin">
        <color indexed="64"/>
      </top>
      <bottom style="thick">
        <color indexed="64"/>
      </bottom>
      <diagonal/>
    </border>
    <border>
      <left style="medium">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indexed="64"/>
      </left>
      <right style="thick">
        <color indexed="64"/>
      </right>
      <top style="thin">
        <color indexed="64"/>
      </top>
      <bottom style="medium">
        <color indexed="64"/>
      </bottom>
      <diagonal/>
    </border>
    <border>
      <left style="medium">
        <color indexed="64"/>
      </left>
      <right style="thick">
        <color indexed="64"/>
      </right>
      <top style="thick">
        <color indexed="64"/>
      </top>
      <bottom/>
      <diagonal/>
    </border>
    <border>
      <left style="medium">
        <color indexed="64"/>
      </left>
      <right style="medium">
        <color indexed="64"/>
      </right>
      <top style="thick">
        <color indexed="64"/>
      </top>
      <bottom style="thin">
        <color indexed="64"/>
      </bottom>
      <diagonal/>
    </border>
    <border>
      <left style="medium">
        <color indexed="64"/>
      </left>
      <right style="thick">
        <color indexed="64"/>
      </right>
      <top style="thick">
        <color indexed="64"/>
      </top>
      <bottom style="thin">
        <color indexed="64"/>
      </bottom>
      <diagonal/>
    </border>
    <border>
      <left/>
      <right style="medium">
        <color indexed="64"/>
      </right>
      <top style="thin">
        <color indexed="64"/>
      </top>
      <bottom style="thick">
        <color indexed="64"/>
      </bottom>
      <diagonal/>
    </border>
    <border>
      <left style="medium">
        <color rgb="FF948A54"/>
      </left>
      <right style="medium">
        <color rgb="FF948A54"/>
      </right>
      <top style="medium">
        <color rgb="FF948A54"/>
      </top>
      <bottom/>
      <diagonal/>
    </border>
    <border>
      <left/>
      <right style="medium">
        <color rgb="FF948A54"/>
      </right>
      <top style="medium">
        <color rgb="FF948A54"/>
      </top>
      <bottom/>
      <diagonal/>
    </border>
    <border>
      <left style="medium">
        <color rgb="FF948A54"/>
      </left>
      <right style="medium">
        <color rgb="FF948A54"/>
      </right>
      <top style="medium">
        <color rgb="FF948A54"/>
      </top>
      <bottom style="medium">
        <color rgb="FF948A54"/>
      </bottom>
      <diagonal/>
    </border>
    <border>
      <left/>
      <right style="medium">
        <color rgb="FF948A54"/>
      </right>
      <top style="medium">
        <color rgb="FF948A54"/>
      </top>
      <bottom style="medium">
        <color rgb="FF948A54"/>
      </bottom>
      <diagonal/>
    </border>
    <border>
      <left style="medium">
        <color rgb="FF948A54"/>
      </left>
      <right style="medium">
        <color rgb="FF948A54"/>
      </right>
      <top/>
      <bottom style="medium">
        <color rgb="FF948A54"/>
      </bottom>
      <diagonal/>
    </border>
    <border>
      <left/>
      <right style="medium">
        <color rgb="FF948A54"/>
      </right>
      <top/>
      <bottom style="medium">
        <color rgb="FF948A54"/>
      </bottom>
      <diagonal/>
    </border>
    <border>
      <left style="medium">
        <color rgb="FF948A54"/>
      </left>
      <right style="medium">
        <color rgb="FF948A54"/>
      </right>
      <top/>
      <bottom style="thick">
        <color rgb="FF948A54"/>
      </bottom>
      <diagonal/>
    </border>
    <border>
      <left style="thick">
        <color rgb="FF948A54"/>
      </left>
      <right style="medium">
        <color rgb="FF948A54"/>
      </right>
      <top/>
      <bottom style="thick">
        <color rgb="FF948A54"/>
      </bottom>
      <diagonal/>
    </border>
    <border>
      <left style="medium">
        <color theme="2" tint="-0.499984740745262"/>
      </left>
      <right style="medium">
        <color theme="2" tint="-0.499984740745262"/>
      </right>
      <top style="medium">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medium">
        <color theme="2" tint="-0.499984740745262"/>
      </left>
      <right style="thin">
        <color indexed="64"/>
      </right>
      <top style="medium">
        <color theme="2" tint="-0.499984740745262"/>
      </top>
      <bottom/>
      <diagonal/>
    </border>
    <border>
      <left/>
      <right/>
      <top style="medium">
        <color theme="2" tint="-0.499984740745262"/>
      </top>
      <bottom/>
      <diagonal/>
    </border>
    <border>
      <left style="thin">
        <color indexed="64"/>
      </left>
      <right style="medium">
        <color theme="2" tint="-0.499984740745262"/>
      </right>
      <top style="medium">
        <color theme="2" tint="-0.499984740745262"/>
      </top>
      <bottom/>
      <diagonal/>
    </border>
    <border>
      <left style="medium">
        <color theme="2" tint="-0.499984740745262"/>
      </left>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indexed="64"/>
      </left>
      <right style="thick">
        <color indexed="64"/>
      </right>
      <top style="medium">
        <color indexed="64"/>
      </top>
      <bottom style="thin">
        <color indexed="64"/>
      </bottom>
      <diagonal/>
    </border>
  </borders>
  <cellStyleXfs count="9">
    <xf numFmtId="0" fontId="0" fillId="0" borderId="0" applyProtection="0"/>
    <xf numFmtId="212" fontId="6" fillId="0" borderId="0" applyFont="0" applyFill="0" applyBorder="0" applyAlignment="0" applyProtection="0"/>
    <xf numFmtId="0" fontId="20" fillId="0" borderId="0" applyNumberFormat="0" applyFill="0" applyBorder="0" applyAlignment="0" applyProtection="0">
      <alignment vertical="top"/>
      <protection locked="0"/>
    </xf>
    <xf numFmtId="166" fontId="5" fillId="0" borderId="0" applyFont="0" applyFill="0" applyBorder="0" applyAlignment="0" applyProtection="0"/>
    <xf numFmtId="165" fontId="5"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9" fontId="3" fillId="0" borderId="0" applyFont="0" applyFill="0" applyBorder="0" applyAlignment="0" applyProtection="0"/>
  </cellStyleXfs>
  <cellXfs count="3300">
    <xf numFmtId="0" fontId="0" fillId="0" borderId="0" xfId="0"/>
    <xf numFmtId="0" fontId="0" fillId="0" borderId="0" xfId="0" applyProtection="1"/>
    <xf numFmtId="0" fontId="15" fillId="0" borderId="0" xfId="0" applyFont="1" applyAlignment="1">
      <alignment horizontal="center"/>
    </xf>
    <xf numFmtId="3" fontId="22" fillId="0" borderId="0" xfId="0" applyNumberFormat="1" applyFont="1" applyAlignment="1" applyProtection="1">
      <alignment vertical="center"/>
    </xf>
    <xf numFmtId="0" fontId="24" fillId="0" borderId="0" xfId="0" applyFont="1"/>
    <xf numFmtId="0" fontId="24" fillId="0" borderId="0" xfId="0" applyFont="1" applyAlignment="1">
      <alignment horizontal="center"/>
    </xf>
    <xf numFmtId="3" fontId="24" fillId="2" borderId="1" xfId="0" applyNumberFormat="1" applyFont="1" applyFill="1" applyBorder="1" applyAlignment="1" applyProtection="1">
      <alignment horizontal="center"/>
      <protection locked="0"/>
    </xf>
    <xf numFmtId="200" fontId="24" fillId="0" borderId="0" xfId="0" applyNumberFormat="1" applyFont="1" applyAlignment="1" applyProtection="1">
      <alignment horizontal="right"/>
      <protection locked="0"/>
    </xf>
    <xf numFmtId="200" fontId="24" fillId="0" borderId="0" xfId="0" applyNumberFormat="1" applyFont="1"/>
    <xf numFmtId="9" fontId="21" fillId="1" borderId="2" xfId="6" applyFont="1" applyFill="1" applyBorder="1" applyAlignment="1" applyProtection="1">
      <alignment horizontal="right"/>
    </xf>
    <xf numFmtId="10" fontId="24" fillId="0" borderId="3" xfId="6" applyNumberFormat="1" applyFont="1" applyBorder="1" applyAlignment="1">
      <alignment horizontal="center"/>
    </xf>
    <xf numFmtId="9" fontId="21" fillId="1" borderId="4" xfId="6" applyFont="1" applyFill="1" applyBorder="1" applyAlignment="1" applyProtection="1">
      <alignment horizontal="right"/>
    </xf>
    <xf numFmtId="0" fontId="24" fillId="0" borderId="5" xfId="0" applyFont="1" applyBorder="1"/>
    <xf numFmtId="0" fontId="24" fillId="0" borderId="6" xfId="0" applyFont="1" applyBorder="1" applyAlignment="1" applyProtection="1">
      <alignment horizontal="left" indent="4"/>
      <protection locked="0"/>
    </xf>
    <xf numFmtId="200" fontId="24" fillId="2" borderId="6" xfId="0" applyNumberFormat="1" applyFont="1" applyFill="1" applyBorder="1" applyProtection="1">
      <protection locked="0"/>
    </xf>
    <xf numFmtId="200" fontId="24" fillId="2" borderId="7" xfId="0" applyNumberFormat="1" applyFont="1" applyFill="1" applyBorder="1" applyProtection="1">
      <protection locked="0"/>
    </xf>
    <xf numFmtId="0" fontId="21" fillId="0" borderId="8" xfId="0" applyFont="1" applyBorder="1" applyAlignment="1">
      <alignment horizontal="center" vertical="center" wrapText="1"/>
    </xf>
    <xf numFmtId="0" fontId="26" fillId="0" borderId="0" xfId="0" applyFont="1" applyProtection="1"/>
    <xf numFmtId="9" fontId="22" fillId="0" borderId="0" xfId="6" applyFont="1" applyFill="1" applyBorder="1" applyAlignment="1" applyProtection="1">
      <alignment horizontal="center"/>
    </xf>
    <xf numFmtId="3" fontId="22" fillId="0" borderId="0" xfId="0" applyNumberFormat="1" applyFont="1" applyAlignment="1" applyProtection="1">
      <alignment horizontal="right"/>
    </xf>
    <xf numFmtId="0" fontId="22" fillId="0" borderId="0" xfId="0" applyFont="1" applyProtection="1"/>
    <xf numFmtId="9" fontId="22" fillId="0" borderId="0" xfId="6" applyFont="1" applyFill="1" applyBorder="1" applyProtection="1"/>
    <xf numFmtId="0" fontId="18" fillId="0" borderId="0" xfId="0" applyFont="1" applyAlignment="1" applyProtection="1">
      <alignment horizontal="center"/>
    </xf>
    <xf numFmtId="0" fontId="18" fillId="0" borderId="0" xfId="0" applyFont="1" applyProtection="1"/>
    <xf numFmtId="3" fontId="18" fillId="0" borderId="0" xfId="0" applyNumberFormat="1" applyFont="1" applyAlignment="1" applyProtection="1">
      <alignment horizontal="center"/>
    </xf>
    <xf numFmtId="0" fontId="29" fillId="0" borderId="0" xfId="0" applyFont="1" applyProtection="1"/>
    <xf numFmtId="3" fontId="22" fillId="0" borderId="9" xfId="0" applyNumberFormat="1" applyFont="1" applyBorder="1" applyAlignment="1" applyProtection="1">
      <alignment horizontal="right"/>
    </xf>
    <xf numFmtId="3" fontId="22" fillId="0" borderId="10" xfId="0" applyNumberFormat="1" applyFont="1" applyBorder="1" applyProtection="1"/>
    <xf numFmtId="0" fontId="22" fillId="0" borderId="10" xfId="0" applyFont="1" applyBorder="1" applyProtection="1"/>
    <xf numFmtId="0" fontId="10" fillId="0" borderId="0" xfId="0" applyFont="1" applyAlignment="1">
      <alignment horizontal="left" indent="1"/>
    </xf>
    <xf numFmtId="200" fontId="24" fillId="2" borderId="11" xfId="0" applyNumberFormat="1" applyFont="1" applyFill="1" applyBorder="1" applyProtection="1">
      <protection locked="0"/>
    </xf>
    <xf numFmtId="0" fontId="18" fillId="0" borderId="0" xfId="0" applyFont="1" applyAlignment="1" applyProtection="1">
      <alignment vertical="center"/>
    </xf>
    <xf numFmtId="9" fontId="22" fillId="0" borderId="0" xfId="6" applyFont="1" applyFill="1" applyBorder="1" applyAlignment="1" applyProtection="1">
      <alignment vertical="center"/>
    </xf>
    <xf numFmtId="3" fontId="22" fillId="0" borderId="0" xfId="0" applyNumberFormat="1" applyFont="1" applyAlignment="1" applyProtection="1">
      <alignment horizontal="right" vertical="center"/>
    </xf>
    <xf numFmtId="0" fontId="22" fillId="0" borderId="0" xfId="0" applyFont="1" applyAlignment="1" applyProtection="1">
      <alignment vertical="center"/>
    </xf>
    <xf numFmtId="0" fontId="22" fillId="0" borderId="0" xfId="0" applyFont="1"/>
    <xf numFmtId="3" fontId="28" fillId="0" borderId="0" xfId="0" applyNumberFormat="1" applyFont="1"/>
    <xf numFmtId="0" fontId="28" fillId="0" borderId="0" xfId="0" applyFont="1"/>
    <xf numFmtId="0" fontId="18" fillId="0" borderId="0" xfId="0" applyFont="1" applyAlignment="1">
      <alignment horizontal="center"/>
    </xf>
    <xf numFmtId="0" fontId="22" fillId="0" borderId="0" xfId="0" applyFont="1" applyAlignment="1">
      <alignment horizontal="left" indent="1"/>
    </xf>
    <xf numFmtId="9" fontId="18" fillId="1" borderId="11" xfId="6" applyFont="1" applyFill="1" applyBorder="1" applyAlignment="1" applyProtection="1">
      <alignment horizontal="right"/>
    </xf>
    <xf numFmtId="165" fontId="18" fillId="1" borderId="11" xfId="4" applyFont="1" applyFill="1" applyBorder="1" applyAlignment="1" applyProtection="1">
      <alignment horizontal="right"/>
    </xf>
    <xf numFmtId="165" fontId="18" fillId="1" borderId="12" xfId="4" applyFont="1" applyFill="1" applyBorder="1" applyAlignment="1" applyProtection="1">
      <alignment horizontal="right"/>
    </xf>
    <xf numFmtId="165" fontId="18" fillId="1" borderId="6" xfId="4" applyFont="1" applyFill="1" applyBorder="1" applyAlignment="1" applyProtection="1">
      <alignment horizontal="right"/>
    </xf>
    <xf numFmtId="0" fontId="22" fillId="0" borderId="13" xfId="0" applyFont="1" applyBorder="1" applyProtection="1"/>
    <xf numFmtId="165" fontId="22" fillId="0" borderId="13" xfId="4" applyFont="1" applyFill="1" applyBorder="1" applyProtection="1"/>
    <xf numFmtId="165" fontId="22" fillId="0" borderId="0" xfId="4" applyFont="1" applyFill="1" applyBorder="1" applyProtection="1"/>
    <xf numFmtId="3" fontId="22" fillId="0" borderId="13" xfId="0" applyNumberFormat="1" applyFont="1" applyBorder="1" applyAlignment="1" applyProtection="1">
      <alignment horizontal="right"/>
    </xf>
    <xf numFmtId="0" fontId="22" fillId="0" borderId="0" xfId="0" applyFont="1" applyAlignment="1">
      <alignment vertical="center"/>
    </xf>
    <xf numFmtId="205" fontId="22" fillId="2" borderId="14" xfId="0" applyNumberFormat="1" applyFont="1" applyFill="1" applyBorder="1" applyAlignment="1" applyProtection="1">
      <alignment horizontal="center" vertical="center"/>
      <protection locked="0"/>
    </xf>
    <xf numFmtId="205" fontId="22" fillId="2" borderId="11" xfId="0" applyNumberFormat="1" applyFont="1" applyFill="1" applyBorder="1" applyAlignment="1" applyProtection="1">
      <alignment horizontal="center" vertical="center"/>
      <protection locked="0"/>
    </xf>
    <xf numFmtId="0" fontId="22" fillId="2" borderId="7" xfId="0" applyFont="1" applyFill="1" applyBorder="1" applyAlignment="1" applyProtection="1">
      <alignment horizontal="left" vertical="center" indent="1"/>
      <protection locked="0"/>
    </xf>
    <xf numFmtId="0" fontId="22" fillId="2" borderId="6" xfId="0" applyFont="1" applyFill="1" applyBorder="1" applyAlignment="1" applyProtection="1">
      <alignment horizontal="left" vertical="center" indent="1"/>
      <protection locked="0"/>
    </xf>
    <xf numFmtId="0" fontId="22" fillId="2" borderId="15" xfId="0" applyFont="1" applyFill="1" applyBorder="1" applyAlignment="1" applyProtection="1">
      <alignment horizontal="left" vertical="center" indent="1"/>
      <protection locked="0"/>
    </xf>
    <xf numFmtId="0" fontId="22" fillId="0" borderId="7" xfId="0" applyFont="1" applyBorder="1" applyAlignment="1">
      <alignment horizontal="left" vertical="center" indent="1"/>
    </xf>
    <xf numFmtId="0" fontId="22" fillId="0" borderId="6" xfId="0" applyFont="1" applyBorder="1" applyAlignment="1">
      <alignment horizontal="left" vertical="center" indent="1"/>
    </xf>
    <xf numFmtId="0" fontId="22" fillId="0" borderId="15" xfId="0" applyFont="1" applyBorder="1" applyAlignment="1">
      <alignment horizontal="left" vertical="center" indent="1"/>
    </xf>
    <xf numFmtId="3" fontId="18" fillId="0" borderId="10" xfId="0" applyNumberFormat="1" applyFont="1" applyBorder="1" applyAlignment="1">
      <alignment horizontal="center"/>
    </xf>
    <xf numFmtId="206" fontId="22" fillId="2" borderId="14" xfId="0" applyNumberFormat="1" applyFont="1" applyFill="1" applyBorder="1" applyAlignment="1" applyProtection="1">
      <alignment vertical="center"/>
      <protection locked="0"/>
    </xf>
    <xf numFmtId="3" fontId="26" fillId="0" borderId="0" xfId="0" applyNumberFormat="1" applyFont="1"/>
    <xf numFmtId="3" fontId="21" fillId="0" borderId="0" xfId="0" applyNumberFormat="1" applyFont="1" applyAlignment="1">
      <alignment horizontal="center"/>
    </xf>
    <xf numFmtId="3" fontId="24" fillId="0" borderId="0" xfId="0" applyNumberFormat="1" applyFont="1"/>
    <xf numFmtId="0" fontId="22" fillId="0" borderId="5" xfId="0" applyFont="1" applyBorder="1" applyAlignment="1">
      <alignment horizontal="centerContinuous"/>
    </xf>
    <xf numFmtId="0" fontId="22" fillId="0" borderId="16" xfId="0" applyFont="1" applyBorder="1" applyAlignment="1">
      <alignment horizontal="centerContinuous"/>
    </xf>
    <xf numFmtId="0" fontId="22" fillId="0" borderId="8" xfId="0" applyFont="1" applyBorder="1"/>
    <xf numFmtId="0" fontId="21" fillId="3" borderId="10" xfId="0" applyFont="1" applyFill="1" applyBorder="1" applyAlignment="1" applyProtection="1">
      <alignment horizontal="center"/>
      <protection locked="0"/>
    </xf>
    <xf numFmtId="3" fontId="36" fillId="0" borderId="0" xfId="0" applyNumberFormat="1" applyFont="1"/>
    <xf numFmtId="0" fontId="23" fillId="0" borderId="8" xfId="0" applyFont="1" applyBorder="1" applyAlignment="1">
      <alignment horizontal="centerContinuous"/>
    </xf>
    <xf numFmtId="206" fontId="22" fillId="2" borderId="17" xfId="0" applyNumberFormat="1" applyFont="1" applyFill="1" applyBorder="1" applyAlignment="1" applyProtection="1">
      <alignment vertical="center"/>
      <protection locked="0"/>
    </xf>
    <xf numFmtId="0" fontId="22" fillId="0" borderId="18" xfId="0" applyFont="1" applyBorder="1" applyAlignment="1">
      <alignment horizontal="left" vertical="center" indent="1"/>
    </xf>
    <xf numFmtId="0" fontId="22" fillId="0" borderId="19" xfId="0" applyFont="1" applyBorder="1" applyAlignment="1">
      <alignment horizontal="left" vertical="center" indent="1"/>
    </xf>
    <xf numFmtId="3" fontId="22" fillId="0" borderId="0" xfId="0" applyNumberFormat="1" applyFont="1"/>
    <xf numFmtId="4" fontId="24" fillId="0" borderId="20" xfId="0" applyNumberFormat="1" applyFont="1" applyBorder="1"/>
    <xf numFmtId="4" fontId="24" fillId="0" borderId="21" xfId="0" applyNumberFormat="1" applyFont="1" applyBorder="1"/>
    <xf numFmtId="4" fontId="24" fillId="0" borderId="22" xfId="0" applyNumberFormat="1" applyFont="1" applyBorder="1"/>
    <xf numFmtId="4" fontId="24" fillId="0" borderId="18" xfId="0" applyNumberFormat="1" applyFont="1" applyBorder="1"/>
    <xf numFmtId="216" fontId="24" fillId="0" borderId="23" xfId="0" applyNumberFormat="1" applyFont="1" applyBorder="1"/>
    <xf numFmtId="216" fontId="24" fillId="0" borderId="1" xfId="0" applyNumberFormat="1" applyFont="1" applyBorder="1"/>
    <xf numFmtId="216" fontId="24" fillId="0" borderId="24" xfId="0" applyNumberFormat="1" applyFont="1" applyBorder="1"/>
    <xf numFmtId="213" fontId="24" fillId="0" borderId="23" xfId="0" applyNumberFormat="1" applyFont="1" applyBorder="1"/>
    <xf numFmtId="213" fontId="24" fillId="0" borderId="1" xfId="0" applyNumberFormat="1" applyFont="1" applyBorder="1"/>
    <xf numFmtId="213" fontId="24" fillId="0" borderId="24" xfId="0" applyNumberFormat="1" applyFont="1" applyBorder="1"/>
    <xf numFmtId="216" fontId="21" fillId="0" borderId="10" xfId="0" applyNumberFormat="1" applyFont="1" applyBorder="1"/>
    <xf numFmtId="216" fontId="21" fillId="0" borderId="25" xfId="0" applyNumberFormat="1" applyFont="1" applyBorder="1"/>
    <xf numFmtId="4" fontId="24" fillId="0" borderId="0" xfId="0" applyNumberFormat="1" applyFont="1"/>
    <xf numFmtId="216" fontId="21" fillId="0" borderId="16" xfId="0" applyNumberFormat="1" applyFont="1" applyBorder="1"/>
    <xf numFmtId="3" fontId="24" fillId="0" borderId="0" xfId="0" applyNumberFormat="1" applyFont="1" applyProtection="1"/>
    <xf numFmtId="4" fontId="24" fillId="0" borderId="20" xfId="0" quotePrefix="1" applyNumberFormat="1" applyFont="1" applyBorder="1"/>
    <xf numFmtId="4" fontId="24" fillId="0" borderId="21" xfId="0" quotePrefix="1" applyNumberFormat="1" applyFont="1" applyBorder="1"/>
    <xf numFmtId="4" fontId="24" fillId="0" borderId="22" xfId="0" quotePrefix="1" applyNumberFormat="1" applyFont="1" applyBorder="1"/>
    <xf numFmtId="216" fontId="24" fillId="0" borderId="23" xfId="0" quotePrefix="1" applyNumberFormat="1" applyFont="1" applyBorder="1"/>
    <xf numFmtId="216" fontId="24" fillId="0" borderId="1" xfId="0" quotePrefix="1" applyNumberFormat="1" applyFont="1" applyBorder="1"/>
    <xf numFmtId="216" fontId="24" fillId="0" borderId="24" xfId="0" quotePrefix="1" applyNumberFormat="1" applyFont="1" applyBorder="1"/>
    <xf numFmtId="213" fontId="24" fillId="0" borderId="23" xfId="0" quotePrefix="1" applyNumberFormat="1" applyFont="1" applyBorder="1"/>
    <xf numFmtId="213" fontId="24" fillId="0" borderId="1" xfId="0" quotePrefix="1" applyNumberFormat="1" applyFont="1" applyBorder="1"/>
    <xf numFmtId="213" fontId="24" fillId="0" borderId="24" xfId="0" quotePrefix="1" applyNumberFormat="1" applyFont="1" applyBorder="1"/>
    <xf numFmtId="213" fontId="21" fillId="0" borderId="11" xfId="0" applyNumberFormat="1" applyFont="1" applyBorder="1"/>
    <xf numFmtId="0" fontId="36" fillId="0" borderId="0" xfId="0" applyFont="1"/>
    <xf numFmtId="10" fontId="24" fillId="0" borderId="0" xfId="6" applyNumberFormat="1" applyFont="1" applyBorder="1"/>
    <xf numFmtId="3" fontId="24" fillId="0" borderId="0" xfId="0" quotePrefix="1" applyNumberFormat="1" applyFont="1"/>
    <xf numFmtId="3" fontId="24" fillId="0" borderId="26" xfId="0" applyNumberFormat="1" applyFont="1" applyBorder="1" applyProtection="1"/>
    <xf numFmtId="10" fontId="24" fillId="0" borderId="26" xfId="6" applyNumberFormat="1" applyFont="1" applyBorder="1"/>
    <xf numFmtId="3" fontId="21" fillId="0" borderId="10" xfId="0" applyNumberFormat="1" applyFont="1" applyBorder="1" applyAlignment="1">
      <alignment horizontal="center"/>
    </xf>
    <xf numFmtId="0" fontId="22" fillId="0" borderId="9" xfId="0" applyFont="1" applyBorder="1"/>
    <xf numFmtId="217" fontId="24" fillId="0" borderId="18" xfId="6" applyNumberFormat="1" applyFont="1" applyBorder="1"/>
    <xf numFmtId="217" fontId="24" fillId="0" borderId="11" xfId="6" applyNumberFormat="1" applyFont="1" applyBorder="1"/>
    <xf numFmtId="3" fontId="24" fillId="0" borderId="11" xfId="0" applyNumberFormat="1" applyFont="1" applyBorder="1" applyAlignment="1" applyProtection="1">
      <alignment horizontal="left" indent="1"/>
      <protection locked="0"/>
    </xf>
    <xf numFmtId="3" fontId="24" fillId="0" borderId="14" xfId="0" applyNumberFormat="1" applyFont="1" applyBorder="1" applyAlignment="1" applyProtection="1">
      <alignment horizontal="left" indent="1"/>
      <protection locked="0"/>
    </xf>
    <xf numFmtId="217" fontId="24" fillId="0" borderId="19" xfId="6" applyNumberFormat="1" applyFont="1" applyBorder="1"/>
    <xf numFmtId="217" fontId="21" fillId="0" borderId="10" xfId="6" applyNumberFormat="1" applyFont="1" applyBorder="1"/>
    <xf numFmtId="4" fontId="24" fillId="0" borderId="27" xfId="0" applyNumberFormat="1" applyFont="1" applyBorder="1"/>
    <xf numFmtId="4" fontId="24" fillId="0" borderId="28" xfId="0" applyNumberFormat="1" applyFont="1" applyBorder="1"/>
    <xf numFmtId="4" fontId="24" fillId="0" borderId="29" xfId="0" applyNumberFormat="1" applyFont="1" applyBorder="1"/>
    <xf numFmtId="4" fontId="24" fillId="0" borderId="30" xfId="0" applyNumberFormat="1" applyFont="1" applyBorder="1"/>
    <xf numFmtId="217" fontId="24" fillId="0" borderId="30" xfId="6" applyNumberFormat="1" applyFont="1" applyBorder="1"/>
    <xf numFmtId="4" fontId="24" fillId="0" borderId="27" xfId="0" quotePrefix="1" applyNumberFormat="1" applyFont="1" applyBorder="1"/>
    <xf numFmtId="4" fontId="24" fillId="0" borderId="28" xfId="0" quotePrefix="1" applyNumberFormat="1" applyFont="1" applyBorder="1"/>
    <xf numFmtId="4" fontId="24" fillId="0" borderId="29" xfId="0" quotePrefix="1" applyNumberFormat="1" applyFont="1" applyBorder="1"/>
    <xf numFmtId="213" fontId="24" fillId="0" borderId="31" xfId="0" applyNumberFormat="1" applyFont="1" applyBorder="1"/>
    <xf numFmtId="213" fontId="24" fillId="0" borderId="32" xfId="0" applyNumberFormat="1" applyFont="1" applyBorder="1"/>
    <xf numFmtId="4" fontId="24" fillId="0" borderId="14" xfId="0" applyNumberFormat="1" applyFont="1" applyBorder="1"/>
    <xf numFmtId="217" fontId="24" fillId="0" borderId="17" xfId="6" applyNumberFormat="1" applyFont="1" applyBorder="1"/>
    <xf numFmtId="4" fontId="24" fillId="0" borderId="33" xfId="0" applyNumberFormat="1" applyFont="1" applyBorder="1"/>
    <xf numFmtId="4" fontId="24" fillId="0" borderId="31" xfId="0" applyNumberFormat="1" applyFont="1" applyBorder="1"/>
    <xf numFmtId="4" fontId="24" fillId="0" borderId="32" xfId="0" applyNumberFormat="1" applyFont="1" applyBorder="1"/>
    <xf numFmtId="213" fontId="21" fillId="0" borderId="13" xfId="0" applyNumberFormat="1" applyFont="1" applyBorder="1"/>
    <xf numFmtId="217" fontId="24" fillId="0" borderId="13" xfId="6" applyNumberFormat="1" applyFont="1" applyBorder="1"/>
    <xf numFmtId="213" fontId="24" fillId="0" borderId="31" xfId="0" quotePrefix="1" applyNumberFormat="1" applyFont="1" applyBorder="1"/>
    <xf numFmtId="213" fontId="24" fillId="0" borderId="32" xfId="0" quotePrefix="1" applyNumberFormat="1" applyFont="1" applyBorder="1"/>
    <xf numFmtId="4" fontId="24" fillId="0" borderId="33" xfId="0" quotePrefix="1" applyNumberFormat="1" applyFont="1" applyBorder="1"/>
    <xf numFmtId="4" fontId="24" fillId="0" borderId="31" xfId="0" quotePrefix="1" applyNumberFormat="1" applyFont="1" applyBorder="1"/>
    <xf numFmtId="4" fontId="24" fillId="0" borderId="32" xfId="0" quotePrefix="1" applyNumberFormat="1" applyFont="1" applyBorder="1"/>
    <xf numFmtId="213" fontId="21" fillId="0" borderId="18" xfId="0" applyNumberFormat="1" applyFont="1" applyBorder="1"/>
    <xf numFmtId="213" fontId="21" fillId="0" borderId="34" xfId="0" applyNumberFormat="1" applyFont="1" applyBorder="1"/>
    <xf numFmtId="213" fontId="21" fillId="0" borderId="35" xfId="0" applyNumberFormat="1" applyFont="1" applyBorder="1"/>
    <xf numFmtId="213" fontId="21" fillId="0" borderId="3" xfId="0" applyNumberFormat="1" applyFont="1" applyBorder="1"/>
    <xf numFmtId="213" fontId="21" fillId="0" borderId="19" xfId="0" applyNumberFormat="1" applyFont="1" applyBorder="1"/>
    <xf numFmtId="213" fontId="21" fillId="0" borderId="34" xfId="0" quotePrefix="1" applyNumberFormat="1" applyFont="1" applyBorder="1"/>
    <xf numFmtId="213" fontId="21" fillId="0" borderId="35" xfId="0" quotePrefix="1" applyNumberFormat="1" applyFont="1" applyBorder="1"/>
    <xf numFmtId="213" fontId="21" fillId="0" borderId="3" xfId="0" quotePrefix="1" applyNumberFormat="1" applyFont="1" applyBorder="1"/>
    <xf numFmtId="213" fontId="24" fillId="0" borderId="36" xfId="0" applyNumberFormat="1" applyFont="1" applyBorder="1"/>
    <xf numFmtId="213" fontId="24" fillId="0" borderId="36" xfId="0" quotePrefix="1" applyNumberFormat="1" applyFont="1" applyBorder="1"/>
    <xf numFmtId="3" fontId="24" fillId="0" borderId="11" xfId="0" applyNumberFormat="1" applyFont="1" applyBorder="1" applyAlignment="1" applyProtection="1">
      <alignment horizontal="left" indent="1"/>
    </xf>
    <xf numFmtId="218" fontId="21" fillId="0" borderId="10" xfId="0" applyNumberFormat="1" applyFont="1" applyBorder="1"/>
    <xf numFmtId="3" fontId="24" fillId="0" borderId="10" xfId="0" applyNumberFormat="1" applyFont="1" applyBorder="1" applyAlignment="1" applyProtection="1">
      <alignment horizontal="left" indent="1"/>
    </xf>
    <xf numFmtId="3" fontId="24" fillId="0" borderId="14" xfId="0" applyNumberFormat="1" applyFont="1" applyBorder="1" applyAlignment="1" applyProtection="1">
      <alignment horizontal="left" indent="1"/>
    </xf>
    <xf numFmtId="3" fontId="23" fillId="0" borderId="10" xfId="0" applyNumberFormat="1" applyFont="1" applyBorder="1" applyAlignment="1" applyProtection="1">
      <alignment horizontal="center"/>
    </xf>
    <xf numFmtId="216" fontId="24" fillId="0" borderId="20" xfId="0" applyNumberFormat="1" applyFont="1" applyBorder="1"/>
    <xf numFmtId="216" fontId="24" fillId="0" borderId="21" xfId="0" applyNumberFormat="1" applyFont="1" applyBorder="1"/>
    <xf numFmtId="216" fontId="24" fillId="0" borderId="22" xfId="0" applyNumberFormat="1" applyFont="1" applyBorder="1"/>
    <xf numFmtId="216" fontId="24" fillId="0" borderId="20" xfId="0" quotePrefix="1" applyNumberFormat="1" applyFont="1" applyBorder="1"/>
    <xf numFmtId="216" fontId="24" fillId="0" borderId="21" xfId="0" quotePrefix="1" applyNumberFormat="1" applyFont="1" applyBorder="1"/>
    <xf numFmtId="216" fontId="24" fillId="0" borderId="22" xfId="0" quotePrefix="1" applyNumberFormat="1" applyFont="1" applyBorder="1"/>
    <xf numFmtId="216" fontId="24" fillId="0" borderId="18" xfId="0" applyNumberFormat="1" applyFont="1" applyBorder="1"/>
    <xf numFmtId="216" fontId="24" fillId="0" borderId="11" xfId="0" applyNumberFormat="1" applyFont="1" applyBorder="1"/>
    <xf numFmtId="3" fontId="21" fillId="0" borderId="37" xfId="0" applyNumberFormat="1" applyFont="1" applyBorder="1" applyAlignment="1">
      <alignment horizontal="center"/>
    </xf>
    <xf numFmtId="3" fontId="21" fillId="0" borderId="36" xfId="0" applyNumberFormat="1" applyFont="1" applyBorder="1" applyAlignment="1">
      <alignment horizontal="center"/>
    </xf>
    <xf numFmtId="3" fontId="21" fillId="0" borderId="25" xfId="0" applyNumberFormat="1" applyFont="1" applyBorder="1" applyAlignment="1">
      <alignment horizontal="center"/>
    </xf>
    <xf numFmtId="216" fontId="24" fillId="0" borderId="18" xfId="0" applyNumberFormat="1" applyFont="1" applyBorder="1" applyProtection="1">
      <protection locked="0"/>
    </xf>
    <xf numFmtId="3" fontId="22" fillId="0" borderId="0" xfId="0" applyNumberFormat="1" applyFont="1" applyProtection="1"/>
    <xf numFmtId="3" fontId="18" fillId="0" borderId="0" xfId="0" applyNumberFormat="1" applyFont="1" applyAlignment="1" applyProtection="1">
      <alignment horizontal="left" vertical="center"/>
    </xf>
    <xf numFmtId="1" fontId="15" fillId="0" borderId="0" xfId="0" applyNumberFormat="1" applyFont="1" applyAlignment="1" applyProtection="1">
      <alignment horizontal="center" vertical="center"/>
    </xf>
    <xf numFmtId="3" fontId="28" fillId="0" borderId="0" xfId="0" applyNumberFormat="1" applyFont="1" applyProtection="1"/>
    <xf numFmtId="3" fontId="36" fillId="0" borderId="0" xfId="0" applyNumberFormat="1" applyFont="1" applyAlignment="1" applyProtection="1">
      <alignment horizontal="center"/>
    </xf>
    <xf numFmtId="3" fontId="37" fillId="0" borderId="0" xfId="0" applyNumberFormat="1" applyFont="1" applyProtection="1"/>
    <xf numFmtId="3" fontId="18" fillId="0" borderId="10" xfId="0" applyNumberFormat="1" applyFont="1" applyBorder="1" applyAlignment="1" applyProtection="1">
      <alignment horizontal="center" vertical="center"/>
    </xf>
    <xf numFmtId="3" fontId="18" fillId="0" borderId="39" xfId="0" applyNumberFormat="1" applyFont="1" applyBorder="1" applyAlignment="1" applyProtection="1">
      <alignment horizontal="center" vertical="center"/>
    </xf>
    <xf numFmtId="3" fontId="18" fillId="0" borderId="36" xfId="0" applyNumberFormat="1" applyFont="1" applyBorder="1" applyAlignment="1" applyProtection="1">
      <alignment horizontal="center" vertical="center"/>
    </xf>
    <xf numFmtId="3" fontId="18" fillId="0" borderId="25" xfId="0" applyNumberFormat="1" applyFont="1" applyBorder="1" applyAlignment="1" applyProtection="1">
      <alignment horizontal="center" vertical="center"/>
    </xf>
    <xf numFmtId="3" fontId="18" fillId="0" borderId="40" xfId="0" applyNumberFormat="1" applyFont="1" applyBorder="1" applyAlignment="1" applyProtection="1">
      <alignment horizontal="center" vertical="center"/>
    </xf>
    <xf numFmtId="3" fontId="18" fillId="0" borderId="18" xfId="0" applyNumberFormat="1" applyFont="1" applyBorder="1" applyAlignment="1" applyProtection="1">
      <alignment horizontal="center" vertical="center"/>
    </xf>
    <xf numFmtId="207" fontId="22" fillId="0" borderId="41" xfId="0" applyNumberFormat="1" applyFont="1" applyBorder="1" applyAlignment="1" applyProtection="1">
      <alignment vertical="center"/>
    </xf>
    <xf numFmtId="207" fontId="22" fillId="0" borderId="21" xfId="0" applyNumberFormat="1" applyFont="1" applyBorder="1" applyAlignment="1" applyProtection="1">
      <alignment vertical="center"/>
    </xf>
    <xf numFmtId="207" fontId="22" fillId="0" borderId="22" xfId="0" applyNumberFormat="1" applyFont="1" applyBorder="1" applyAlignment="1" applyProtection="1">
      <alignment vertical="center"/>
    </xf>
    <xf numFmtId="200" fontId="22" fillId="0" borderId="42" xfId="0" applyNumberFormat="1" applyFont="1" applyBorder="1" applyAlignment="1" applyProtection="1">
      <alignment vertical="center"/>
    </xf>
    <xf numFmtId="3" fontId="18" fillId="0" borderId="11" xfId="0" applyNumberFormat="1" applyFont="1" applyBorder="1" applyAlignment="1" applyProtection="1">
      <alignment horizontal="center" vertical="center"/>
    </xf>
    <xf numFmtId="207" fontId="22" fillId="0" borderId="1" xfId="0" applyNumberFormat="1" applyFont="1" applyBorder="1" applyAlignment="1" applyProtection="1">
      <alignment vertical="center"/>
    </xf>
    <xf numFmtId="207" fontId="22" fillId="0" borderId="24" xfId="0" applyNumberFormat="1" applyFont="1" applyBorder="1" applyAlignment="1" applyProtection="1">
      <alignment vertical="center"/>
    </xf>
    <xf numFmtId="200" fontId="22" fillId="0" borderId="43" xfId="0" applyNumberFormat="1" applyFont="1" applyBorder="1" applyAlignment="1" applyProtection="1">
      <alignment vertical="center"/>
    </xf>
    <xf numFmtId="200" fontId="22" fillId="0" borderId="44" xfId="0" applyNumberFormat="1" applyFont="1" applyBorder="1" applyAlignment="1" applyProtection="1">
      <alignment vertical="center"/>
    </xf>
    <xf numFmtId="3" fontId="18" fillId="0" borderId="19" xfId="0" applyNumberFormat="1" applyFont="1" applyBorder="1" applyAlignment="1" applyProtection="1">
      <alignment horizontal="center" vertical="center"/>
    </xf>
    <xf numFmtId="0" fontId="18" fillId="0" borderId="8" xfId="0" applyFont="1" applyBorder="1" applyAlignment="1">
      <alignment horizontal="right"/>
    </xf>
    <xf numFmtId="0" fontId="38" fillId="0" borderId="5" xfId="2" applyFont="1" applyFill="1" applyBorder="1" applyAlignment="1" applyProtection="1">
      <alignment horizontal="right"/>
    </xf>
    <xf numFmtId="178" fontId="18" fillId="0" borderId="5" xfId="0" applyNumberFormat="1" applyFont="1" applyBorder="1" applyAlignment="1">
      <alignment horizontal="centerContinuous"/>
    </xf>
    <xf numFmtId="3" fontId="18" fillId="0" borderId="5" xfId="0" applyNumberFormat="1" applyFont="1" applyBorder="1" applyAlignment="1">
      <alignment horizontal="centerContinuous"/>
    </xf>
    <xf numFmtId="0" fontId="18" fillId="0" borderId="5" xfId="0" applyFont="1" applyBorder="1" applyAlignment="1">
      <alignment horizontal="left"/>
    </xf>
    <xf numFmtId="205" fontId="22" fillId="3" borderId="18" xfId="0" applyNumberFormat="1" applyFont="1" applyFill="1" applyBorder="1" applyAlignment="1" applyProtection="1">
      <alignment horizontal="center"/>
      <protection locked="0"/>
    </xf>
    <xf numFmtId="205" fontId="22" fillId="2" borderId="20" xfId="0" applyNumberFormat="1" applyFont="1" applyFill="1" applyBorder="1" applyAlignment="1" applyProtection="1">
      <alignment horizontal="center"/>
      <protection locked="0"/>
    </xf>
    <xf numFmtId="205" fontId="22" fillId="2" borderId="21" xfId="0" applyNumberFormat="1" applyFont="1" applyFill="1" applyBorder="1" applyAlignment="1" applyProtection="1">
      <alignment horizontal="center"/>
      <protection locked="0"/>
    </xf>
    <xf numFmtId="205" fontId="22" fillId="2" borderId="22" xfId="0" applyNumberFormat="1" applyFont="1" applyFill="1" applyBorder="1" applyAlignment="1" applyProtection="1">
      <alignment horizontal="center"/>
      <protection locked="0"/>
    </xf>
    <xf numFmtId="185" fontId="22" fillId="0" borderId="18" xfId="0" applyNumberFormat="1" applyFont="1" applyBorder="1" applyAlignment="1">
      <alignment horizontal="center"/>
    </xf>
    <xf numFmtId="205" fontId="22" fillId="3" borderId="11" xfId="0" applyNumberFormat="1" applyFont="1" applyFill="1" applyBorder="1" applyAlignment="1" applyProtection="1">
      <alignment horizontal="center"/>
      <protection locked="0"/>
    </xf>
    <xf numFmtId="205" fontId="22" fillId="2" borderId="45" xfId="0" applyNumberFormat="1" applyFont="1" applyFill="1" applyBorder="1" applyAlignment="1" applyProtection="1">
      <alignment horizontal="center"/>
      <protection locked="0"/>
    </xf>
    <xf numFmtId="205" fontId="22" fillId="2" borderId="46" xfId="0" applyNumberFormat="1" applyFont="1" applyFill="1" applyBorder="1" applyAlignment="1" applyProtection="1">
      <alignment horizontal="center"/>
      <protection locked="0"/>
    </xf>
    <xf numFmtId="205" fontId="22" fillId="2" borderId="47" xfId="0" applyNumberFormat="1" applyFont="1" applyFill="1" applyBorder="1" applyAlignment="1" applyProtection="1">
      <alignment horizontal="center"/>
      <protection locked="0"/>
    </xf>
    <xf numFmtId="185" fontId="22" fillId="0" borderId="38" xfId="0" applyNumberFormat="1" applyFont="1" applyBorder="1" applyAlignment="1">
      <alignment horizontal="center"/>
    </xf>
    <xf numFmtId="3" fontId="18" fillId="0" borderId="37" xfId="0" applyNumberFormat="1" applyFont="1" applyBorder="1" applyAlignment="1">
      <alignment horizontal="center"/>
    </xf>
    <xf numFmtId="3" fontId="18" fillId="0" borderId="36" xfId="0" applyNumberFormat="1" applyFont="1" applyBorder="1" applyAlignment="1">
      <alignment horizontal="center"/>
    </xf>
    <xf numFmtId="3" fontId="18" fillId="0" borderId="25" xfId="0" applyNumberFormat="1" applyFont="1" applyBorder="1" applyAlignment="1">
      <alignment horizontal="center"/>
    </xf>
    <xf numFmtId="214" fontId="18" fillId="0" borderId="16" xfId="0" applyNumberFormat="1" applyFont="1" applyBorder="1" applyAlignment="1">
      <alignment horizontal="center"/>
    </xf>
    <xf numFmtId="0" fontId="22" fillId="0" borderId="42" xfId="0" applyFont="1" applyBorder="1"/>
    <xf numFmtId="187" fontId="18" fillId="0" borderId="48" xfId="0" applyNumberFormat="1" applyFont="1" applyBorder="1" applyAlignment="1" applyProtection="1">
      <alignment horizontal="center"/>
    </xf>
    <xf numFmtId="187" fontId="18" fillId="0" borderId="2" xfId="0" applyNumberFormat="1" applyFont="1" applyBorder="1" applyAlignment="1" applyProtection="1">
      <alignment horizontal="center"/>
    </xf>
    <xf numFmtId="187" fontId="18" fillId="0" borderId="4" xfId="0" applyNumberFormat="1" applyFont="1" applyBorder="1" applyAlignment="1" applyProtection="1">
      <alignment horizontal="center"/>
    </xf>
    <xf numFmtId="185" fontId="18" fillId="0" borderId="14" xfId="0" applyNumberFormat="1" applyFont="1" applyBorder="1" applyAlignment="1">
      <alignment horizontal="center"/>
    </xf>
    <xf numFmtId="0" fontId="22" fillId="0" borderId="43" xfId="0" applyFont="1" applyBorder="1"/>
    <xf numFmtId="0" fontId="22" fillId="0" borderId="44" xfId="0" applyFont="1" applyBorder="1"/>
    <xf numFmtId="187" fontId="18" fillId="0" borderId="34" xfId="0" applyNumberFormat="1" applyFont="1" applyBorder="1" applyAlignment="1" applyProtection="1">
      <alignment horizontal="center"/>
    </xf>
    <xf numFmtId="187" fontId="18" fillId="0" borderId="35" xfId="0" applyNumberFormat="1" applyFont="1" applyBorder="1" applyAlignment="1" applyProtection="1">
      <alignment horizontal="center"/>
    </xf>
    <xf numFmtId="187" fontId="18" fillId="0" borderId="3" xfId="0" applyNumberFormat="1" applyFont="1" applyBorder="1" applyAlignment="1" applyProtection="1">
      <alignment horizontal="center"/>
    </xf>
    <xf numFmtId="185" fontId="18" fillId="0" borderId="19" xfId="0" applyNumberFormat="1" applyFont="1" applyBorder="1" applyAlignment="1">
      <alignment horizontal="center"/>
    </xf>
    <xf numFmtId="3" fontId="18" fillId="0" borderId="0" xfId="0" applyNumberFormat="1" applyFont="1"/>
    <xf numFmtId="1" fontId="18" fillId="0" borderId="0" xfId="0" applyNumberFormat="1" applyFont="1" applyAlignment="1">
      <alignment horizontal="center"/>
    </xf>
    <xf numFmtId="3" fontId="18" fillId="0" borderId="10" xfId="0" applyNumberFormat="1" applyFont="1" applyBorder="1" applyAlignment="1">
      <alignment horizontal="center" vertical="center" shrinkToFit="1"/>
    </xf>
    <xf numFmtId="178" fontId="18" fillId="0" borderId="30" xfId="0" applyNumberFormat="1" applyFont="1" applyBorder="1" applyAlignment="1">
      <alignment horizontal="center" vertical="center" shrinkToFit="1"/>
    </xf>
    <xf numFmtId="178" fontId="18" fillId="0" borderId="27" xfId="0" applyNumberFormat="1" applyFont="1" applyBorder="1" applyAlignment="1">
      <alignment horizontal="center" vertical="center" shrinkToFit="1"/>
    </xf>
    <xf numFmtId="178" fontId="18" fillId="0" borderId="28" xfId="0" applyNumberFormat="1" applyFont="1" applyBorder="1" applyAlignment="1">
      <alignment horizontal="center" vertical="center" shrinkToFit="1"/>
    </xf>
    <xf numFmtId="178" fontId="18" fillId="0" borderId="29" xfId="0" applyNumberFormat="1" applyFont="1" applyBorder="1" applyAlignment="1">
      <alignment horizontal="center" vertical="center" shrinkToFit="1"/>
    </xf>
    <xf numFmtId="0" fontId="18" fillId="0" borderId="30" xfId="0" applyFont="1" applyBorder="1" applyAlignment="1">
      <alignment horizontal="center" vertical="center" shrinkToFit="1"/>
    </xf>
    <xf numFmtId="0" fontId="22" fillId="0" borderId="0" xfId="0" applyFont="1" applyAlignment="1">
      <alignment shrinkToFit="1"/>
    </xf>
    <xf numFmtId="0" fontId="39" fillId="0" borderId="18" xfId="0" applyFont="1" applyBorder="1" applyAlignment="1">
      <alignment horizontal="left" indent="1"/>
    </xf>
    <xf numFmtId="0" fontId="39" fillId="0" borderId="11" xfId="0" applyFont="1" applyBorder="1" applyAlignment="1">
      <alignment horizontal="left" indent="1"/>
    </xf>
    <xf numFmtId="0" fontId="39" fillId="0" borderId="49" xfId="0" applyFont="1" applyBorder="1" applyAlignment="1">
      <alignment horizontal="left" indent="1"/>
    </xf>
    <xf numFmtId="0" fontId="39" fillId="0" borderId="15" xfId="0" applyFont="1" applyBorder="1" applyAlignment="1">
      <alignment horizontal="left" indent="1"/>
    </xf>
    <xf numFmtId="3" fontId="18" fillId="0" borderId="8" xfId="0" applyNumberFormat="1" applyFont="1" applyBorder="1" applyAlignment="1">
      <alignment horizontal="center" shrinkToFit="1"/>
    </xf>
    <xf numFmtId="3" fontId="18" fillId="0" borderId="16" xfId="0" applyNumberFormat="1" applyFont="1" applyBorder="1" applyAlignment="1">
      <alignment horizontal="center" shrinkToFit="1"/>
    </xf>
    <xf numFmtId="178" fontId="18" fillId="0" borderId="37" xfId="0" applyNumberFormat="1" applyFont="1" applyBorder="1" applyAlignment="1">
      <alignment horizontal="center" vertical="center" shrinkToFit="1"/>
    </xf>
    <xf numFmtId="178" fontId="18" fillId="0" borderId="36" xfId="0" applyNumberFormat="1" applyFont="1" applyBorder="1" applyAlignment="1">
      <alignment horizontal="center" vertical="center" shrinkToFit="1"/>
    </xf>
    <xf numFmtId="178" fontId="18" fillId="0" borderId="25" xfId="0" applyNumberFormat="1" applyFont="1" applyBorder="1" applyAlignment="1">
      <alignment horizontal="center" vertical="center" shrinkToFit="1"/>
    </xf>
    <xf numFmtId="0" fontId="18" fillId="0" borderId="10" xfId="0" applyFont="1" applyBorder="1" applyAlignment="1">
      <alignment horizontal="center" vertical="center" shrinkToFit="1"/>
    </xf>
    <xf numFmtId="3" fontId="21" fillId="0" borderId="0" xfId="0" applyNumberFormat="1" applyFont="1"/>
    <xf numFmtId="1" fontId="36" fillId="0" borderId="0" xfId="0" applyNumberFormat="1" applyFont="1" applyAlignment="1">
      <alignment horizontal="center"/>
    </xf>
    <xf numFmtId="3" fontId="36" fillId="0" borderId="0" xfId="0" applyNumberFormat="1" applyFont="1" applyAlignment="1">
      <alignment horizontal="left" indent="1"/>
    </xf>
    <xf numFmtId="200" fontId="24" fillId="2" borderId="1" xfId="0" applyNumberFormat="1" applyFont="1" applyFill="1" applyBorder="1" applyProtection="1">
      <protection locked="0"/>
    </xf>
    <xf numFmtId="1" fontId="27" fillId="0" borderId="0" xfId="0" applyNumberFormat="1" applyFont="1" applyAlignment="1">
      <alignment horizontal="center"/>
    </xf>
    <xf numFmtId="1" fontId="27" fillId="0" borderId="0" xfId="0" quotePrefix="1" applyNumberFormat="1" applyFont="1" applyAlignment="1">
      <alignment horizontal="center"/>
    </xf>
    <xf numFmtId="3" fontId="21" fillId="0" borderId="10" xfId="0" applyNumberFormat="1" applyFont="1" applyBorder="1" applyAlignment="1">
      <alignment horizontal="center" wrapText="1"/>
    </xf>
    <xf numFmtId="3" fontId="21" fillId="0" borderId="39" xfId="0" applyNumberFormat="1" applyFont="1" applyBorder="1" applyAlignment="1">
      <alignment horizontal="center" wrapText="1"/>
    </xf>
    <xf numFmtId="3" fontId="21" fillId="0" borderId="5" xfId="0" applyNumberFormat="1" applyFont="1" applyBorder="1" applyAlignment="1">
      <alignment horizontal="center" wrapText="1"/>
    </xf>
    <xf numFmtId="3" fontId="21" fillId="0" borderId="10" xfId="0" applyNumberFormat="1" applyFont="1" applyBorder="1" applyAlignment="1">
      <alignment horizontal="centerContinuous" vertical="center"/>
    </xf>
    <xf numFmtId="3" fontId="27" fillId="0" borderId="0" xfId="0" applyNumberFormat="1" applyFont="1" applyAlignment="1">
      <alignment horizontal="left" indent="1"/>
    </xf>
    <xf numFmtId="0" fontId="24" fillId="0" borderId="7" xfId="0" applyFont="1" applyBorder="1" applyAlignment="1">
      <alignment horizontal="left" indent="1"/>
    </xf>
    <xf numFmtId="0" fontId="22" fillId="0" borderId="7" xfId="0" applyFont="1" applyBorder="1" applyAlignment="1">
      <alignment horizontal="left" indent="1"/>
    </xf>
    <xf numFmtId="3" fontId="24" fillId="0" borderId="0" xfId="0" applyNumberFormat="1" applyFont="1" applyAlignment="1" applyProtection="1">
      <alignment horizontal="left" indent="1"/>
      <protection locked="0"/>
    </xf>
    <xf numFmtId="0" fontId="24" fillId="0" borderId="9" xfId="0" applyFont="1" applyBorder="1" applyAlignment="1">
      <alignment horizontal="left" indent="1"/>
    </xf>
    <xf numFmtId="0" fontId="21" fillId="0" borderId="10" xfId="0" applyFont="1" applyBorder="1" applyAlignment="1">
      <alignment horizontal="center"/>
    </xf>
    <xf numFmtId="0" fontId="18" fillId="0" borderId="8" xfId="0" applyFont="1" applyBorder="1"/>
    <xf numFmtId="0" fontId="23" fillId="0" borderId="30" xfId="0" applyFont="1" applyBorder="1" applyAlignment="1">
      <alignment horizontal="center"/>
    </xf>
    <xf numFmtId="0" fontId="22" fillId="0" borderId="56" xfId="0" applyFont="1" applyBorder="1"/>
    <xf numFmtId="0" fontId="21" fillId="0" borderId="8" xfId="0" applyFont="1" applyBorder="1" applyAlignment="1">
      <alignment horizontal="center"/>
    </xf>
    <xf numFmtId="3" fontId="36" fillId="0" borderId="0" xfId="0" applyNumberFormat="1" applyFont="1" applyAlignment="1">
      <alignment horizontal="center"/>
    </xf>
    <xf numFmtId="0" fontId="23" fillId="0" borderId="57" xfId="0" applyFont="1" applyBorder="1" applyAlignment="1">
      <alignment vertical="center"/>
    </xf>
    <xf numFmtId="1" fontId="21" fillId="0" borderId="5" xfId="0" applyNumberFormat="1" applyFont="1" applyBorder="1" applyAlignment="1">
      <alignment horizontal="center"/>
    </xf>
    <xf numFmtId="0" fontId="22" fillId="0" borderId="0" xfId="0" applyFont="1" applyAlignment="1">
      <alignment horizontal="right"/>
    </xf>
    <xf numFmtId="0" fontId="21" fillId="0" borderId="0" xfId="0" applyFont="1" applyAlignment="1">
      <alignment horizontal="right"/>
    </xf>
    <xf numFmtId="0" fontId="41" fillId="0" borderId="0" xfId="0" applyFont="1"/>
    <xf numFmtId="0" fontId="22" fillId="0" borderId="17" xfId="0" applyFont="1" applyBorder="1"/>
    <xf numFmtId="0" fontId="21" fillId="0" borderId="17" xfId="0" applyFont="1" applyBorder="1" applyAlignment="1">
      <alignment horizontal="right"/>
    </xf>
    <xf numFmtId="3" fontId="21" fillId="0" borderId="30" xfId="0" applyNumberFormat="1" applyFont="1" applyBorder="1" applyAlignment="1">
      <alignment horizontal="center"/>
    </xf>
    <xf numFmtId="3" fontId="24" fillId="0" borderId="13" xfId="0" applyNumberFormat="1" applyFont="1" applyBorder="1" applyProtection="1">
      <protection locked="0"/>
    </xf>
    <xf numFmtId="3" fontId="24" fillId="0" borderId="58" xfId="0" applyNumberFormat="1" applyFont="1" applyBorder="1" applyProtection="1">
      <protection locked="0"/>
    </xf>
    <xf numFmtId="3" fontId="24" fillId="0" borderId="31" xfId="0" applyNumberFormat="1" applyFont="1" applyBorder="1" applyProtection="1">
      <protection locked="0"/>
    </xf>
    <xf numFmtId="3" fontId="24" fillId="0" borderId="59" xfId="0" applyNumberFormat="1" applyFont="1" applyBorder="1" applyProtection="1">
      <protection locked="0"/>
    </xf>
    <xf numFmtId="4" fontId="24" fillId="0" borderId="34" xfId="0" applyNumberFormat="1" applyFont="1" applyBorder="1" applyProtection="1">
      <protection locked="0"/>
    </xf>
    <xf numFmtId="4" fontId="24" fillId="0" borderId="35" xfId="0" applyNumberFormat="1" applyFont="1" applyBorder="1" applyProtection="1">
      <protection locked="0"/>
    </xf>
    <xf numFmtId="3" fontId="24" fillId="0" borderId="18" xfId="0" applyNumberFormat="1" applyFont="1" applyBorder="1" applyAlignment="1" applyProtection="1">
      <alignment horizontal="left" indent="1"/>
    </xf>
    <xf numFmtId="3" fontId="24" fillId="0" borderId="19" xfId="0" applyNumberFormat="1" applyFont="1" applyBorder="1" applyAlignment="1" applyProtection="1">
      <alignment horizontal="left" indent="1"/>
    </xf>
    <xf numFmtId="4" fontId="24" fillId="0" borderId="60" xfId="0" applyNumberFormat="1" applyFont="1" applyBorder="1" applyProtection="1">
      <protection locked="0"/>
    </xf>
    <xf numFmtId="167" fontId="24" fillId="2" borderId="61" xfId="6" applyNumberFormat="1" applyFont="1" applyFill="1" applyBorder="1" applyAlignment="1" applyProtection="1">
      <alignment horizontal="center"/>
      <protection locked="0"/>
    </xf>
    <xf numFmtId="3" fontId="24" fillId="0" borderId="62" xfId="0" applyNumberFormat="1" applyFont="1" applyBorder="1" applyProtection="1">
      <protection locked="0"/>
    </xf>
    <xf numFmtId="3" fontId="26" fillId="0" borderId="0" xfId="0" applyNumberFormat="1" applyFont="1" applyAlignment="1" applyProtection="1">
      <alignment horizontal="left"/>
      <protection locked="0"/>
    </xf>
    <xf numFmtId="3" fontId="16" fillId="0" borderId="0" xfId="0" applyNumberFormat="1" applyFont="1" applyAlignment="1" applyProtection="1">
      <alignment horizontal="center"/>
    </xf>
    <xf numFmtId="1" fontId="16" fillId="0" borderId="0" xfId="0" applyNumberFormat="1" applyFont="1" applyAlignment="1" applyProtection="1">
      <alignment horizontal="center"/>
    </xf>
    <xf numFmtId="3" fontId="18" fillId="0" borderId="0" xfId="0" applyNumberFormat="1" applyFont="1" applyProtection="1"/>
    <xf numFmtId="9" fontId="18" fillId="0" borderId="0" xfId="6" applyFont="1" applyFill="1" applyBorder="1" applyAlignment="1" applyProtection="1">
      <alignment horizontal="center"/>
    </xf>
    <xf numFmtId="3" fontId="21" fillId="0" borderId="0" xfId="0" applyNumberFormat="1" applyFont="1" applyProtection="1"/>
    <xf numFmtId="3" fontId="26" fillId="0" borderId="0" xfId="0" applyNumberFormat="1" applyFont="1" applyProtection="1"/>
    <xf numFmtId="3" fontId="21" fillId="0" borderId="0" xfId="0" applyNumberFormat="1" applyFont="1" applyAlignment="1" applyProtection="1">
      <alignment horizontal="center"/>
    </xf>
    <xf numFmtId="3" fontId="21" fillId="0" borderId="58" xfId="0" applyNumberFormat="1" applyFont="1" applyBorder="1" applyAlignment="1" applyProtection="1">
      <alignment horizontal="center"/>
    </xf>
    <xf numFmtId="3" fontId="21" fillId="0" borderId="63" xfId="0" applyNumberFormat="1" applyFont="1" applyBorder="1" applyProtection="1"/>
    <xf numFmtId="3" fontId="21" fillId="0" borderId="26" xfId="0" applyNumberFormat="1" applyFont="1" applyBorder="1" applyProtection="1"/>
    <xf numFmtId="3" fontId="21" fillId="0" borderId="64" xfId="0" applyNumberFormat="1" applyFont="1" applyBorder="1" applyAlignment="1" applyProtection="1">
      <alignment horizontal="center"/>
    </xf>
    <xf numFmtId="3" fontId="21" fillId="0" borderId="65" xfId="0" applyNumberFormat="1" applyFont="1" applyBorder="1" applyProtection="1"/>
    <xf numFmtId="3" fontId="21" fillId="0" borderId="58" xfId="0" applyNumberFormat="1" applyFont="1" applyBorder="1" applyProtection="1"/>
    <xf numFmtId="3" fontId="21" fillId="0" borderId="39" xfId="0" applyNumberFormat="1" applyFont="1" applyBorder="1" applyProtection="1"/>
    <xf numFmtId="169" fontId="21" fillId="0" borderId="58" xfId="0" applyNumberFormat="1" applyFont="1" applyBorder="1" applyProtection="1"/>
    <xf numFmtId="0" fontId="24" fillId="0" borderId="50" xfId="0" applyFont="1" applyBorder="1" applyAlignment="1">
      <alignment vertical="center"/>
    </xf>
    <xf numFmtId="3" fontId="24" fillId="0" borderId="0" xfId="0" applyNumberFormat="1" applyFont="1" applyAlignment="1" applyProtection="1">
      <alignment vertical="center"/>
    </xf>
    <xf numFmtId="3" fontId="21" fillId="0" borderId="0" xfId="0" applyNumberFormat="1" applyFont="1" applyAlignment="1" applyProtection="1">
      <alignment vertical="center"/>
    </xf>
    <xf numFmtId="3" fontId="36" fillId="0" borderId="0" xfId="0" applyNumberFormat="1" applyFont="1" applyAlignment="1" applyProtection="1">
      <alignment horizontal="left" indent="1"/>
      <protection locked="0"/>
    </xf>
    <xf numFmtId="3" fontId="36" fillId="0" borderId="0" xfId="0" applyNumberFormat="1" applyFont="1" applyAlignment="1" applyProtection="1">
      <alignment horizontal="left" indent="1"/>
    </xf>
    <xf numFmtId="1" fontId="36" fillId="0" borderId="0" xfId="0" applyNumberFormat="1" applyFont="1" applyAlignment="1" applyProtection="1">
      <alignment horizontal="center"/>
    </xf>
    <xf numFmtId="3" fontId="21" fillId="0" borderId="39" xfId="0" applyNumberFormat="1" applyFont="1" applyBorder="1" applyAlignment="1" applyProtection="1">
      <alignment horizontal="center"/>
    </xf>
    <xf numFmtId="3" fontId="18" fillId="0" borderId="39" xfId="0" applyNumberFormat="1" applyFont="1" applyBorder="1" applyAlignment="1" applyProtection="1">
      <alignment horizontal="center" shrinkToFit="1"/>
    </xf>
    <xf numFmtId="3" fontId="21" fillId="0" borderId="9" xfId="0" applyNumberFormat="1" applyFont="1" applyBorder="1" applyProtection="1"/>
    <xf numFmtId="3" fontId="21" fillId="0" borderId="40" xfId="0" applyNumberFormat="1" applyFont="1" applyBorder="1" applyProtection="1"/>
    <xf numFmtId="3" fontId="21" fillId="0" borderId="9" xfId="0" applyNumberFormat="1" applyFont="1" applyBorder="1" applyAlignment="1" applyProtection="1">
      <alignment horizontal="center"/>
    </xf>
    <xf numFmtId="3" fontId="18" fillId="0" borderId="5" xfId="0" applyNumberFormat="1" applyFont="1" applyBorder="1" applyAlignment="1" applyProtection="1">
      <alignment horizontal="center" shrinkToFit="1"/>
    </xf>
    <xf numFmtId="3" fontId="18" fillId="0" borderId="10" xfId="0" applyNumberFormat="1" applyFont="1" applyBorder="1" applyAlignment="1" applyProtection="1">
      <alignment horizontal="center" shrinkToFit="1"/>
    </xf>
    <xf numFmtId="3" fontId="21" fillId="0" borderId="13" xfId="0" applyNumberFormat="1" applyFont="1" applyBorder="1" applyAlignment="1" applyProtection="1">
      <alignment horizontal="center"/>
    </xf>
    <xf numFmtId="3" fontId="21" fillId="0" borderId="30" xfId="0" applyNumberFormat="1" applyFont="1" applyBorder="1" applyProtection="1"/>
    <xf numFmtId="3" fontId="21" fillId="0" borderId="17" xfId="0" applyNumberFormat="1" applyFont="1" applyBorder="1" applyAlignment="1" applyProtection="1">
      <alignment horizontal="center"/>
    </xf>
    <xf numFmtId="3" fontId="21" fillId="0" borderId="13" xfId="0" applyNumberFormat="1" applyFont="1" applyBorder="1" applyProtection="1"/>
    <xf numFmtId="0" fontId="21" fillId="0" borderId="12" xfId="0" applyFont="1" applyBorder="1" applyAlignment="1">
      <alignment horizontal="right" vertical="center" indent="1"/>
    </xf>
    <xf numFmtId="0" fontId="21" fillId="0" borderId="12" xfId="0" applyFont="1" applyBorder="1" applyAlignment="1">
      <alignment horizontal="right" vertical="center" indent="2"/>
    </xf>
    <xf numFmtId="3" fontId="21" fillId="0" borderId="1" xfId="0" applyNumberFormat="1" applyFont="1" applyBorder="1" applyAlignment="1" applyProtection="1">
      <alignment horizontal="center" vertical="center"/>
    </xf>
    <xf numFmtId="3" fontId="23" fillId="0" borderId="1" xfId="0" applyNumberFormat="1" applyFont="1" applyBorder="1" applyAlignment="1" applyProtection="1">
      <alignment horizontal="center" vertical="center"/>
    </xf>
    <xf numFmtId="0" fontId="24" fillId="0" borderId="50" xfId="0" applyFont="1" applyBorder="1"/>
    <xf numFmtId="0" fontId="24" fillId="0" borderId="51" xfId="0" applyFont="1" applyBorder="1"/>
    <xf numFmtId="3" fontId="21" fillId="0" borderId="8" xfId="0" applyNumberFormat="1" applyFont="1" applyBorder="1" applyAlignment="1" applyProtection="1">
      <alignment horizontal="center"/>
    </xf>
    <xf numFmtId="3" fontId="24" fillId="0" borderId="49" xfId="0" applyNumberFormat="1" applyFont="1" applyBorder="1" applyAlignment="1" applyProtection="1">
      <alignment horizontal="left" indent="1"/>
    </xf>
    <xf numFmtId="3" fontId="24" fillId="0" borderId="6" xfId="0" applyNumberFormat="1" applyFont="1" applyBorder="1" applyAlignment="1" applyProtection="1">
      <alignment horizontal="left" indent="1"/>
    </xf>
    <xf numFmtId="3" fontId="18" fillId="0" borderId="8" xfId="0" applyNumberFormat="1" applyFont="1" applyBorder="1" applyAlignment="1" applyProtection="1">
      <alignment horizontal="center"/>
    </xf>
    <xf numFmtId="3" fontId="23" fillId="0" borderId="15" xfId="0" applyNumberFormat="1" applyFont="1" applyBorder="1" applyAlignment="1" applyProtection="1">
      <alignment horizontal="left" indent="2"/>
    </xf>
    <xf numFmtId="3" fontId="23" fillId="0" borderId="8" xfId="0" applyNumberFormat="1" applyFont="1" applyBorder="1" applyAlignment="1" applyProtection="1">
      <alignment horizontal="left" indent="2"/>
    </xf>
    <xf numFmtId="3" fontId="21" fillId="0" borderId="66" xfId="0" applyNumberFormat="1" applyFont="1" applyBorder="1" applyProtection="1"/>
    <xf numFmtId="3" fontId="21" fillId="0" borderId="9" xfId="0" applyNumberFormat="1" applyFont="1" applyBorder="1" applyAlignment="1" applyProtection="1">
      <alignment horizontal="left" indent="1"/>
    </xf>
    <xf numFmtId="3" fontId="36" fillId="0" borderId="0" xfId="0" applyNumberFormat="1" applyFont="1" applyAlignment="1" applyProtection="1">
      <alignment horizontal="left"/>
      <protection locked="0"/>
    </xf>
    <xf numFmtId="3" fontId="36" fillId="0" borderId="0" xfId="0" applyNumberFormat="1" applyFont="1" applyProtection="1"/>
    <xf numFmtId="0" fontId="24" fillId="0" borderId="49" xfId="0" applyFont="1" applyBorder="1" applyAlignment="1">
      <alignment vertical="center"/>
    </xf>
    <xf numFmtId="0" fontId="24" fillId="0" borderId="6" xfId="0" applyFont="1" applyBorder="1" applyAlignment="1">
      <alignment vertical="center"/>
    </xf>
    <xf numFmtId="0" fontId="24" fillId="0" borderId="15" xfId="0" applyFont="1" applyBorder="1" applyAlignment="1">
      <alignment vertical="center"/>
    </xf>
    <xf numFmtId="0" fontId="21" fillId="0" borderId="62" xfId="0" applyFont="1" applyBorder="1" applyAlignment="1">
      <alignment horizontal="right" vertical="center" indent="1"/>
    </xf>
    <xf numFmtId="3" fontId="21" fillId="0" borderId="56" xfId="0" applyNumberFormat="1" applyFont="1" applyBorder="1" applyProtection="1"/>
    <xf numFmtId="3" fontId="23" fillId="0" borderId="10" xfId="0" applyNumberFormat="1" applyFont="1" applyBorder="1" applyAlignment="1" applyProtection="1">
      <alignment horizontal="center" vertical="center"/>
    </xf>
    <xf numFmtId="204" fontId="21" fillId="0" borderId="10" xfId="0" applyNumberFormat="1" applyFont="1" applyBorder="1" applyAlignment="1" applyProtection="1">
      <alignment vertical="center"/>
    </xf>
    <xf numFmtId="195" fontId="21" fillId="0" borderId="6" xfId="0" applyNumberFormat="1" applyFont="1" applyBorder="1" applyAlignment="1" applyProtection="1">
      <alignment vertical="center"/>
      <protection locked="0"/>
    </xf>
    <xf numFmtId="195" fontId="21" fillId="0" borderId="15" xfId="0" applyNumberFormat="1" applyFont="1" applyBorder="1" applyAlignment="1" applyProtection="1">
      <alignment horizontal="center" vertical="center"/>
      <protection locked="0"/>
    </xf>
    <xf numFmtId="195" fontId="21" fillId="0" borderId="12" xfId="0" applyNumberFormat="1" applyFont="1" applyBorder="1" applyAlignment="1" applyProtection="1">
      <alignment vertical="center"/>
      <protection locked="0"/>
    </xf>
    <xf numFmtId="195" fontId="21" fillId="0" borderId="62" xfId="0" applyNumberFormat="1" applyFont="1" applyBorder="1" applyAlignment="1" applyProtection="1">
      <alignment horizontal="center" vertical="center"/>
      <protection locked="0"/>
    </xf>
    <xf numFmtId="195" fontId="21" fillId="0" borderId="43" xfId="0" applyNumberFormat="1" applyFont="1" applyBorder="1" applyAlignment="1" applyProtection="1">
      <alignment vertical="center"/>
      <protection locked="0"/>
    </xf>
    <xf numFmtId="195" fontId="21" fillId="0" borderId="44" xfId="0" applyNumberFormat="1" applyFont="1" applyBorder="1" applyAlignment="1" applyProtection="1">
      <alignment horizontal="center" vertical="center"/>
      <protection locked="0"/>
    </xf>
    <xf numFmtId="195" fontId="21" fillId="0" borderId="11" xfId="0" applyNumberFormat="1" applyFont="1" applyBorder="1" applyAlignment="1" applyProtection="1">
      <alignment vertical="center"/>
      <protection locked="0"/>
    </xf>
    <xf numFmtId="195" fontId="21" fillId="0" borderId="19" xfId="0" applyNumberFormat="1" applyFont="1" applyBorder="1" applyAlignment="1" applyProtection="1">
      <alignment horizontal="center" vertical="center"/>
      <protection locked="0"/>
    </xf>
    <xf numFmtId="3" fontId="21" fillId="0" borderId="8" xfId="0" applyNumberFormat="1" applyFont="1" applyBorder="1" applyAlignment="1" applyProtection="1">
      <alignment horizontal="centerContinuous" vertical="center"/>
    </xf>
    <xf numFmtId="3" fontId="21" fillId="0" borderId="5" xfId="0" applyNumberFormat="1" applyFont="1" applyBorder="1" applyAlignment="1" applyProtection="1">
      <alignment horizontal="centerContinuous" vertical="center"/>
    </xf>
    <xf numFmtId="3" fontId="21" fillId="0" borderId="64" xfId="0" applyNumberFormat="1" applyFont="1" applyBorder="1" applyProtection="1"/>
    <xf numFmtId="204" fontId="21" fillId="2" borderId="8" xfId="0" applyNumberFormat="1" applyFont="1" applyFill="1" applyBorder="1" applyAlignment="1" applyProtection="1">
      <alignment vertical="center"/>
    </xf>
    <xf numFmtId="204" fontId="21" fillId="0" borderId="5" xfId="0" applyNumberFormat="1" applyFont="1" applyBorder="1" applyAlignment="1" applyProtection="1">
      <alignment vertical="center"/>
    </xf>
    <xf numFmtId="204" fontId="21" fillId="0" borderId="8" xfId="0" applyNumberFormat="1" applyFont="1" applyBorder="1" applyAlignment="1" applyProtection="1">
      <alignment vertical="center"/>
    </xf>
    <xf numFmtId="0" fontId="22" fillId="0" borderId="0" xfId="0" applyFont="1" applyAlignment="1">
      <alignment horizontal="centerContinuous"/>
    </xf>
    <xf numFmtId="200" fontId="22" fillId="0" borderId="30" xfId="0" applyNumberFormat="1" applyFont="1" applyBorder="1"/>
    <xf numFmtId="200" fontId="22" fillId="0" borderId="26" xfId="0" applyNumberFormat="1" applyFont="1" applyBorder="1"/>
    <xf numFmtId="0" fontId="22" fillId="0" borderId="26" xfId="0" applyFont="1" applyBorder="1" applyAlignment="1">
      <alignment horizontal="left" indent="1"/>
    </xf>
    <xf numFmtId="0" fontId="22" fillId="0" borderId="26" xfId="0" applyFont="1" applyBorder="1"/>
    <xf numFmtId="0" fontId="22" fillId="0" borderId="67" xfId="0" applyFont="1" applyBorder="1"/>
    <xf numFmtId="200" fontId="22" fillId="0" borderId="38" xfId="0" applyNumberFormat="1" applyFont="1" applyBorder="1"/>
    <xf numFmtId="200" fontId="22" fillId="0" borderId="67" xfId="0" applyNumberFormat="1" applyFont="1" applyBorder="1"/>
    <xf numFmtId="0" fontId="22" fillId="0" borderId="67" xfId="0" applyFont="1" applyBorder="1" applyAlignment="1">
      <alignment horizontal="left" indent="2"/>
    </xf>
    <xf numFmtId="0" fontId="22" fillId="0" borderId="12" xfId="0" applyFont="1" applyBorder="1"/>
    <xf numFmtId="200" fontId="22" fillId="0" borderId="11" xfId="0" applyNumberFormat="1" applyFont="1" applyBorder="1"/>
    <xf numFmtId="200" fontId="22" fillId="0" borderId="12" xfId="0" applyNumberFormat="1" applyFont="1" applyBorder="1"/>
    <xf numFmtId="0" fontId="22" fillId="0" borderId="12" xfId="0" applyFont="1" applyBorder="1" applyAlignment="1">
      <alignment horizontal="left" indent="2"/>
    </xf>
    <xf numFmtId="200" fontId="18" fillId="0" borderId="13" xfId="0" applyNumberFormat="1" applyFont="1" applyBorder="1"/>
    <xf numFmtId="200" fontId="18" fillId="0" borderId="0" xfId="0" applyNumberFormat="1" applyFont="1"/>
    <xf numFmtId="0" fontId="18" fillId="0" borderId="0" xfId="0" applyFont="1" applyAlignment="1">
      <alignment horizontal="left" indent="2"/>
    </xf>
    <xf numFmtId="0" fontId="22" fillId="0" borderId="13" xfId="0" applyFont="1" applyBorder="1"/>
    <xf numFmtId="201" fontId="18" fillId="0" borderId="10" xfId="0" applyNumberFormat="1" applyFont="1" applyBorder="1"/>
    <xf numFmtId="201" fontId="18" fillId="0" borderId="5" xfId="0" applyNumberFormat="1" applyFont="1" applyBorder="1"/>
    <xf numFmtId="0" fontId="22" fillId="0" borderId="5" xfId="0" applyFont="1" applyBorder="1"/>
    <xf numFmtId="3" fontId="42" fillId="0" borderId="13" xfId="0" applyNumberFormat="1" applyFont="1" applyBorder="1"/>
    <xf numFmtId="3" fontId="42" fillId="0" borderId="0" xfId="0" applyNumberFormat="1" applyFont="1"/>
    <xf numFmtId="0" fontId="42" fillId="0" borderId="0" xfId="0" applyFont="1" applyAlignment="1">
      <alignment horizontal="left" indent="1"/>
    </xf>
    <xf numFmtId="3" fontId="18" fillId="0" borderId="0" xfId="0" applyNumberFormat="1" applyFont="1" applyAlignment="1">
      <alignment vertical="center"/>
    </xf>
    <xf numFmtId="0" fontId="22" fillId="0" borderId="38" xfId="0" applyFont="1" applyBorder="1"/>
    <xf numFmtId="0" fontId="22" fillId="0" borderId="5" xfId="0" applyFont="1" applyBorder="1" applyAlignment="1">
      <alignment horizontal="left" indent="1"/>
    </xf>
    <xf numFmtId="3" fontId="36" fillId="0" borderId="8" xfId="0" applyNumberFormat="1" applyFont="1" applyBorder="1" applyAlignment="1">
      <alignment horizontal="centerContinuous"/>
    </xf>
    <xf numFmtId="3" fontId="26" fillId="0" borderId="9" xfId="0" applyNumberFormat="1" applyFont="1" applyBorder="1" applyAlignment="1">
      <alignment horizontal="centerContinuous"/>
    </xf>
    <xf numFmtId="0" fontId="22" fillId="0" borderId="68" xfId="0" applyFont="1" applyBorder="1" applyAlignment="1">
      <alignment horizontal="centerContinuous"/>
    </xf>
    <xf numFmtId="0" fontId="22" fillId="0" borderId="40" xfId="0" applyFont="1" applyBorder="1"/>
    <xf numFmtId="0" fontId="22" fillId="0" borderId="69" xfId="0" applyFont="1" applyBorder="1"/>
    <xf numFmtId="0" fontId="22" fillId="0" borderId="70" xfId="0" applyFont="1" applyBorder="1"/>
    <xf numFmtId="0" fontId="22" fillId="0" borderId="6" xfId="0" applyFont="1" applyBorder="1"/>
    <xf numFmtId="0" fontId="22" fillId="0" borderId="68" xfId="0" applyFont="1" applyBorder="1"/>
    <xf numFmtId="0" fontId="22" fillId="0" borderId="16" xfId="0" applyFont="1" applyBorder="1"/>
    <xf numFmtId="0" fontId="22" fillId="0" borderId="26" xfId="0" applyFont="1" applyBorder="1" applyAlignment="1">
      <alignment horizontal="right" indent="1"/>
    </xf>
    <xf numFmtId="0" fontId="22" fillId="0" borderId="67" xfId="0" applyFont="1" applyBorder="1" applyAlignment="1">
      <alignment horizontal="right" indent="1"/>
    </xf>
    <xf numFmtId="0" fontId="22" fillId="0" borderId="12" xfId="0" applyFont="1" applyBorder="1" applyAlignment="1">
      <alignment horizontal="right" indent="1"/>
    </xf>
    <xf numFmtId="0" fontId="18" fillId="0" borderId="0" xfId="0" applyFont="1" applyAlignment="1">
      <alignment horizontal="right" indent="1"/>
    </xf>
    <xf numFmtId="0" fontId="22" fillId="0" borderId="5" xfId="0" applyFont="1" applyBorder="1" applyAlignment="1">
      <alignment horizontal="right" indent="1"/>
    </xf>
    <xf numFmtId="3" fontId="26" fillId="0" borderId="0" xfId="0" applyNumberFormat="1" applyFont="1" applyAlignment="1">
      <alignment horizontal="center" vertical="center"/>
    </xf>
    <xf numFmtId="0" fontId="18" fillId="0" borderId="8" xfId="0" applyFont="1" applyBorder="1" applyAlignment="1">
      <alignment horizontal="centerContinuous" vertical="center" wrapText="1"/>
    </xf>
    <xf numFmtId="3" fontId="15" fillId="0" borderId="10" xfId="0" applyNumberFormat="1" applyFont="1" applyBorder="1" applyAlignment="1">
      <alignment horizontal="center" vertical="center"/>
    </xf>
    <xf numFmtId="0" fontId="18" fillId="0" borderId="8" xfId="0" applyFont="1" applyBorder="1" applyAlignment="1">
      <alignment horizontal="centerContinuous" wrapText="1"/>
    </xf>
    <xf numFmtId="179" fontId="21" fillId="0" borderId="10" xfId="0" applyNumberFormat="1" applyFont="1" applyBorder="1" applyAlignment="1">
      <alignment horizontal="center" vertical="center" wrapText="1"/>
    </xf>
    <xf numFmtId="0" fontId="18" fillId="0" borderId="30" xfId="0" applyFont="1" applyBorder="1" applyAlignment="1">
      <alignment horizontal="center" vertical="center" wrapText="1"/>
    </xf>
    <xf numFmtId="167" fontId="39" fillId="0" borderId="14" xfId="6" applyNumberFormat="1" applyFont="1" applyFill="1" applyBorder="1" applyAlignment="1" applyProtection="1">
      <alignment horizontal="center"/>
    </xf>
    <xf numFmtId="167" fontId="39" fillId="0" borderId="23" xfId="6" applyNumberFormat="1" applyFont="1" applyFill="1" applyBorder="1" applyAlignment="1" applyProtection="1">
      <alignment horizontal="center"/>
    </xf>
    <xf numFmtId="167" fontId="39" fillId="0" borderId="17" xfId="6" applyNumberFormat="1" applyFont="1" applyFill="1" applyBorder="1" applyAlignment="1" applyProtection="1">
      <alignment horizontal="center"/>
    </xf>
    <xf numFmtId="167" fontId="39" fillId="0" borderId="34" xfId="6" applyNumberFormat="1" applyFont="1" applyFill="1" applyBorder="1" applyAlignment="1" applyProtection="1">
      <alignment horizontal="center"/>
    </xf>
    <xf numFmtId="3" fontId="27" fillId="0" borderId="0" xfId="0" applyNumberFormat="1" applyFont="1"/>
    <xf numFmtId="3" fontId="18" fillId="0" borderId="56" xfId="0" applyNumberFormat="1" applyFont="1" applyBorder="1" applyAlignment="1">
      <alignment horizontal="centerContinuous" vertical="center"/>
    </xf>
    <xf numFmtId="0" fontId="22" fillId="0" borderId="40" xfId="0" applyFont="1" applyBorder="1" applyAlignment="1">
      <alignment horizontal="centerContinuous" vertical="center"/>
    </xf>
    <xf numFmtId="4" fontId="39" fillId="3" borderId="18" xfId="0" applyNumberFormat="1" applyFont="1" applyFill="1" applyBorder="1" applyAlignment="1" applyProtection="1">
      <alignment horizontal="center" vertical="center"/>
      <protection locked="0"/>
    </xf>
    <xf numFmtId="4" fontId="39" fillId="3" borderId="14" xfId="0" applyNumberFormat="1" applyFont="1" applyFill="1" applyBorder="1" applyAlignment="1" applyProtection="1">
      <alignment horizontal="center" vertical="center"/>
      <protection locked="0"/>
    </xf>
    <xf numFmtId="4" fontId="39" fillId="3" borderId="17" xfId="0" applyNumberFormat="1" applyFont="1" applyFill="1" applyBorder="1" applyAlignment="1" applyProtection="1">
      <alignment horizontal="center" vertical="center"/>
      <protection locked="0"/>
    </xf>
    <xf numFmtId="0" fontId="22" fillId="0" borderId="16" xfId="0" applyFont="1" applyBorder="1" applyAlignment="1">
      <alignment horizontal="centerContinuous" vertical="center"/>
    </xf>
    <xf numFmtId="3" fontId="18" fillId="0" borderId="8" xfId="0" applyNumberFormat="1" applyFont="1" applyBorder="1" applyAlignment="1">
      <alignment horizontal="centerContinuous" vertical="center" wrapText="1"/>
    </xf>
    <xf numFmtId="167" fontId="22" fillId="2" borderId="18" xfId="0" applyNumberFormat="1" applyFont="1" applyFill="1" applyBorder="1" applyAlignment="1" applyProtection="1">
      <alignment horizontal="center" vertical="center"/>
      <protection locked="0"/>
    </xf>
    <xf numFmtId="167" fontId="22" fillId="2" borderId="11" xfId="0" applyNumberFormat="1" applyFont="1" applyFill="1" applyBorder="1" applyAlignment="1" applyProtection="1">
      <alignment horizontal="center" vertical="center"/>
      <protection locked="0"/>
    </xf>
    <xf numFmtId="167" fontId="22" fillId="2" borderId="19" xfId="0" applyNumberFormat="1" applyFont="1" applyFill="1" applyBorder="1" applyAlignment="1" applyProtection="1">
      <alignment horizontal="center" vertical="center"/>
      <protection locked="0"/>
    </xf>
    <xf numFmtId="0" fontId="36" fillId="0" borderId="0" xfId="0" applyFont="1" applyProtection="1"/>
    <xf numFmtId="9" fontId="21" fillId="0" borderId="0" xfId="0" applyNumberFormat="1" applyFont="1"/>
    <xf numFmtId="3" fontId="44" fillId="0" borderId="0" xfId="0" applyNumberFormat="1" applyFont="1"/>
    <xf numFmtId="3" fontId="35" fillId="0" borderId="0" xfId="0" applyNumberFormat="1" applyFont="1" applyAlignment="1" applyProtection="1">
      <alignment horizontal="left"/>
      <protection locked="0"/>
    </xf>
    <xf numFmtId="3" fontId="35" fillId="0" borderId="0" xfId="0" applyNumberFormat="1" applyFont="1"/>
    <xf numFmtId="3" fontId="35" fillId="0" borderId="0" xfId="0" applyNumberFormat="1" applyFont="1" applyAlignment="1">
      <alignment horizontal="center"/>
    </xf>
    <xf numFmtId="195" fontId="35" fillId="0" borderId="14" xfId="0" applyNumberFormat="1" applyFont="1" applyBorder="1" applyAlignment="1">
      <alignment shrinkToFit="1"/>
    </xf>
    <xf numFmtId="3" fontId="35" fillId="0" borderId="0" xfId="0" applyNumberFormat="1" applyFont="1" applyAlignment="1">
      <alignment vertical="center"/>
    </xf>
    <xf numFmtId="3" fontId="23" fillId="0" borderId="10" xfId="0" applyNumberFormat="1" applyFont="1" applyBorder="1" applyAlignment="1">
      <alignment horizontal="center" vertical="center"/>
    </xf>
    <xf numFmtId="3" fontId="18" fillId="0" borderId="10" xfId="0" applyNumberFormat="1" applyFont="1" applyBorder="1" applyAlignment="1">
      <alignment horizontal="center" shrinkToFit="1"/>
    </xf>
    <xf numFmtId="3" fontId="23" fillId="0" borderId="18" xfId="0" applyNumberFormat="1" applyFont="1" applyBorder="1" applyAlignment="1">
      <alignment horizontal="left" indent="1"/>
    </xf>
    <xf numFmtId="3" fontId="39" fillId="0" borderId="11" xfId="0" applyNumberFormat="1" applyFont="1" applyBorder="1" applyAlignment="1">
      <alignment horizontal="left" indent="1"/>
    </xf>
    <xf numFmtId="3" fontId="23" fillId="0" borderId="11" xfId="0" applyNumberFormat="1" applyFont="1" applyBorder="1" applyAlignment="1">
      <alignment horizontal="left" indent="1"/>
    </xf>
    <xf numFmtId="3" fontId="23" fillId="0" borderId="10" xfId="0" applyNumberFormat="1" applyFont="1" applyBorder="1" applyAlignment="1">
      <alignment horizontal="left" vertical="center" indent="2"/>
    </xf>
    <xf numFmtId="204" fontId="45" fillId="0" borderId="10" xfId="0" applyNumberFormat="1" applyFont="1" applyBorder="1" applyAlignment="1">
      <alignment vertical="center" shrinkToFit="1"/>
    </xf>
    <xf numFmtId="1" fontId="36" fillId="0" borderId="0" xfId="0" applyNumberFormat="1" applyFont="1"/>
    <xf numFmtId="3" fontId="30" fillId="0" borderId="0" xfId="0" applyNumberFormat="1" applyFont="1"/>
    <xf numFmtId="200" fontId="21" fillId="0" borderId="18" xfId="0" applyNumberFormat="1" applyFont="1" applyBorder="1"/>
    <xf numFmtId="200" fontId="21" fillId="0" borderId="11" xfId="0" applyNumberFormat="1" applyFont="1" applyBorder="1"/>
    <xf numFmtId="200" fontId="21" fillId="0" borderId="38" xfId="0" applyNumberFormat="1" applyFont="1" applyBorder="1"/>
    <xf numFmtId="200" fontId="21" fillId="0" borderId="10" xfId="0" applyNumberFormat="1" applyFont="1" applyBorder="1"/>
    <xf numFmtId="3" fontId="21" fillId="0" borderId="39" xfId="0" applyNumberFormat="1" applyFont="1" applyBorder="1" applyAlignment="1">
      <alignment horizontal="center"/>
    </xf>
    <xf numFmtId="3" fontId="21" fillId="0" borderId="10" xfId="0" applyNumberFormat="1" applyFont="1" applyBorder="1" applyAlignment="1">
      <alignment horizontal="right"/>
    </xf>
    <xf numFmtId="200" fontId="21" fillId="0" borderId="19" xfId="0" applyNumberFormat="1" applyFont="1" applyBorder="1"/>
    <xf numFmtId="215" fontId="24" fillId="0" borderId="21" xfId="6" applyNumberFormat="1" applyFont="1" applyFill="1" applyBorder="1" applyAlignment="1"/>
    <xf numFmtId="215" fontId="24" fillId="0" borderId="71" xfId="6" applyNumberFormat="1" applyFont="1" applyFill="1" applyBorder="1" applyAlignment="1"/>
    <xf numFmtId="215" fontId="24" fillId="0" borderId="1" xfId="6" applyNumberFormat="1" applyFont="1" applyFill="1" applyBorder="1" applyAlignment="1"/>
    <xf numFmtId="215" fontId="24" fillId="0" borderId="50" xfId="6" applyNumberFormat="1" applyFont="1" applyFill="1" applyBorder="1" applyAlignment="1"/>
    <xf numFmtId="215" fontId="24" fillId="0" borderId="35" xfId="6" applyNumberFormat="1" applyFont="1" applyFill="1" applyBorder="1" applyAlignment="1"/>
    <xf numFmtId="215" fontId="24" fillId="0" borderId="60" xfId="6" applyNumberFormat="1" applyFont="1" applyFill="1" applyBorder="1" applyAlignment="1"/>
    <xf numFmtId="215" fontId="24" fillId="0" borderId="72" xfId="0" applyNumberFormat="1" applyFont="1" applyBorder="1"/>
    <xf numFmtId="215" fontId="21" fillId="0" borderId="10" xfId="0" applyNumberFormat="1" applyFont="1" applyBorder="1"/>
    <xf numFmtId="3" fontId="23" fillId="0" borderId="10" xfId="0" applyNumberFormat="1" applyFont="1" applyBorder="1" applyAlignment="1">
      <alignment horizontal="center" vertical="center" shrinkToFit="1"/>
    </xf>
    <xf numFmtId="3" fontId="23" fillId="0" borderId="37" xfId="0" applyNumberFormat="1" applyFont="1" applyBorder="1" applyAlignment="1">
      <alignment horizontal="center" vertical="center" shrinkToFit="1"/>
    </xf>
    <xf numFmtId="3" fontId="23" fillId="0" borderId="36" xfId="0" applyNumberFormat="1" applyFont="1" applyBorder="1" applyAlignment="1">
      <alignment horizontal="center" vertical="center" shrinkToFit="1"/>
    </xf>
    <xf numFmtId="3" fontId="23" fillId="0" borderId="72" xfId="0" applyNumberFormat="1" applyFont="1" applyBorder="1" applyAlignment="1">
      <alignment horizontal="center" vertical="center" shrinkToFit="1"/>
    </xf>
    <xf numFmtId="3" fontId="18" fillId="0" borderId="0" xfId="0" applyNumberFormat="1" applyFont="1" applyAlignment="1">
      <alignment vertical="center" shrinkToFit="1"/>
    </xf>
    <xf numFmtId="3" fontId="22" fillId="0" borderId="0" xfId="0" applyNumberFormat="1" applyFont="1" applyAlignment="1">
      <alignment vertical="center" shrinkToFit="1"/>
    </xf>
    <xf numFmtId="3" fontId="23" fillId="0" borderId="39" xfId="0" applyNumberFormat="1" applyFont="1" applyBorder="1" applyAlignment="1">
      <alignment horizontal="center" vertical="center" shrinkToFit="1"/>
    </xf>
    <xf numFmtId="3" fontId="39" fillId="0" borderId="0" xfId="0" applyNumberFormat="1" applyFont="1" applyAlignment="1">
      <alignment vertical="center" shrinkToFit="1"/>
    </xf>
    <xf numFmtId="3" fontId="23" fillId="0" borderId="10" xfId="0" applyNumberFormat="1" applyFont="1" applyBorder="1" applyAlignment="1">
      <alignment horizontal="centerContinuous" vertical="center" shrinkToFit="1"/>
    </xf>
    <xf numFmtId="3" fontId="23" fillId="0" borderId="0" xfId="0" applyNumberFormat="1" applyFont="1" applyAlignment="1">
      <alignment horizontal="center" vertical="center" shrinkToFit="1"/>
    </xf>
    <xf numFmtId="3" fontId="23" fillId="0" borderId="8" xfId="0" applyNumberFormat="1" applyFont="1" applyBorder="1" applyAlignment="1">
      <alignment horizontal="center" vertical="center" shrinkToFit="1"/>
    </xf>
    <xf numFmtId="3" fontId="26" fillId="0" borderId="0" xfId="0" applyNumberFormat="1" applyFont="1" applyAlignment="1" applyProtection="1">
      <alignment horizontal="left"/>
    </xf>
    <xf numFmtId="3" fontId="36" fillId="0" borderId="0" xfId="0" applyNumberFormat="1" applyFont="1" applyAlignment="1" applyProtection="1">
      <alignment horizontal="left"/>
    </xf>
    <xf numFmtId="0" fontId="18" fillId="0" borderId="73" xfId="0" applyFont="1" applyBorder="1" applyAlignment="1" applyProtection="1">
      <alignment horizontal="center" vertical="center"/>
    </xf>
    <xf numFmtId="0" fontId="18" fillId="0" borderId="0" xfId="0" applyFont="1" applyAlignment="1" applyProtection="1">
      <alignment horizontal="center" vertical="center"/>
    </xf>
    <xf numFmtId="192" fontId="18" fillId="0" borderId="74" xfId="0" applyNumberFormat="1" applyFont="1" applyBorder="1" applyAlignment="1" applyProtection="1">
      <alignment vertical="center"/>
    </xf>
    <xf numFmtId="189" fontId="18" fillId="0" borderId="50" xfId="0" applyNumberFormat="1" applyFont="1" applyBorder="1" applyAlignment="1" applyProtection="1">
      <alignment vertical="center"/>
    </xf>
    <xf numFmtId="190" fontId="18" fillId="0" borderId="23" xfId="0" applyNumberFormat="1" applyFont="1" applyBorder="1" applyAlignment="1" applyProtection="1">
      <alignment vertical="center"/>
    </xf>
    <xf numFmtId="189" fontId="18" fillId="0" borderId="75" xfId="0" applyNumberFormat="1" applyFont="1" applyBorder="1" applyAlignment="1" applyProtection="1">
      <alignment vertical="center"/>
    </xf>
    <xf numFmtId="0" fontId="18" fillId="0" borderId="8" xfId="0" applyFont="1" applyBorder="1" applyAlignment="1" applyProtection="1">
      <alignment horizontal="center" vertical="center"/>
    </xf>
    <xf numFmtId="0" fontId="18" fillId="0" borderId="5" xfId="0" applyFont="1" applyBorder="1" applyAlignment="1" applyProtection="1">
      <alignment horizontal="center" vertical="center"/>
    </xf>
    <xf numFmtId="0" fontId="18" fillId="0" borderId="76" xfId="0" applyFont="1" applyBorder="1" applyAlignment="1" applyProtection="1">
      <alignment horizontal="center" vertical="center"/>
    </xf>
    <xf numFmtId="1" fontId="18" fillId="0" borderId="8" xfId="0" applyNumberFormat="1" applyFont="1" applyBorder="1" applyAlignment="1" applyProtection="1">
      <alignment horizontal="centerContinuous" vertical="center"/>
    </xf>
    <xf numFmtId="0" fontId="18" fillId="0" borderId="25" xfId="0" applyFont="1" applyBorder="1" applyAlignment="1" applyProtection="1">
      <alignment horizontal="centerContinuous" vertical="center"/>
    </xf>
    <xf numFmtId="3" fontId="18" fillId="0" borderId="15" xfId="0" applyNumberFormat="1" applyFont="1" applyBorder="1" applyAlignment="1" applyProtection="1">
      <alignment horizontal="left" vertical="center" indent="1"/>
    </xf>
    <xf numFmtId="189" fontId="18" fillId="0" borderId="12" xfId="0" applyNumberFormat="1" applyFont="1" applyBorder="1" applyAlignment="1" applyProtection="1">
      <alignment vertical="center"/>
    </xf>
    <xf numFmtId="190" fontId="18" fillId="0" borderId="48" xfId="0" applyNumberFormat="1" applyFont="1" applyBorder="1" applyAlignment="1" applyProtection="1">
      <alignment vertical="center"/>
    </xf>
    <xf numFmtId="190" fontId="18" fillId="0" borderId="54" xfId="0" applyNumberFormat="1" applyFont="1" applyBorder="1" applyAlignment="1" applyProtection="1">
      <alignment vertical="center"/>
    </xf>
    <xf numFmtId="189" fontId="18" fillId="0" borderId="55" xfId="0" applyNumberFormat="1" applyFont="1" applyBorder="1" applyAlignment="1" applyProtection="1">
      <alignment vertical="center"/>
    </xf>
    <xf numFmtId="189" fontId="18" fillId="0" borderId="77" xfId="0" applyNumberFormat="1" applyFont="1" applyBorder="1" applyAlignment="1" applyProtection="1">
      <alignment vertical="center"/>
    </xf>
    <xf numFmtId="189" fontId="18" fillId="0" borderId="78" xfId="0" applyNumberFormat="1" applyFont="1" applyBorder="1" applyAlignment="1" applyProtection="1">
      <alignment vertical="center"/>
    </xf>
    <xf numFmtId="189" fontId="18" fillId="0" borderId="79" xfId="0" applyNumberFormat="1" applyFont="1" applyBorder="1" applyAlignment="1" applyProtection="1">
      <alignment vertical="center"/>
    </xf>
    <xf numFmtId="190" fontId="22" fillId="0" borderId="23" xfId="0" applyNumberFormat="1" applyFont="1" applyBorder="1" applyAlignment="1" applyProtection="1">
      <alignment vertical="center"/>
    </xf>
    <xf numFmtId="190" fontId="22" fillId="0" borderId="51" xfId="0" applyNumberFormat="1" applyFont="1" applyBorder="1" applyAlignment="1" applyProtection="1">
      <alignment vertical="center"/>
    </xf>
    <xf numFmtId="189" fontId="22" fillId="0" borderId="50" xfId="0" applyNumberFormat="1" applyFont="1" applyBorder="1" applyAlignment="1" applyProtection="1">
      <alignment vertical="center"/>
    </xf>
    <xf numFmtId="189" fontId="22" fillId="0" borderId="12" xfId="0" applyNumberFormat="1" applyFont="1" applyBorder="1" applyAlignment="1" applyProtection="1">
      <alignment vertical="center"/>
    </xf>
    <xf numFmtId="189" fontId="22" fillId="0" borderId="75" xfId="0" applyNumberFormat="1" applyFont="1" applyBorder="1" applyAlignment="1" applyProtection="1">
      <alignment vertical="center"/>
    </xf>
    <xf numFmtId="190" fontId="22" fillId="0" borderId="45" xfId="0" applyNumberFormat="1" applyFont="1" applyBorder="1" applyAlignment="1" applyProtection="1">
      <alignment vertical="center"/>
    </xf>
    <xf numFmtId="190" fontId="22" fillId="0" borderId="52" xfId="0" applyNumberFormat="1" applyFont="1" applyBorder="1" applyAlignment="1" applyProtection="1">
      <alignment vertical="center"/>
    </xf>
    <xf numFmtId="189" fontId="18" fillId="0" borderId="53" xfId="0" applyNumberFormat="1" applyFont="1" applyBorder="1" applyAlignment="1" applyProtection="1">
      <alignment vertical="center"/>
    </xf>
    <xf numFmtId="189" fontId="22" fillId="0" borderId="67" xfId="0" applyNumberFormat="1" applyFont="1" applyBorder="1" applyAlignment="1" applyProtection="1">
      <alignment vertical="center"/>
    </xf>
    <xf numFmtId="189" fontId="22" fillId="0" borderId="80" xfId="0" applyNumberFormat="1" applyFont="1" applyBorder="1" applyAlignment="1" applyProtection="1">
      <alignment vertical="center"/>
    </xf>
    <xf numFmtId="192" fontId="18" fillId="0" borderId="24" xfId="0" applyNumberFormat="1" applyFont="1" applyBorder="1" applyAlignment="1" applyProtection="1">
      <alignment vertical="center"/>
    </xf>
    <xf numFmtId="192" fontId="18" fillId="0" borderId="12" xfId="0" applyNumberFormat="1" applyFont="1" applyBorder="1" applyAlignment="1" applyProtection="1">
      <alignment vertical="center"/>
    </xf>
    <xf numFmtId="192" fontId="18" fillId="0" borderId="75" xfId="0" applyNumberFormat="1" applyFont="1" applyBorder="1" applyAlignment="1" applyProtection="1">
      <alignment vertical="center"/>
    </xf>
    <xf numFmtId="204" fontId="18" fillId="0" borderId="23" xfId="0" applyNumberFormat="1" applyFont="1" applyBorder="1" applyAlignment="1" applyProtection="1">
      <alignment vertical="center"/>
    </xf>
    <xf numFmtId="204" fontId="18" fillId="0" borderId="51" xfId="0" applyNumberFormat="1" applyFont="1" applyBorder="1" applyAlignment="1" applyProtection="1">
      <alignment vertical="center"/>
    </xf>
    <xf numFmtId="192" fontId="22" fillId="0" borderId="75" xfId="0" applyNumberFormat="1" applyFont="1" applyBorder="1" applyAlignment="1" applyProtection="1">
      <alignment vertical="center"/>
    </xf>
    <xf numFmtId="190" fontId="18" fillId="0" borderId="45" xfId="0" applyNumberFormat="1" applyFont="1" applyBorder="1" applyAlignment="1" applyProtection="1">
      <alignment vertical="center"/>
    </xf>
    <xf numFmtId="190" fontId="18" fillId="0" borderId="52" xfId="0" applyNumberFormat="1" applyFont="1" applyBorder="1" applyAlignment="1" applyProtection="1">
      <alignment vertical="center"/>
    </xf>
    <xf numFmtId="189" fontId="18" fillId="0" borderId="67" xfId="0" applyNumberFormat="1" applyFont="1" applyBorder="1" applyAlignment="1" applyProtection="1">
      <alignment vertical="center"/>
    </xf>
    <xf numFmtId="189" fontId="18" fillId="0" borderId="80" xfId="0" applyNumberFormat="1" applyFont="1" applyBorder="1" applyAlignment="1" applyProtection="1">
      <alignment vertical="center"/>
    </xf>
    <xf numFmtId="190" fontId="22" fillId="0" borderId="20" xfId="0" applyNumberFormat="1" applyFont="1" applyBorder="1" applyAlignment="1" applyProtection="1">
      <alignment vertical="center"/>
    </xf>
    <xf numFmtId="190" fontId="22" fillId="0" borderId="41" xfId="0" applyNumberFormat="1" applyFont="1" applyBorder="1" applyAlignment="1" applyProtection="1">
      <alignment vertical="center"/>
    </xf>
    <xf numFmtId="189" fontId="22" fillId="0" borderId="71" xfId="0" applyNumberFormat="1" applyFont="1" applyBorder="1" applyAlignment="1" applyProtection="1">
      <alignment vertical="center"/>
    </xf>
    <xf numFmtId="189" fontId="22" fillId="0" borderId="61" xfId="0" applyNumberFormat="1" applyFont="1" applyBorder="1" applyAlignment="1" applyProtection="1">
      <alignment vertical="center"/>
    </xf>
    <xf numFmtId="189" fontId="22" fillId="0" borderId="81" xfId="0" applyNumberFormat="1" applyFont="1" applyBorder="1" applyAlignment="1" applyProtection="1">
      <alignment vertical="center"/>
    </xf>
    <xf numFmtId="190" fontId="18" fillId="0" borderId="34" xfId="0" applyNumberFormat="1" applyFont="1" applyBorder="1" applyAlignment="1" applyProtection="1">
      <alignment vertical="center"/>
    </xf>
    <xf numFmtId="190" fontId="18" fillId="0" borderId="63" xfId="0" applyNumberFormat="1" applyFont="1" applyBorder="1" applyAlignment="1" applyProtection="1">
      <alignment vertical="center"/>
    </xf>
    <xf numFmtId="189" fontId="18" fillId="0" borderId="60" xfId="0" applyNumberFormat="1" applyFont="1" applyBorder="1" applyAlignment="1" applyProtection="1">
      <alignment vertical="center"/>
    </xf>
    <xf numFmtId="189" fontId="18" fillId="0" borderId="62" xfId="0" applyNumberFormat="1" applyFont="1" applyBorder="1" applyAlignment="1" applyProtection="1">
      <alignment vertical="center"/>
    </xf>
    <xf numFmtId="189" fontId="18" fillId="0" borderId="82" xfId="0" applyNumberFormat="1" applyFont="1" applyBorder="1" applyAlignment="1" applyProtection="1">
      <alignment vertical="center"/>
    </xf>
    <xf numFmtId="190" fontId="18" fillId="0" borderId="33" xfId="0" applyNumberFormat="1" applyFont="1" applyBorder="1" applyAlignment="1" applyProtection="1">
      <alignment vertical="center"/>
    </xf>
    <xf numFmtId="190" fontId="18" fillId="0" borderId="58" xfId="0" applyNumberFormat="1" applyFont="1" applyBorder="1" applyAlignment="1" applyProtection="1">
      <alignment vertical="center"/>
    </xf>
    <xf numFmtId="189" fontId="18" fillId="0" borderId="59" xfId="0" applyNumberFormat="1" applyFont="1" applyBorder="1" applyAlignment="1" applyProtection="1">
      <alignment vertical="center"/>
    </xf>
    <xf numFmtId="189" fontId="18" fillId="0" borderId="0" xfId="0" applyNumberFormat="1" applyFont="1" applyAlignment="1" applyProtection="1">
      <alignment vertical="center"/>
    </xf>
    <xf numFmtId="189" fontId="18" fillId="0" borderId="83" xfId="0" applyNumberFormat="1" applyFont="1" applyBorder="1" applyAlignment="1" applyProtection="1">
      <alignment vertical="center"/>
    </xf>
    <xf numFmtId="191" fontId="18" fillId="0" borderId="48" xfId="0" applyNumberFormat="1" applyFont="1" applyBorder="1" applyAlignment="1" applyProtection="1">
      <alignment vertical="center"/>
    </xf>
    <xf numFmtId="192" fontId="18" fillId="0" borderId="4" xfId="0" applyNumberFormat="1" applyFont="1" applyBorder="1" applyAlignment="1" applyProtection="1">
      <alignment vertical="center"/>
    </xf>
    <xf numFmtId="191" fontId="18" fillId="0" borderId="54" xfId="0" applyNumberFormat="1" applyFont="1" applyBorder="1" applyAlignment="1" applyProtection="1">
      <alignment vertical="center"/>
    </xf>
    <xf numFmtId="192" fontId="18" fillId="0" borderId="77" xfId="0" applyNumberFormat="1" applyFont="1" applyBorder="1" applyAlignment="1" applyProtection="1">
      <alignment vertical="center"/>
    </xf>
    <xf numFmtId="192" fontId="18" fillId="0" borderId="78" xfId="0" applyNumberFormat="1" applyFont="1" applyBorder="1" applyAlignment="1" applyProtection="1">
      <alignment vertical="center"/>
    </xf>
    <xf numFmtId="192" fontId="18" fillId="0" borderId="25" xfId="0" applyNumberFormat="1" applyFont="1" applyBorder="1" applyAlignment="1" applyProtection="1">
      <alignment vertical="center"/>
    </xf>
    <xf numFmtId="192" fontId="18" fillId="0" borderId="5" xfId="0" applyNumberFormat="1" applyFont="1" applyBorder="1" applyAlignment="1" applyProtection="1">
      <alignment vertical="center"/>
    </xf>
    <xf numFmtId="192" fontId="18" fillId="0" borderId="76" xfId="0" applyNumberFormat="1" applyFont="1" applyBorder="1" applyAlignment="1" applyProtection="1">
      <alignment vertical="center"/>
    </xf>
    <xf numFmtId="191" fontId="22" fillId="0" borderId="45" xfId="0" applyNumberFormat="1" applyFont="1" applyBorder="1" applyAlignment="1" applyProtection="1">
      <alignment vertical="center"/>
    </xf>
    <xf numFmtId="192" fontId="22" fillId="0" borderId="47" xfId="0" applyNumberFormat="1" applyFont="1" applyBorder="1" applyAlignment="1" applyProtection="1">
      <alignment vertical="center"/>
    </xf>
    <xf numFmtId="191" fontId="22" fillId="0" borderId="52" xfId="0" applyNumberFormat="1" applyFont="1" applyBorder="1" applyAlignment="1" applyProtection="1">
      <alignment vertical="center"/>
    </xf>
    <xf numFmtId="192" fontId="22" fillId="0" borderId="67" xfId="0" applyNumberFormat="1" applyFont="1" applyBorder="1" applyAlignment="1" applyProtection="1">
      <alignment vertical="center"/>
    </xf>
    <xf numFmtId="192" fontId="22" fillId="0" borderId="80" xfId="0" applyNumberFormat="1" applyFont="1" applyBorder="1" applyAlignment="1" applyProtection="1">
      <alignment vertical="center"/>
    </xf>
    <xf numFmtId="219" fontId="18" fillId="0" borderId="37" xfId="0" applyNumberFormat="1" applyFont="1" applyBorder="1" applyAlignment="1" applyProtection="1">
      <alignment vertical="center"/>
    </xf>
    <xf numFmtId="219" fontId="18" fillId="0" borderId="39" xfId="0" applyNumberFormat="1" applyFont="1" applyBorder="1" applyAlignment="1" applyProtection="1">
      <alignment vertical="center"/>
    </xf>
    <xf numFmtId="210" fontId="36" fillId="0" borderId="0" xfId="0" applyNumberFormat="1" applyFont="1" applyAlignment="1" applyProtection="1">
      <alignment horizontal="center"/>
    </xf>
    <xf numFmtId="208" fontId="21" fillId="0" borderId="8" xfId="0" applyNumberFormat="1" applyFont="1" applyBorder="1" applyAlignment="1">
      <alignment horizontal="center" vertical="center"/>
    </xf>
    <xf numFmtId="208" fontId="21" fillId="0" borderId="10" xfId="0" applyNumberFormat="1" applyFont="1" applyBorder="1" applyAlignment="1">
      <alignment horizontal="center" vertical="center"/>
    </xf>
    <xf numFmtId="208" fontId="21" fillId="0" borderId="5" xfId="0" applyNumberFormat="1" applyFont="1" applyBorder="1" applyAlignment="1">
      <alignment horizontal="center" vertical="center"/>
    </xf>
    <xf numFmtId="208" fontId="21" fillId="0" borderId="16" xfId="0" applyNumberFormat="1" applyFont="1" applyBorder="1" applyAlignment="1">
      <alignment horizontal="center" vertical="center"/>
    </xf>
    <xf numFmtId="3" fontId="22" fillId="0" borderId="6" xfId="0" applyNumberFormat="1" applyFont="1" applyBorder="1" applyAlignment="1" applyProtection="1">
      <alignment horizontal="left" vertical="center" indent="1"/>
    </xf>
    <xf numFmtId="3" fontId="18" fillId="0" borderId="9" xfId="0" applyNumberFormat="1" applyFont="1" applyBorder="1" applyAlignment="1" applyProtection="1">
      <alignment horizontal="left" vertical="center" indent="1"/>
    </xf>
    <xf numFmtId="3" fontId="18" fillId="0" borderId="7" xfId="0" applyNumberFormat="1" applyFont="1" applyBorder="1" applyAlignment="1" applyProtection="1">
      <alignment horizontal="left" vertical="center" indent="1"/>
    </xf>
    <xf numFmtId="3" fontId="18" fillId="0" borderId="69" xfId="0" applyNumberFormat="1" applyFont="1" applyBorder="1" applyAlignment="1" applyProtection="1">
      <alignment horizontal="left" vertical="center" indent="1"/>
    </xf>
    <xf numFmtId="3" fontId="18" fillId="0" borderId="8" xfId="0" applyNumberFormat="1" applyFont="1" applyBorder="1" applyAlignment="1" applyProtection="1">
      <alignment horizontal="left" vertical="center" indent="1"/>
    </xf>
    <xf numFmtId="0" fontId="18" fillId="0" borderId="7" xfId="0" applyFont="1" applyBorder="1" applyAlignment="1" applyProtection="1">
      <alignment horizontal="left" vertical="center" indent="1"/>
    </xf>
    <xf numFmtId="0" fontId="22" fillId="0" borderId="69" xfId="0" applyFont="1" applyBorder="1" applyAlignment="1" applyProtection="1">
      <alignment horizontal="left" vertical="center" indent="1"/>
    </xf>
    <xf numFmtId="205" fontId="22" fillId="0" borderId="0" xfId="0" applyNumberFormat="1" applyFont="1"/>
    <xf numFmtId="0" fontId="18" fillId="0" borderId="10" xfId="0" applyFont="1" applyBorder="1" applyAlignment="1">
      <alignment horizontal="center"/>
    </xf>
    <xf numFmtId="0" fontId="22" fillId="0" borderId="8" xfId="0" applyFont="1" applyBorder="1" applyAlignment="1">
      <alignment horizontal="left" indent="1"/>
    </xf>
    <xf numFmtId="205" fontId="22" fillId="0" borderId="37" xfId="0" applyNumberFormat="1" applyFont="1" applyBorder="1" applyAlignment="1">
      <alignment horizontal="center"/>
    </xf>
    <xf numFmtId="205" fontId="22" fillId="0" borderId="36" xfId="0" applyNumberFormat="1" applyFont="1" applyBorder="1" applyAlignment="1">
      <alignment horizontal="center"/>
    </xf>
    <xf numFmtId="205" fontId="22" fillId="0" borderId="25" xfId="0" applyNumberFormat="1" applyFont="1" applyBorder="1" applyAlignment="1">
      <alignment horizontal="center"/>
    </xf>
    <xf numFmtId="0" fontId="27" fillId="0" borderId="0" xfId="0" applyFont="1"/>
    <xf numFmtId="3" fontId="44" fillId="0" borderId="0" xfId="0" applyNumberFormat="1" applyFont="1" applyProtection="1"/>
    <xf numFmtId="181" fontId="24" fillId="0" borderId="14" xfId="6" applyNumberFormat="1" applyFont="1" applyFill="1" applyBorder="1" applyAlignment="1" applyProtection="1">
      <alignment horizontal="center"/>
    </xf>
    <xf numFmtId="181" fontId="24" fillId="2" borderId="14" xfId="6" applyNumberFormat="1" applyFont="1" applyFill="1" applyBorder="1" applyAlignment="1" applyProtection="1">
      <alignment horizontal="center"/>
      <protection locked="0"/>
    </xf>
    <xf numFmtId="3" fontId="26" fillId="0" borderId="0" xfId="0" applyNumberFormat="1" applyFont="1" applyAlignment="1" applyProtection="1">
      <alignment horizontal="center"/>
    </xf>
    <xf numFmtId="3" fontId="35" fillId="0" borderId="0" xfId="0" applyNumberFormat="1" applyFont="1" applyAlignment="1" applyProtection="1">
      <alignment horizontal="left"/>
    </xf>
    <xf numFmtId="3" fontId="30" fillId="0" borderId="0" xfId="0" applyNumberFormat="1" applyFont="1" applyAlignment="1" applyProtection="1">
      <alignment horizontal="center"/>
    </xf>
    <xf numFmtId="0" fontId="46" fillId="0" borderId="0" xfId="0" applyFont="1" applyProtection="1"/>
    <xf numFmtId="3" fontId="35" fillId="0" borderId="0" xfId="0" applyNumberFormat="1" applyFont="1" applyProtection="1"/>
    <xf numFmtId="9" fontId="35" fillId="0" borderId="14" xfId="6" applyFont="1" applyBorder="1" applyAlignment="1" applyProtection="1">
      <alignment horizontal="center"/>
    </xf>
    <xf numFmtId="181" fontId="24" fillId="0" borderId="17" xfId="6" applyNumberFormat="1" applyFont="1" applyFill="1" applyBorder="1" applyAlignment="1" applyProtection="1">
      <alignment horizontal="center"/>
    </xf>
    <xf numFmtId="181" fontId="24" fillId="2" borderId="17" xfId="6" applyNumberFormat="1" applyFont="1" applyFill="1" applyBorder="1" applyAlignment="1" applyProtection="1">
      <alignment horizontal="center"/>
      <protection locked="0"/>
    </xf>
    <xf numFmtId="9" fontId="35" fillId="0" borderId="17" xfId="6" applyFont="1" applyBorder="1" applyAlignment="1" applyProtection="1">
      <alignment horizontal="center"/>
    </xf>
    <xf numFmtId="3" fontId="35" fillId="0" borderId="16" xfId="0" applyNumberFormat="1" applyFont="1" applyBorder="1" applyAlignment="1" applyProtection="1">
      <alignment horizontal="center" vertical="center"/>
    </xf>
    <xf numFmtId="173" fontId="35" fillId="0" borderId="16" xfId="0" applyNumberFormat="1" applyFont="1" applyBorder="1" applyAlignment="1" applyProtection="1">
      <alignment horizontal="center" vertical="center"/>
    </xf>
    <xf numFmtId="0" fontId="21" fillId="0" borderId="10" xfId="0" applyFont="1" applyBorder="1" applyAlignment="1">
      <alignment horizontal="center" vertical="center" wrapText="1"/>
    </xf>
    <xf numFmtId="200" fontId="24" fillId="0" borderId="57" xfId="0" applyNumberFormat="1" applyFont="1" applyBorder="1"/>
    <xf numFmtId="200" fontId="24" fillId="2" borderId="14" xfId="0" applyNumberFormat="1" applyFont="1" applyFill="1" applyBorder="1" applyProtection="1">
      <protection locked="0"/>
    </xf>
    <xf numFmtId="200" fontId="24" fillId="0" borderId="17" xfId="0" applyNumberFormat="1" applyFont="1" applyBorder="1"/>
    <xf numFmtId="0" fontId="28" fillId="0" borderId="0" xfId="0" applyFont="1" applyProtection="1"/>
    <xf numFmtId="3" fontId="28" fillId="0" borderId="0" xfId="0" applyNumberFormat="1" applyFont="1" applyAlignment="1" applyProtection="1">
      <alignment horizontal="right"/>
    </xf>
    <xf numFmtId="213" fontId="24" fillId="0" borderId="41" xfId="0" applyNumberFormat="1" applyFont="1" applyBorder="1"/>
    <xf numFmtId="213" fontId="24" fillId="0" borderId="21" xfId="0" applyNumberFormat="1" applyFont="1" applyBorder="1"/>
    <xf numFmtId="213" fontId="24" fillId="0" borderId="51" xfId="0" applyNumberFormat="1" applyFont="1" applyBorder="1"/>
    <xf numFmtId="213" fontId="24" fillId="0" borderId="63" xfId="0" applyNumberFormat="1" applyFont="1" applyBorder="1"/>
    <xf numFmtId="213" fontId="24" fillId="0" borderId="35" xfId="0" applyNumberFormat="1" applyFont="1" applyBorder="1"/>
    <xf numFmtId="213" fontId="24" fillId="0" borderId="52" xfId="0" applyNumberFormat="1" applyFont="1" applyBorder="1"/>
    <xf numFmtId="213" fontId="24" fillId="0" borderId="46" xfId="0" applyNumberFormat="1" applyFont="1" applyBorder="1"/>
    <xf numFmtId="213" fontId="24" fillId="0" borderId="39" xfId="0" applyNumberFormat="1" applyFont="1" applyBorder="1"/>
    <xf numFmtId="213" fontId="24" fillId="0" borderId="25" xfId="0" applyNumberFormat="1" applyFont="1" applyBorder="1"/>
    <xf numFmtId="220" fontId="24" fillId="0" borderId="18" xfId="6" applyNumberFormat="1" applyFont="1" applyFill="1" applyBorder="1" applyAlignment="1"/>
    <xf numFmtId="220" fontId="24" fillId="0" borderId="11" xfId="6" applyNumberFormat="1" applyFont="1" applyFill="1" applyBorder="1" applyAlignment="1"/>
    <xf numFmtId="220" fontId="24" fillId="0" borderId="19" xfId="6" applyNumberFormat="1" applyFont="1" applyFill="1" applyBorder="1" applyAlignment="1"/>
    <xf numFmtId="221" fontId="24" fillId="0" borderId="18" xfId="6" applyNumberFormat="1" applyFont="1" applyFill="1" applyBorder="1" applyAlignment="1"/>
    <xf numFmtId="221" fontId="24" fillId="0" borderId="11" xfId="6" applyNumberFormat="1" applyFont="1" applyFill="1" applyBorder="1" applyAlignment="1"/>
    <xf numFmtId="221" fontId="24" fillId="0" borderId="19" xfId="6" applyNumberFormat="1" applyFont="1" applyFill="1" applyBorder="1" applyAlignment="1"/>
    <xf numFmtId="206" fontId="24" fillId="0" borderId="41" xfId="0" applyNumberFormat="1" applyFont="1" applyBorder="1" applyProtection="1"/>
    <xf numFmtId="206" fontId="24" fillId="0" borderId="21" xfId="0" applyNumberFormat="1" applyFont="1" applyBorder="1" applyProtection="1"/>
    <xf numFmtId="206" fontId="21" fillId="0" borderId="18" xfId="0" applyNumberFormat="1" applyFont="1" applyBorder="1"/>
    <xf numFmtId="206" fontId="24" fillId="0" borderId="51" xfId="0" applyNumberFormat="1" applyFont="1" applyBorder="1" applyProtection="1"/>
    <xf numFmtId="206" fontId="24" fillId="0" borderId="1" xfId="0" applyNumberFormat="1" applyFont="1" applyBorder="1" applyProtection="1"/>
    <xf numFmtId="206" fontId="21" fillId="0" borderId="11" xfId="0" applyNumberFormat="1" applyFont="1" applyBorder="1"/>
    <xf numFmtId="206" fontId="24" fillId="0" borderId="63" xfId="0" applyNumberFormat="1" applyFont="1" applyBorder="1" applyProtection="1"/>
    <xf numFmtId="206" fontId="24" fillId="0" borderId="35" xfId="0" applyNumberFormat="1" applyFont="1" applyBorder="1" applyProtection="1"/>
    <xf numFmtId="206" fontId="21" fillId="0" borderId="19" xfId="0" applyNumberFormat="1" applyFont="1" applyBorder="1"/>
    <xf numFmtId="206" fontId="24" fillId="0" borderId="41" xfId="0" applyNumberFormat="1" applyFont="1" applyBorder="1"/>
    <xf numFmtId="206" fontId="24" fillId="0" borderId="21" xfId="0" applyNumberFormat="1" applyFont="1" applyBorder="1"/>
    <xf numFmtId="206" fontId="24" fillId="0" borderId="51" xfId="0" applyNumberFormat="1" applyFont="1" applyBorder="1"/>
    <xf numFmtId="206" fontId="24" fillId="0" borderId="1" xfId="0" applyNumberFormat="1" applyFont="1" applyBorder="1"/>
    <xf numFmtId="206" fontId="24" fillId="0" borderId="52" xfId="0" applyNumberFormat="1" applyFont="1" applyBorder="1"/>
    <xf numFmtId="206" fontId="24" fillId="0" borderId="46" xfId="0" applyNumberFormat="1" applyFont="1" applyBorder="1"/>
    <xf numFmtId="206" fontId="21" fillId="0" borderId="38" xfId="0" applyNumberFormat="1" applyFont="1" applyBorder="1"/>
    <xf numFmtId="206" fontId="21" fillId="0" borderId="10" xfId="0" applyNumberFormat="1" applyFont="1" applyBorder="1"/>
    <xf numFmtId="206" fontId="24" fillId="0" borderId="37" xfId="0" applyNumberFormat="1" applyFont="1" applyBorder="1"/>
    <xf numFmtId="206" fontId="24" fillId="0" borderId="36" xfId="0" applyNumberFormat="1" applyFont="1" applyBorder="1"/>
    <xf numFmtId="206" fontId="24" fillId="0" borderId="72" xfId="0" applyNumberFormat="1" applyFont="1" applyBorder="1"/>
    <xf numFmtId="206" fontId="24" fillId="0" borderId="71" xfId="0" applyNumberFormat="1" applyFont="1" applyBorder="1"/>
    <xf numFmtId="206" fontId="24" fillId="0" borderId="50" xfId="0" applyNumberFormat="1" applyFont="1" applyBorder="1"/>
    <xf numFmtId="206" fontId="24" fillId="0" borderId="53" xfId="0" applyNumberFormat="1" applyFont="1" applyBorder="1"/>
    <xf numFmtId="206" fontId="24" fillId="0" borderId="71" xfId="0" applyNumberFormat="1" applyFont="1" applyBorder="1" applyProtection="1"/>
    <xf numFmtId="206" fontId="24" fillId="0" borderId="50" xfId="0" applyNumberFormat="1" applyFont="1" applyBorder="1" applyProtection="1"/>
    <xf numFmtId="206" fontId="24" fillId="0" borderId="60" xfId="0" applyNumberFormat="1" applyFont="1" applyBorder="1" applyProtection="1"/>
    <xf numFmtId="222" fontId="35" fillId="0" borderId="14" xfId="0" applyNumberFormat="1" applyFont="1" applyBorder="1" applyAlignment="1">
      <alignment shrinkToFit="1"/>
    </xf>
    <xf numFmtId="222" fontId="44" fillId="0" borderId="14" xfId="0" applyNumberFormat="1" applyFont="1" applyBorder="1" applyAlignment="1">
      <alignment shrinkToFit="1"/>
    </xf>
    <xf numFmtId="222" fontId="45" fillId="0" borderId="14" xfId="0" applyNumberFormat="1" applyFont="1" applyBorder="1" applyAlignment="1">
      <alignment shrinkToFit="1"/>
    </xf>
    <xf numFmtId="223" fontId="44" fillId="0" borderId="14" xfId="0" applyNumberFormat="1" applyFont="1" applyBorder="1" applyAlignment="1">
      <alignment shrinkToFit="1"/>
    </xf>
    <xf numFmtId="223" fontId="45" fillId="0" borderId="14" xfId="0" applyNumberFormat="1" applyFont="1" applyBorder="1" applyAlignment="1">
      <alignment shrinkToFit="1"/>
    </xf>
    <xf numFmtId="223" fontId="44" fillId="0" borderId="14" xfId="0" applyNumberFormat="1" applyFont="1" applyBorder="1" applyAlignment="1" applyProtection="1">
      <alignment shrinkToFit="1"/>
      <protection locked="0"/>
    </xf>
    <xf numFmtId="224" fontId="45" fillId="0" borderId="10" xfId="0" applyNumberFormat="1" applyFont="1" applyBorder="1" applyAlignment="1">
      <alignment vertical="center" shrinkToFit="1"/>
    </xf>
    <xf numFmtId="226" fontId="24" fillId="0" borderId="21" xfId="0" applyNumberFormat="1" applyFont="1" applyBorder="1" applyProtection="1">
      <protection locked="0"/>
    </xf>
    <xf numFmtId="226" fontId="24" fillId="0" borderId="71" xfId="0" applyNumberFormat="1" applyFont="1" applyBorder="1" applyProtection="1">
      <protection locked="0"/>
    </xf>
    <xf numFmtId="206" fontId="21" fillId="0" borderId="17" xfId="0" applyNumberFormat="1" applyFont="1" applyBorder="1"/>
    <xf numFmtId="206" fontId="24" fillId="0" borderId="18" xfId="0" applyNumberFormat="1" applyFont="1" applyBorder="1"/>
    <xf numFmtId="206" fontId="24" fillId="0" borderId="11" xfId="0" applyNumberFormat="1" applyFont="1" applyBorder="1"/>
    <xf numFmtId="226" fontId="24" fillId="0" borderId="20" xfId="0" applyNumberFormat="1" applyFont="1" applyBorder="1" applyProtection="1">
      <protection locked="0"/>
    </xf>
    <xf numFmtId="206" fontId="24" fillId="0" borderId="19" xfId="0" applyNumberFormat="1" applyFont="1" applyBorder="1" applyProtection="1"/>
    <xf numFmtId="206" fontId="21" fillId="0" borderId="17" xfId="0" applyNumberFormat="1" applyFont="1" applyBorder="1" applyProtection="1"/>
    <xf numFmtId="228" fontId="39" fillId="0" borderId="63" xfId="0" applyNumberFormat="1" applyFont="1" applyBorder="1" applyProtection="1"/>
    <xf numFmtId="228" fontId="39" fillId="0" borderId="62" xfId="0" applyNumberFormat="1" applyFont="1" applyBorder="1" applyProtection="1"/>
    <xf numFmtId="228" fontId="39" fillId="0" borderId="19" xfId="0" applyNumberFormat="1" applyFont="1" applyBorder="1" applyProtection="1"/>
    <xf numFmtId="228" fontId="39" fillId="0" borderId="65" xfId="0" applyNumberFormat="1" applyFont="1" applyBorder="1" applyProtection="1"/>
    <xf numFmtId="228" fontId="39" fillId="0" borderId="64" xfId="0" applyNumberFormat="1" applyFont="1" applyBorder="1" applyProtection="1"/>
    <xf numFmtId="228" fontId="39" fillId="0" borderId="39" xfId="0" applyNumberFormat="1" applyFont="1" applyBorder="1" applyProtection="1"/>
    <xf numFmtId="228" fontId="39" fillId="0" borderId="5" xfId="0" applyNumberFormat="1" applyFont="1" applyBorder="1" applyProtection="1"/>
    <xf numFmtId="228" fontId="39" fillId="0" borderId="10" xfId="0" applyNumberFormat="1" applyFont="1" applyBorder="1" applyProtection="1"/>
    <xf numFmtId="169" fontId="21" fillId="0" borderId="0" xfId="0" applyNumberFormat="1" applyFont="1" applyProtection="1"/>
    <xf numFmtId="169" fontId="39" fillId="0" borderId="30" xfId="0" applyNumberFormat="1" applyFont="1" applyBorder="1" applyProtection="1"/>
    <xf numFmtId="3" fontId="45" fillId="0" borderId="0" xfId="0" applyNumberFormat="1" applyFont="1" applyAlignment="1">
      <alignment horizontal="center"/>
    </xf>
    <xf numFmtId="168" fontId="18" fillId="0" borderId="0" xfId="0" applyNumberFormat="1" applyFont="1" applyAlignment="1">
      <alignment horizontal="centerContinuous"/>
    </xf>
    <xf numFmtId="168" fontId="21" fillId="0" borderId="0" xfId="0" applyNumberFormat="1" applyFont="1" applyAlignment="1">
      <alignment horizontal="left"/>
    </xf>
    <xf numFmtId="3" fontId="21" fillId="0" borderId="0" xfId="0" quotePrefix="1" applyNumberFormat="1" applyFont="1"/>
    <xf numFmtId="168" fontId="24" fillId="0" borderId="0" xfId="0" applyNumberFormat="1" applyFont="1"/>
    <xf numFmtId="198" fontId="22" fillId="0" borderId="0" xfId="0" applyNumberFormat="1" applyFont="1" applyAlignment="1">
      <alignment vertical="center"/>
    </xf>
    <xf numFmtId="0" fontId="15" fillId="0" borderId="0" xfId="0" applyFont="1"/>
    <xf numFmtId="2" fontId="22" fillId="0" borderId="0" xfId="0" applyNumberFormat="1" applyFont="1"/>
    <xf numFmtId="230" fontId="24" fillId="0" borderId="24" xfId="6" applyNumberFormat="1" applyFont="1" applyBorder="1" applyAlignment="1">
      <alignment horizontal="center"/>
    </xf>
    <xf numFmtId="230" fontId="24" fillId="0" borderId="4" xfId="6" applyNumberFormat="1" applyFont="1" applyBorder="1" applyAlignment="1">
      <alignment horizontal="center"/>
    </xf>
    <xf numFmtId="206" fontId="24" fillId="0" borderId="15" xfId="0" applyNumberFormat="1" applyFont="1" applyBorder="1"/>
    <xf numFmtId="213" fontId="24" fillId="0" borderId="15" xfId="0" applyNumberFormat="1" applyFont="1" applyBorder="1"/>
    <xf numFmtId="206" fontId="24" fillId="2" borderId="6" xfId="0" applyNumberFormat="1" applyFont="1" applyFill="1" applyBorder="1" applyProtection="1">
      <protection locked="0"/>
    </xf>
    <xf numFmtId="213" fontId="24" fillId="2" borderId="6" xfId="0" applyNumberFormat="1" applyFont="1" applyFill="1" applyBorder="1" applyProtection="1">
      <protection locked="0"/>
    </xf>
    <xf numFmtId="213" fontId="24" fillId="2" borderId="7" xfId="0" applyNumberFormat="1" applyFont="1" applyFill="1" applyBorder="1" applyProtection="1">
      <protection locked="0"/>
    </xf>
    <xf numFmtId="231" fontId="24" fillId="2" borderId="6" xfId="0" applyNumberFormat="1" applyFont="1" applyFill="1" applyBorder="1" applyAlignment="1" applyProtection="1">
      <alignment horizontal="right" indent="2"/>
      <protection locked="0"/>
    </xf>
    <xf numFmtId="231" fontId="24" fillId="2" borderId="48" xfId="0" applyNumberFormat="1" applyFont="1" applyFill="1" applyBorder="1" applyAlignment="1" applyProtection="1">
      <alignment horizontal="right" indent="2"/>
      <protection locked="0"/>
    </xf>
    <xf numFmtId="0" fontId="21" fillId="0" borderId="9" xfId="0" applyFont="1" applyBorder="1" applyAlignment="1">
      <alignment horizontal="center" vertical="center" wrapText="1"/>
    </xf>
    <xf numFmtId="213" fontId="24" fillId="0" borderId="9" xfId="0" applyNumberFormat="1" applyFont="1" applyBorder="1" applyAlignment="1" applyProtection="1">
      <alignment horizontal="right"/>
      <protection locked="0"/>
    </xf>
    <xf numFmtId="0" fontId="35" fillId="0" borderId="9" xfId="0" applyFont="1" applyBorder="1" applyAlignment="1">
      <alignment horizontal="center" wrapText="1"/>
    </xf>
    <xf numFmtId="213" fontId="24" fillId="0" borderId="9" xfId="0" applyNumberFormat="1" applyFont="1" applyBorder="1"/>
    <xf numFmtId="206" fontId="24" fillId="0" borderId="9" xfId="0" applyNumberFormat="1" applyFont="1" applyBorder="1" applyAlignment="1" applyProtection="1">
      <alignment horizontal="right"/>
      <protection locked="0"/>
    </xf>
    <xf numFmtId="206" fontId="24" fillId="0" borderId="9" xfId="0" applyNumberFormat="1" applyFont="1" applyBorder="1"/>
    <xf numFmtId="206" fontId="24" fillId="0" borderId="9" xfId="0" applyNumberFormat="1" applyFont="1" applyBorder="1" applyProtection="1">
      <protection locked="0"/>
    </xf>
    <xf numFmtId="200" fontId="24" fillId="0" borderId="7" xfId="0" applyNumberFormat="1" applyFont="1" applyBorder="1" applyProtection="1"/>
    <xf numFmtId="200" fontId="24" fillId="0" borderId="15" xfId="0" applyNumberFormat="1" applyFont="1" applyBorder="1" applyProtection="1"/>
    <xf numFmtId="0" fontId="24" fillId="0" borderId="5" xfId="0" applyFont="1" applyBorder="1" applyProtection="1"/>
    <xf numFmtId="0" fontId="47" fillId="0" borderId="0" xfId="0" applyFont="1" applyProtection="1"/>
    <xf numFmtId="0" fontId="15" fillId="0" borderId="0" xfId="0" applyFont="1" applyProtection="1"/>
    <xf numFmtId="3" fontId="15" fillId="0" borderId="0" xfId="0" applyNumberFormat="1" applyFont="1" applyProtection="1"/>
    <xf numFmtId="9" fontId="15" fillId="0" borderId="0" xfId="0" applyNumberFormat="1" applyFont="1" applyProtection="1"/>
    <xf numFmtId="0" fontId="48" fillId="0" borderId="0" xfId="0" applyFont="1" applyProtection="1"/>
    <xf numFmtId="165" fontId="22" fillId="0" borderId="11" xfId="4" applyFont="1" applyFill="1" applyBorder="1" applyProtection="1"/>
    <xf numFmtId="165" fontId="18" fillId="0" borderId="18" xfId="4" applyFont="1" applyFill="1" applyBorder="1" applyAlignment="1" applyProtection="1">
      <alignment vertical="center"/>
    </xf>
    <xf numFmtId="9" fontId="18" fillId="1" borderId="6" xfId="6" applyFont="1" applyFill="1" applyBorder="1" applyAlignment="1" applyProtection="1">
      <alignment horizontal="right"/>
    </xf>
    <xf numFmtId="165" fontId="22" fillId="0" borderId="9" xfId="4" applyFont="1" applyFill="1" applyBorder="1" applyProtection="1"/>
    <xf numFmtId="206" fontId="24" fillId="0" borderId="24" xfId="0" applyNumberFormat="1" applyFont="1" applyBorder="1" applyAlignment="1" applyProtection="1">
      <alignment horizontal="right"/>
    </xf>
    <xf numFmtId="0" fontId="24" fillId="0" borderId="0" xfId="0" applyFont="1" applyProtection="1"/>
    <xf numFmtId="0" fontId="0" fillId="0" borderId="0" xfId="0" applyAlignment="1" applyProtection="1">
      <alignment horizontal="right"/>
    </xf>
    <xf numFmtId="232" fontId="18" fillId="0" borderId="13" xfId="0" applyNumberFormat="1" applyFont="1" applyBorder="1" applyAlignment="1" applyProtection="1">
      <alignment horizontal="center" wrapText="1"/>
    </xf>
    <xf numFmtId="232" fontId="18" fillId="0" borderId="10" xfId="0" applyNumberFormat="1" applyFont="1" applyBorder="1" applyAlignment="1" applyProtection="1">
      <alignment horizontal="center" wrapText="1"/>
    </xf>
    <xf numFmtId="232" fontId="22" fillId="2" borderId="38" xfId="0" applyNumberFormat="1" applyFont="1" applyFill="1" applyBorder="1" applyAlignment="1" applyProtection="1">
      <alignment vertical="center"/>
      <protection locked="0"/>
    </xf>
    <xf numFmtId="3" fontId="18" fillId="0" borderId="10" xfId="0" applyNumberFormat="1" applyFont="1" applyBorder="1" applyAlignment="1" applyProtection="1">
      <alignment horizontal="center" vertical="center" wrapText="1"/>
    </xf>
    <xf numFmtId="9" fontId="22" fillId="0" borderId="0" xfId="6" applyFont="1" applyFill="1" applyBorder="1" applyAlignment="1" applyProtection="1">
      <alignment horizontal="centerContinuous" vertical="center" shrinkToFit="1"/>
    </xf>
    <xf numFmtId="0" fontId="18" fillId="0" borderId="0" xfId="0" applyFont="1" applyAlignment="1" applyProtection="1">
      <alignment horizontal="centerContinuous" vertical="center" shrinkToFit="1"/>
    </xf>
    <xf numFmtId="0" fontId="22" fillId="0" borderId="0" xfId="0" applyFont="1" applyAlignment="1" applyProtection="1">
      <alignment horizontal="centerContinuous" vertical="center" shrinkToFit="1"/>
    </xf>
    <xf numFmtId="232" fontId="22" fillId="2" borderId="11" xfId="0" applyNumberFormat="1" applyFont="1" applyFill="1" applyBorder="1" applyAlignment="1" applyProtection="1">
      <alignment vertical="center"/>
      <protection locked="0"/>
    </xf>
    <xf numFmtId="200" fontId="21" fillId="0" borderId="15" xfId="0" applyNumberFormat="1" applyFont="1" applyBorder="1"/>
    <xf numFmtId="206" fontId="21" fillId="0" borderId="3" xfId="0" applyNumberFormat="1" applyFont="1" applyBorder="1" applyProtection="1"/>
    <xf numFmtId="0" fontId="21" fillId="0" borderId="84" xfId="0" applyFont="1" applyBorder="1" applyAlignment="1">
      <alignment horizontal="center"/>
    </xf>
    <xf numFmtId="231" fontId="21" fillId="0" borderId="57" xfId="0" applyNumberFormat="1" applyFont="1" applyBorder="1" applyAlignment="1">
      <alignment horizontal="center"/>
    </xf>
    <xf numFmtId="3" fontId="18" fillId="0" borderId="0" xfId="0" applyNumberFormat="1" applyFont="1" applyAlignment="1">
      <alignment horizontal="centerContinuous"/>
    </xf>
    <xf numFmtId="3" fontId="18" fillId="0" borderId="0" xfId="0" applyNumberFormat="1" applyFont="1" applyAlignment="1">
      <alignment horizontal="left"/>
    </xf>
    <xf numFmtId="3" fontId="18" fillId="0" borderId="0" xfId="0" applyNumberFormat="1" applyFont="1" applyAlignment="1">
      <alignment horizontal="right"/>
    </xf>
    <xf numFmtId="0" fontId="18" fillId="0" borderId="0" xfId="0" applyFont="1"/>
    <xf numFmtId="3" fontId="22" fillId="0" borderId="11" xfId="0" applyNumberFormat="1" applyFont="1" applyBorder="1"/>
    <xf numFmtId="3" fontId="22" fillId="0" borderId="19" xfId="0" applyNumberFormat="1" applyFont="1" applyBorder="1"/>
    <xf numFmtId="3" fontId="22" fillId="0" borderId="5" xfId="0" applyNumberFormat="1" applyFont="1" applyBorder="1"/>
    <xf numFmtId="167" fontId="22" fillId="0" borderId="0" xfId="0" applyNumberFormat="1" applyFont="1"/>
    <xf numFmtId="171" fontId="18" fillId="0" borderId="0" xfId="0" applyNumberFormat="1" applyFont="1"/>
    <xf numFmtId="171" fontId="22" fillId="0" borderId="0" xfId="0" applyNumberFormat="1" applyFont="1"/>
    <xf numFmtId="190" fontId="24" fillId="0" borderId="48" xfId="0" applyNumberFormat="1" applyFont="1" applyBorder="1"/>
    <xf numFmtId="189" fontId="24" fillId="0" borderId="85" xfId="0" applyNumberFormat="1" applyFont="1" applyBorder="1"/>
    <xf numFmtId="190" fontId="24" fillId="0" borderId="5" xfId="0" applyNumberFormat="1" applyFont="1" applyBorder="1"/>
    <xf numFmtId="189" fontId="24" fillId="0" borderId="5" xfId="0" applyNumberFormat="1" applyFont="1" applyBorder="1"/>
    <xf numFmtId="190" fontId="24" fillId="0" borderId="0" xfId="0" applyNumberFormat="1" applyFont="1"/>
    <xf numFmtId="189" fontId="24" fillId="0" borderId="0" xfId="0" applyNumberFormat="1" applyFont="1"/>
    <xf numFmtId="3" fontId="22" fillId="0" borderId="86" xfId="0" applyNumberFormat="1" applyFont="1" applyBorder="1" applyAlignment="1">
      <alignment horizontal="center"/>
    </xf>
    <xf numFmtId="3" fontId="22" fillId="0" borderId="84" xfId="0" applyNumberFormat="1" applyFont="1" applyBorder="1" applyAlignment="1">
      <alignment horizontal="center"/>
    </xf>
    <xf numFmtId="3" fontId="22" fillId="0" borderId="87" xfId="0" applyNumberFormat="1" applyFont="1" applyBorder="1" applyAlignment="1">
      <alignment horizontal="center"/>
    </xf>
    <xf numFmtId="229" fontId="24" fillId="0" borderId="48" xfId="0" applyNumberFormat="1" applyFont="1" applyBorder="1"/>
    <xf numFmtId="236" fontId="24" fillId="0" borderId="85" xfId="0" applyNumberFormat="1" applyFont="1" applyBorder="1"/>
    <xf numFmtId="236" fontId="24" fillId="0" borderId="5" xfId="0" applyNumberFormat="1" applyFont="1" applyBorder="1"/>
    <xf numFmtId="236" fontId="24" fillId="0" borderId="0" xfId="0" applyNumberFormat="1" applyFont="1"/>
    <xf numFmtId="0" fontId="18" fillId="0" borderId="56" xfId="0" applyFont="1" applyBorder="1" applyAlignment="1">
      <alignment horizontal="center" vertical="center"/>
    </xf>
    <xf numFmtId="232" fontId="22" fillId="0" borderId="11" xfId="0" applyNumberFormat="1" applyFont="1" applyBorder="1" applyAlignment="1" applyProtection="1">
      <alignment vertical="center"/>
    </xf>
    <xf numFmtId="232" fontId="22" fillId="0" borderId="12" xfId="0" applyNumberFormat="1" applyFont="1" applyBorder="1" applyAlignment="1" applyProtection="1">
      <alignment vertical="center"/>
    </xf>
    <xf numFmtId="0" fontId="21" fillId="0" borderId="0" xfId="0" applyFont="1"/>
    <xf numFmtId="0" fontId="18" fillId="0" borderId="5" xfId="0" applyFont="1" applyBorder="1" applyAlignment="1">
      <alignment horizontal="centerContinuous"/>
    </xf>
    <xf numFmtId="0" fontId="18" fillId="0" borderId="0" xfId="0" applyFont="1" applyAlignment="1">
      <alignment horizontal="right"/>
    </xf>
    <xf numFmtId="0" fontId="18" fillId="0" borderId="49" xfId="0" applyFont="1" applyBorder="1" applyAlignment="1">
      <alignment horizontal="right" vertical="center"/>
    </xf>
    <xf numFmtId="0" fontId="15" fillId="0" borderId="41" xfId="0" applyFont="1" applyBorder="1" applyAlignment="1">
      <alignment vertical="center"/>
    </xf>
    <xf numFmtId="0" fontId="18" fillId="0" borderId="57" xfId="0" applyFont="1" applyBorder="1" applyAlignment="1">
      <alignment horizontal="right" vertical="center"/>
    </xf>
    <xf numFmtId="0" fontId="21" fillId="0" borderId="64" xfId="0" applyFont="1" applyBorder="1" applyAlignment="1">
      <alignment vertical="center"/>
    </xf>
    <xf numFmtId="0" fontId="30" fillId="0" borderId="8" xfId="0" applyFont="1" applyBorder="1" applyAlignment="1">
      <alignment horizontal="centerContinuous"/>
    </xf>
    <xf numFmtId="0" fontId="21" fillId="0" borderId="5" xfId="0" applyFont="1" applyBorder="1" applyAlignment="1">
      <alignment horizontal="centerContinuous"/>
    </xf>
    <xf numFmtId="0" fontId="21" fillId="0" borderId="16" xfId="0" applyFont="1" applyBorder="1" applyAlignment="1">
      <alignment horizontal="centerContinuous"/>
    </xf>
    <xf numFmtId="0" fontId="33" fillId="0" borderId="0" xfId="0" applyFont="1"/>
    <xf numFmtId="9" fontId="47" fillId="2" borderId="14" xfId="0" applyNumberFormat="1" applyFont="1" applyFill="1" applyBorder="1" applyAlignment="1" applyProtection="1">
      <alignment horizontal="center"/>
      <protection locked="0"/>
    </xf>
    <xf numFmtId="9" fontId="47" fillId="2" borderId="11" xfId="0" applyNumberFormat="1" applyFont="1" applyFill="1" applyBorder="1" applyAlignment="1" applyProtection="1">
      <alignment horizontal="center"/>
      <protection locked="0"/>
    </xf>
    <xf numFmtId="9" fontId="47" fillId="2" borderId="19" xfId="0" applyNumberFormat="1" applyFont="1" applyFill="1" applyBorder="1" applyAlignment="1" applyProtection="1">
      <alignment horizontal="center"/>
      <protection locked="0"/>
    </xf>
    <xf numFmtId="0" fontId="24" fillId="0" borderId="5" xfId="0" applyFont="1" applyBorder="1" applyAlignment="1">
      <alignment horizontal="centerContinuous" vertical="center"/>
    </xf>
    <xf numFmtId="0" fontId="24" fillId="0" borderId="16" xfId="0" applyFont="1" applyBorder="1" applyAlignment="1">
      <alignment horizontal="centerContinuous" vertical="center"/>
    </xf>
    <xf numFmtId="0" fontId="22" fillId="0" borderId="10" xfId="0" applyFont="1" applyBorder="1" applyAlignment="1">
      <alignment horizontal="centerContinuous"/>
    </xf>
    <xf numFmtId="0" fontId="24" fillId="0" borderId="42" xfId="0" applyFont="1" applyBorder="1" applyAlignment="1">
      <alignment horizontal="centerContinuous" vertical="center"/>
    </xf>
    <xf numFmtId="0" fontId="24" fillId="0" borderId="61" xfId="0" applyFont="1" applyBorder="1" applyAlignment="1">
      <alignment horizontal="centerContinuous" vertical="center"/>
    </xf>
    <xf numFmtId="0" fontId="22" fillId="0" borderId="9" xfId="0" applyFont="1" applyBorder="1" applyAlignment="1">
      <alignment horizontal="centerContinuous" vertical="center"/>
    </xf>
    <xf numFmtId="0" fontId="23" fillId="0" borderId="8" xfId="0" applyFont="1" applyBorder="1" applyAlignment="1">
      <alignment horizontal="centerContinuous" vertical="center"/>
    </xf>
    <xf numFmtId="0" fontId="23" fillId="0" borderId="49" xfId="0" applyFont="1" applyBorder="1" applyAlignment="1">
      <alignment horizontal="centerContinuous" vertical="center"/>
    </xf>
    <xf numFmtId="0" fontId="36" fillId="0" borderId="8" xfId="0" applyFont="1" applyBorder="1" applyAlignment="1">
      <alignment horizontal="centerContinuous" vertical="center"/>
    </xf>
    <xf numFmtId="0" fontId="21" fillId="0" borderId="0" xfId="0" applyFont="1" applyAlignment="1">
      <alignment horizontal="centerContinuous" vertical="center"/>
    </xf>
    <xf numFmtId="0" fontId="18" fillId="0" borderId="56" xfId="0" applyFont="1" applyBorder="1" applyAlignment="1" applyProtection="1">
      <alignment horizontal="centerContinuous" vertical="center"/>
    </xf>
    <xf numFmtId="232" fontId="22" fillId="0" borderId="38" xfId="0" applyNumberFormat="1" applyFont="1" applyBorder="1" applyAlignment="1" applyProtection="1">
      <alignment vertical="center"/>
    </xf>
    <xf numFmtId="0" fontId="16" fillId="0" borderId="0" xfId="0" applyFont="1" applyAlignment="1" applyProtection="1">
      <alignment horizontal="centerContinuous" vertical="center"/>
    </xf>
    <xf numFmtId="0" fontId="15" fillId="0" borderId="0" xfId="0" applyFont="1" applyAlignment="1">
      <alignment horizontal="centerContinuous" vertical="center"/>
    </xf>
    <xf numFmtId="0" fontId="34" fillId="0" borderId="0" xfId="0" applyFont="1" applyAlignment="1">
      <alignment horizontal="left"/>
    </xf>
    <xf numFmtId="0" fontId="21" fillId="0" borderId="0" xfId="0" applyFont="1" applyAlignment="1">
      <alignment horizontal="left"/>
    </xf>
    <xf numFmtId="0" fontId="18" fillId="0" borderId="0" xfId="0" applyFont="1" applyAlignment="1">
      <alignment horizontal="left"/>
    </xf>
    <xf numFmtId="0" fontId="15" fillId="0" borderId="0" xfId="0" applyFont="1" applyAlignment="1">
      <alignment horizontal="left"/>
    </xf>
    <xf numFmtId="0" fontId="15" fillId="0" borderId="0" xfId="0" applyFont="1" applyAlignment="1">
      <alignment horizontal="right"/>
    </xf>
    <xf numFmtId="0" fontId="23" fillId="0" borderId="0" xfId="0" applyFont="1" applyAlignment="1">
      <alignment vertical="center"/>
    </xf>
    <xf numFmtId="0" fontId="23" fillId="0" borderId="0" xfId="0" applyFont="1" applyAlignment="1">
      <alignment horizontal="centerContinuous"/>
    </xf>
    <xf numFmtId="0" fontId="23" fillId="0" borderId="0" xfId="0" applyFont="1"/>
    <xf numFmtId="0" fontId="54" fillId="0" borderId="0" xfId="0" applyFont="1" applyAlignment="1">
      <alignment horizontal="centerContinuous"/>
    </xf>
    <xf numFmtId="174" fontId="55" fillId="0" borderId="0" xfId="0" applyNumberFormat="1" applyFont="1" applyAlignment="1">
      <alignment horizontal="center" vertical="center"/>
    </xf>
    <xf numFmtId="175" fontId="34" fillId="0" borderId="0" xfId="0" applyNumberFormat="1" applyFont="1"/>
    <xf numFmtId="174" fontId="55" fillId="0" borderId="0" xfId="0" applyNumberFormat="1" applyFont="1" applyAlignment="1">
      <alignment vertical="center"/>
    </xf>
    <xf numFmtId="4" fontId="21" fillId="0" borderId="0" xfId="0" applyNumberFormat="1" applyFont="1"/>
    <xf numFmtId="3" fontId="15" fillId="0" borderId="0" xfId="0" applyNumberFormat="1" applyFont="1" applyAlignment="1">
      <alignment horizontal="left"/>
    </xf>
    <xf numFmtId="3" fontId="15" fillId="0" borderId="0" xfId="0" applyNumberFormat="1" applyFont="1" applyAlignment="1">
      <alignment horizontal="right"/>
    </xf>
    <xf numFmtId="0" fontId="51" fillId="0" borderId="0" xfId="0" applyFont="1" applyAlignment="1">
      <alignment horizontal="center"/>
    </xf>
    <xf numFmtId="0" fontId="21" fillId="0" borderId="5" xfId="0" applyFont="1" applyBorder="1" applyAlignment="1">
      <alignment horizontal="centerContinuous" vertical="center"/>
    </xf>
    <xf numFmtId="0" fontId="22" fillId="0" borderId="56" xfId="0" applyFont="1" applyBorder="1" applyAlignment="1">
      <alignment horizontal="left" vertical="center" indent="1"/>
    </xf>
    <xf numFmtId="0" fontId="22" fillId="0" borderId="8" xfId="0" applyFont="1" applyBorder="1" applyAlignment="1">
      <alignment horizontal="left" vertical="center" indent="1"/>
    </xf>
    <xf numFmtId="0" fontId="22" fillId="2" borderId="8" xfId="0" applyFont="1" applyFill="1" applyBorder="1" applyAlignment="1" applyProtection="1">
      <alignment horizontal="left" vertical="center" indent="1"/>
      <protection locked="0"/>
    </xf>
    <xf numFmtId="0" fontId="22" fillId="0" borderId="10" xfId="0" applyFont="1" applyBorder="1" applyAlignment="1">
      <alignment horizontal="left" vertical="center" indent="1"/>
    </xf>
    <xf numFmtId="0" fontId="39" fillId="0" borderId="56" xfId="0" applyFont="1" applyBorder="1"/>
    <xf numFmtId="0" fontId="18" fillId="0" borderId="21" xfId="0" applyFont="1" applyBorder="1" applyAlignment="1" applyProtection="1">
      <alignment horizontal="center"/>
      <protection locked="0"/>
    </xf>
    <xf numFmtId="9" fontId="47" fillId="0" borderId="3" xfId="0" applyNumberFormat="1" applyFont="1" applyBorder="1" applyAlignment="1" applyProtection="1">
      <alignment horizontal="center" vertical="center"/>
    </xf>
    <xf numFmtId="0" fontId="18" fillId="0" borderId="16" xfId="0" applyFont="1" applyBorder="1" applyAlignment="1">
      <alignment horizontal="centerContinuous"/>
    </xf>
    <xf numFmtId="0" fontId="24" fillId="0" borderId="0" xfId="0" applyFont="1" applyAlignment="1">
      <alignment horizontal="centerContinuous"/>
    </xf>
    <xf numFmtId="0" fontId="22" fillId="0" borderId="34" xfId="0" applyFont="1" applyBorder="1" applyAlignment="1">
      <alignment horizontal="centerContinuous" wrapText="1"/>
    </xf>
    <xf numFmtId="0" fontId="22" fillId="0" borderId="62" xfId="0" applyFont="1" applyBorder="1" applyAlignment="1">
      <alignment horizontal="centerContinuous"/>
    </xf>
    <xf numFmtId="0" fontId="22" fillId="0" borderId="0" xfId="0" applyFont="1" applyAlignment="1">
      <alignment horizontal="left" vertical="center" indent="1"/>
    </xf>
    <xf numFmtId="0" fontId="48" fillId="0" borderId="0" xfId="0" applyFont="1" applyAlignment="1">
      <alignment horizontal="centerContinuous" vertical="center"/>
    </xf>
    <xf numFmtId="0" fontId="47" fillId="0" borderId="0" xfId="0" applyFont="1" applyAlignment="1">
      <alignment horizontal="centerContinuous" vertical="center"/>
    </xf>
    <xf numFmtId="0" fontId="36" fillId="0" borderId="0" xfId="0" applyFont="1" applyAlignment="1">
      <alignment horizontal="centerContinuous"/>
    </xf>
    <xf numFmtId="0" fontId="21" fillId="0" borderId="0" xfId="0" applyFont="1" applyAlignment="1">
      <alignment horizontal="center"/>
    </xf>
    <xf numFmtId="0" fontId="21" fillId="0" borderId="8" xfId="0" applyFont="1" applyBorder="1" applyAlignment="1">
      <alignment horizontal="centerContinuous"/>
    </xf>
    <xf numFmtId="0" fontId="21" fillId="0" borderId="16" xfId="0" applyFont="1" applyBorder="1" applyAlignment="1">
      <alignment horizontal="centerContinuous" vertical="center"/>
    </xf>
    <xf numFmtId="0" fontId="21" fillId="0" borderId="37" xfId="0" applyFont="1" applyBorder="1" applyAlignment="1">
      <alignment horizontal="center" vertical="center"/>
    </xf>
    <xf numFmtId="0" fontId="21" fillId="0" borderId="25" xfId="0" applyFont="1" applyBorder="1" applyAlignment="1">
      <alignment horizontal="center" wrapText="1"/>
    </xf>
    <xf numFmtId="0" fontId="33" fillId="0" borderId="0" xfId="0" applyFont="1" applyAlignment="1">
      <alignment horizontal="center"/>
    </xf>
    <xf numFmtId="0" fontId="34" fillId="0" borderId="0" xfId="0" applyFont="1"/>
    <xf numFmtId="0" fontId="37" fillId="0" borderId="0" xfId="0" applyFont="1"/>
    <xf numFmtId="0" fontId="57" fillId="0" borderId="0" xfId="0" applyFont="1" applyAlignment="1">
      <alignment horizontal="center"/>
    </xf>
    <xf numFmtId="0" fontId="34" fillId="0" borderId="0" xfId="0" applyFont="1" applyAlignment="1">
      <alignment horizontal="center"/>
    </xf>
    <xf numFmtId="0" fontId="47" fillId="0" borderId="0" xfId="0" applyFont="1"/>
    <xf numFmtId="0" fontId="18" fillId="0" borderId="5" xfId="0" applyFont="1" applyBorder="1" applyAlignment="1">
      <alignment horizontal="centerContinuous" vertical="center"/>
    </xf>
    <xf numFmtId="0" fontId="18" fillId="0" borderId="8" xfId="0" applyFont="1" applyBorder="1" applyAlignment="1">
      <alignment horizontal="center" vertical="center"/>
    </xf>
    <xf numFmtId="0" fontId="21" fillId="0" borderId="26" xfId="0" applyFont="1" applyBorder="1" applyAlignment="1">
      <alignment vertical="center"/>
    </xf>
    <xf numFmtId="0" fontId="22" fillId="0" borderId="26" xfId="0" applyFont="1" applyBorder="1" applyAlignment="1">
      <alignment vertical="center"/>
    </xf>
    <xf numFmtId="0" fontId="18" fillId="0" borderId="20" xfId="0" applyFont="1" applyBorder="1" applyAlignment="1">
      <alignment horizontal="center" vertical="center"/>
    </xf>
    <xf numFmtId="0" fontId="24" fillId="0" borderId="22" xfId="0" applyFont="1" applyBorder="1" applyAlignment="1">
      <alignment horizontal="center" vertical="center"/>
    </xf>
    <xf numFmtId="0" fontId="21" fillId="0" borderId="48" xfId="0" applyFont="1" applyBorder="1" applyAlignment="1">
      <alignment horizontal="center" vertical="center"/>
    </xf>
    <xf numFmtId="0" fontId="21" fillId="0" borderId="22" xfId="0" applyFont="1" applyBorder="1" applyAlignment="1">
      <alignment horizontal="center" vertical="center"/>
    </xf>
    <xf numFmtId="0" fontId="18" fillId="0" borderId="0" xfId="0" applyFont="1" applyAlignment="1">
      <alignment vertical="center"/>
    </xf>
    <xf numFmtId="0" fontId="18" fillId="0" borderId="6" xfId="0" applyFont="1" applyBorder="1" applyAlignment="1">
      <alignment horizontal="center" vertical="center"/>
    </xf>
    <xf numFmtId="0" fontId="22" fillId="0" borderId="12" xfId="0" applyFont="1" applyBorder="1" applyAlignment="1">
      <alignment vertical="center"/>
    </xf>
    <xf numFmtId="0" fontId="18" fillId="0" borderId="23" xfId="0" applyFont="1" applyBorder="1" applyAlignment="1">
      <alignment horizontal="center" vertical="center"/>
    </xf>
    <xf numFmtId="0" fontId="24" fillId="0" borderId="24" xfId="0" applyFont="1" applyBorder="1" applyAlignment="1">
      <alignment horizontal="center" vertical="center"/>
    </xf>
    <xf numFmtId="0" fontId="21" fillId="0" borderId="23" xfId="0" applyFont="1" applyBorder="1" applyAlignment="1">
      <alignment horizontal="center" vertical="center"/>
    </xf>
    <xf numFmtId="0" fontId="21" fillId="0" borderId="24" xfId="0" applyFont="1" applyBorder="1" applyAlignment="1">
      <alignment horizontal="center" vertical="center"/>
    </xf>
    <xf numFmtId="0" fontId="18" fillId="0" borderId="34" xfId="0" applyFont="1" applyBorder="1" applyAlignment="1">
      <alignment horizontal="center" vertical="center"/>
    </xf>
    <xf numFmtId="0" fontId="24" fillId="0" borderId="3" xfId="0" applyFont="1" applyBorder="1" applyAlignment="1">
      <alignment horizontal="center" vertical="center"/>
    </xf>
    <xf numFmtId="0" fontId="15" fillId="0" borderId="0" xfId="0" applyFont="1" applyAlignment="1">
      <alignment vertical="center"/>
    </xf>
    <xf numFmtId="0" fontId="21" fillId="0" borderId="0" xfId="0" applyFont="1" applyAlignment="1">
      <alignment vertical="center"/>
    </xf>
    <xf numFmtId="0" fontId="21" fillId="0" borderId="56" xfId="0" applyFont="1" applyBorder="1" applyAlignment="1">
      <alignment vertical="center"/>
    </xf>
    <xf numFmtId="0" fontId="21" fillId="0" borderId="40" xfId="0" applyFont="1" applyBorder="1" applyAlignment="1">
      <alignment horizontal="right" vertical="center"/>
    </xf>
    <xf numFmtId="0" fontId="18" fillId="0" borderId="30" xfId="0" applyFont="1" applyBorder="1" applyAlignment="1">
      <alignment horizontal="center" vertical="center"/>
    </xf>
    <xf numFmtId="0" fontId="18" fillId="0" borderId="22" xfId="0" applyFont="1" applyBorder="1" applyAlignment="1">
      <alignment horizontal="center" vertical="center"/>
    </xf>
    <xf numFmtId="0" fontId="21" fillId="0" borderId="15" xfId="0" applyFont="1" applyBorder="1" applyAlignment="1">
      <alignment vertical="center"/>
    </xf>
    <xf numFmtId="0" fontId="21" fillId="0" borderId="62" xfId="0" applyFont="1" applyBorder="1" applyAlignment="1">
      <alignment vertical="center"/>
    </xf>
    <xf numFmtId="0" fontId="21" fillId="0" borderId="44" xfId="0" applyFont="1" applyBorder="1" applyAlignment="1">
      <alignment horizontal="right" vertical="center"/>
    </xf>
    <xf numFmtId="0" fontId="18" fillId="0" borderId="19" xfId="0" applyFont="1" applyBorder="1" applyAlignment="1">
      <alignment horizontal="center" vertical="center"/>
    </xf>
    <xf numFmtId="0" fontId="21" fillId="0" borderId="34" xfId="0" applyFont="1" applyBorder="1" applyAlignment="1">
      <alignment horizontal="center" vertical="center"/>
    </xf>
    <xf numFmtId="0" fontId="21" fillId="0" borderId="3" xfId="0" applyFont="1" applyBorder="1" applyAlignment="1">
      <alignment horizontal="center" vertical="center"/>
    </xf>
    <xf numFmtId="0" fontId="18" fillId="0" borderId="5" xfId="0" applyFont="1" applyBorder="1" applyAlignment="1" applyProtection="1">
      <alignment horizontal="left" indent="1"/>
    </xf>
    <xf numFmtId="232" fontId="22" fillId="0" borderId="19" xfId="0" applyNumberFormat="1" applyFont="1" applyBorder="1" applyAlignment="1" applyProtection="1">
      <alignment vertical="center"/>
    </xf>
    <xf numFmtId="0" fontId="28" fillId="0" borderId="88" xfId="0" applyFont="1" applyBorder="1" applyAlignment="1" applyProtection="1">
      <alignment horizontal="centerContinuous" vertical="center" wrapText="1"/>
    </xf>
    <xf numFmtId="0" fontId="28" fillId="0" borderId="89" xfId="0" applyFont="1" applyBorder="1" applyAlignment="1" applyProtection="1">
      <alignment horizontal="centerContinuous" vertical="center" wrapText="1"/>
    </xf>
    <xf numFmtId="10" fontId="22" fillId="2" borderId="12" xfId="0" applyNumberFormat="1" applyFont="1" applyFill="1" applyBorder="1" applyAlignment="1" applyProtection="1">
      <alignment horizontal="center" vertical="center"/>
      <protection locked="0"/>
    </xf>
    <xf numFmtId="3" fontId="22" fillId="2" borderId="12" xfId="0" applyNumberFormat="1" applyFont="1" applyFill="1" applyBorder="1" applyAlignment="1" applyProtection="1">
      <alignment horizontal="center" vertical="center"/>
      <protection locked="0"/>
    </xf>
    <xf numFmtId="0" fontId="22" fillId="0" borderId="67" xfId="0" applyFont="1" applyBorder="1" applyProtection="1"/>
    <xf numFmtId="10" fontId="22" fillId="2" borderId="43" xfId="0" applyNumberFormat="1" applyFont="1" applyFill="1" applyBorder="1" applyAlignment="1" applyProtection="1">
      <alignment horizontal="center" vertical="center"/>
      <protection locked="0"/>
    </xf>
    <xf numFmtId="0" fontId="22" fillId="0" borderId="43" xfId="0" applyFont="1" applyBorder="1" applyAlignment="1" applyProtection="1">
      <alignment vertical="center"/>
    </xf>
    <xf numFmtId="3" fontId="22" fillId="2" borderId="43" xfId="0" applyNumberFormat="1" applyFont="1" applyFill="1" applyBorder="1" applyAlignment="1" applyProtection="1">
      <alignment horizontal="center" vertical="center"/>
      <protection locked="0"/>
    </xf>
    <xf numFmtId="0" fontId="22" fillId="0" borderId="70" xfId="0" applyFont="1" applyBorder="1" applyProtection="1"/>
    <xf numFmtId="10" fontId="22" fillId="2" borderId="11" xfId="0" applyNumberFormat="1" applyFont="1" applyFill="1" applyBorder="1" applyAlignment="1" applyProtection="1">
      <alignment horizontal="center" vertical="center"/>
      <protection locked="0"/>
    </xf>
    <xf numFmtId="3" fontId="22" fillId="2" borderId="11" xfId="0" applyNumberFormat="1" applyFont="1" applyFill="1" applyBorder="1" applyAlignment="1" applyProtection="1">
      <alignment horizontal="center" vertical="center"/>
      <protection locked="0"/>
    </xf>
    <xf numFmtId="0" fontId="22" fillId="0" borderId="38" xfId="0" applyFont="1" applyBorder="1" applyProtection="1"/>
    <xf numFmtId="234" fontId="22" fillId="0" borderId="19" xfId="4" applyNumberFormat="1" applyFont="1" applyFill="1" applyBorder="1" applyAlignment="1" applyProtection="1">
      <alignment vertical="center"/>
    </xf>
    <xf numFmtId="234" fontId="22" fillId="0" borderId="62" xfId="4" applyNumberFormat="1" applyFont="1" applyFill="1" applyBorder="1" applyAlignment="1" applyProtection="1">
      <alignment vertical="center"/>
    </xf>
    <xf numFmtId="235" fontId="18" fillId="0" borderId="11" xfId="4" applyNumberFormat="1" applyFont="1" applyFill="1" applyBorder="1" applyAlignment="1" applyProtection="1"/>
    <xf numFmtId="234" fontId="22" fillId="0" borderId="11" xfId="4" applyNumberFormat="1" applyFont="1" applyFill="1" applyBorder="1" applyProtection="1"/>
    <xf numFmtId="235" fontId="18" fillId="0" borderId="18" xfId="4" applyNumberFormat="1" applyFont="1" applyFill="1" applyBorder="1" applyAlignment="1" applyProtection="1"/>
    <xf numFmtId="234" fontId="22" fillId="0" borderId="19" xfId="4" applyNumberFormat="1" applyFont="1" applyFill="1" applyBorder="1" applyProtection="1"/>
    <xf numFmtId="0" fontId="47" fillId="0" borderId="0" xfId="0" applyFont="1" applyAlignment="1" applyProtection="1">
      <alignment vertical="center"/>
    </xf>
    <xf numFmtId="0" fontId="22" fillId="0" borderId="56" xfId="0" applyFont="1" applyBorder="1" applyAlignment="1">
      <alignment vertical="center"/>
    </xf>
    <xf numFmtId="0" fontId="22" fillId="0" borderId="40" xfId="0" applyFont="1" applyBorder="1" applyAlignment="1">
      <alignment vertical="center"/>
    </xf>
    <xf numFmtId="0" fontId="22" fillId="0" borderId="15" xfId="0" applyFont="1" applyBorder="1" applyAlignment="1">
      <alignment vertical="center"/>
    </xf>
    <xf numFmtId="0" fontId="22" fillId="0" borderId="62" xfId="0" applyFont="1" applyBorder="1" applyAlignment="1">
      <alignment vertical="center"/>
    </xf>
    <xf numFmtId="0" fontId="22" fillId="0" borderId="44" xfId="0" applyFont="1" applyBorder="1" applyAlignment="1">
      <alignment vertical="center"/>
    </xf>
    <xf numFmtId="0" fontId="18" fillId="0" borderId="26" xfId="0" applyFont="1" applyBorder="1" applyAlignment="1">
      <alignment horizontal="left" vertical="center" indent="1"/>
    </xf>
    <xf numFmtId="0" fontId="42" fillId="0" borderId="62" xfId="0" applyFont="1" applyBorder="1" applyAlignment="1">
      <alignment horizontal="left" vertical="center" indent="1"/>
    </xf>
    <xf numFmtId="0" fontId="22" fillId="0" borderId="49" xfId="0" applyFont="1" applyBorder="1" applyAlignment="1">
      <alignment vertical="center"/>
    </xf>
    <xf numFmtId="0" fontId="23" fillId="0" borderId="61" xfId="0" applyFont="1" applyBorder="1" applyAlignment="1">
      <alignment horizontal="right" vertical="center"/>
    </xf>
    <xf numFmtId="0" fontId="22" fillId="0" borderId="61" xfId="0" applyFont="1" applyBorder="1" applyAlignment="1">
      <alignment vertical="center"/>
    </xf>
    <xf numFmtId="0" fontId="22" fillId="0" borderId="42" xfId="0" applyFont="1" applyBorder="1" applyAlignment="1">
      <alignment vertical="center"/>
    </xf>
    <xf numFmtId="200" fontId="39" fillId="0" borderId="18" xfId="0" applyNumberFormat="1" applyFont="1" applyBorder="1" applyAlignment="1">
      <alignment vertical="center"/>
    </xf>
    <xf numFmtId="200" fontId="39" fillId="0" borderId="61" xfId="0" applyNumberFormat="1" applyFont="1" applyBorder="1" applyAlignment="1">
      <alignment vertical="center"/>
    </xf>
    <xf numFmtId="0" fontId="22" fillId="0" borderId="57" xfId="0" applyFont="1" applyBorder="1" applyAlignment="1">
      <alignment vertical="center"/>
    </xf>
    <xf numFmtId="200" fontId="39" fillId="0" borderId="17" xfId="0" applyNumberFormat="1" applyFont="1" applyBorder="1" applyAlignment="1">
      <alignment vertical="center"/>
    </xf>
    <xf numFmtId="200" fontId="39" fillId="0" borderId="64" xfId="0" applyNumberFormat="1" applyFont="1" applyBorder="1" applyAlignment="1">
      <alignment vertical="center"/>
    </xf>
    <xf numFmtId="0" fontId="22" fillId="0" borderId="64" xfId="0" applyFont="1" applyBorder="1" applyAlignment="1">
      <alignment vertical="center"/>
    </xf>
    <xf numFmtId="0" fontId="22" fillId="0" borderId="90" xfId="0" applyFont="1" applyBorder="1" applyAlignment="1">
      <alignment vertical="center"/>
    </xf>
    <xf numFmtId="2" fontId="18" fillId="0" borderId="18" xfId="0" applyNumberFormat="1" applyFont="1" applyBorder="1" applyAlignment="1">
      <alignment horizontal="center" vertical="center"/>
    </xf>
    <xf numFmtId="2" fontId="18" fillId="0" borderId="61" xfId="0" applyNumberFormat="1" applyFont="1" applyBorder="1" applyAlignment="1">
      <alignment horizontal="center" vertical="center"/>
    </xf>
    <xf numFmtId="0" fontId="23" fillId="0" borderId="64" xfId="0" applyFont="1" applyBorder="1" applyAlignment="1">
      <alignment horizontal="right" vertical="center"/>
    </xf>
    <xf numFmtId="2" fontId="18" fillId="0" borderId="17" xfId="0" applyNumberFormat="1" applyFont="1" applyBorder="1" applyAlignment="1">
      <alignment horizontal="center" vertical="center"/>
    </xf>
    <xf numFmtId="2" fontId="18" fillId="0" borderId="64" xfId="0" applyNumberFormat="1" applyFont="1" applyBorder="1" applyAlignment="1">
      <alignment horizontal="center" vertical="center"/>
    </xf>
    <xf numFmtId="0" fontId="18" fillId="0" borderId="57" xfId="0" quotePrefix="1" applyFont="1" applyBorder="1" applyAlignment="1">
      <alignment vertical="center"/>
    </xf>
    <xf numFmtId="3" fontId="24" fillId="0" borderId="0" xfId="0" applyNumberFormat="1" applyFont="1" applyAlignment="1">
      <alignment vertical="center"/>
    </xf>
    <xf numFmtId="3" fontId="21" fillId="0" borderId="0" xfId="0" applyNumberFormat="1" applyFont="1" applyAlignment="1">
      <alignment vertical="center"/>
    </xf>
    <xf numFmtId="0" fontId="22" fillId="0" borderId="61" xfId="0" applyFont="1" applyBorder="1" applyAlignment="1">
      <alignment horizontal="left" vertical="center" indent="1"/>
    </xf>
    <xf numFmtId="0" fontId="39" fillId="0" borderId="61" xfId="0" applyFont="1" applyBorder="1" applyAlignment="1">
      <alignment horizontal="left" vertical="center" indent="1"/>
    </xf>
    <xf numFmtId="0" fontId="39" fillId="0" borderId="62" xfId="0" applyFont="1" applyBorder="1" applyAlignment="1">
      <alignment horizontal="left" vertical="center" indent="1"/>
    </xf>
    <xf numFmtId="0" fontId="22" fillId="0" borderId="0" xfId="0" applyFont="1" applyAlignment="1">
      <alignment horizontal="left"/>
    </xf>
    <xf numFmtId="3" fontId="15" fillId="0" borderId="13" xfId="0" applyNumberFormat="1" applyFont="1" applyBorder="1" applyAlignment="1" applyProtection="1">
      <alignment horizontal="centerContinuous" vertical="center"/>
    </xf>
    <xf numFmtId="3" fontId="22" fillId="0" borderId="11" xfId="0" applyNumberFormat="1" applyFont="1" applyBorder="1" applyAlignment="1" applyProtection="1">
      <alignment horizontal="left" vertical="center" indent="4"/>
    </xf>
    <xf numFmtId="10" fontId="22" fillId="0" borderId="11" xfId="0" applyNumberFormat="1" applyFont="1" applyBorder="1" applyAlignment="1" applyProtection="1">
      <alignment horizontal="center"/>
      <protection locked="0"/>
    </xf>
    <xf numFmtId="3" fontId="22" fillId="0" borderId="11" xfId="0" applyNumberFormat="1" applyFont="1" applyBorder="1" applyAlignment="1" applyProtection="1">
      <alignment horizontal="center"/>
      <protection locked="0"/>
    </xf>
    <xf numFmtId="3" fontId="18" fillId="0" borderId="8" xfId="0" applyNumberFormat="1" applyFont="1" applyBorder="1" applyAlignment="1" applyProtection="1">
      <alignment horizontal="centerContinuous" vertical="center"/>
    </xf>
    <xf numFmtId="235" fontId="22" fillId="0" borderId="14" xfId="4" applyNumberFormat="1" applyFont="1" applyFill="1" applyBorder="1" applyAlignment="1" applyProtection="1">
      <alignment vertical="center"/>
      <protection locked="0"/>
    </xf>
    <xf numFmtId="3" fontId="22" fillId="0" borderId="14" xfId="0" applyNumberFormat="1" applyFont="1" applyBorder="1" applyAlignment="1" applyProtection="1">
      <alignment horizontal="left" vertical="center" indent="1"/>
    </xf>
    <xf numFmtId="241" fontId="22" fillId="0" borderId="10" xfId="0" applyNumberFormat="1" applyFont="1" applyBorder="1" applyAlignment="1" applyProtection="1">
      <alignment horizontal="right" vertical="center"/>
    </xf>
    <xf numFmtId="3" fontId="22" fillId="0" borderId="10" xfId="0" applyNumberFormat="1" applyFont="1" applyBorder="1" applyAlignment="1" applyProtection="1">
      <alignment horizontal="right" indent="1"/>
    </xf>
    <xf numFmtId="242" fontId="22" fillId="0" borderId="10" xfId="0" applyNumberFormat="1" applyFont="1" applyBorder="1" applyAlignment="1" applyProtection="1">
      <alignment horizontal="right" vertical="center"/>
    </xf>
    <xf numFmtId="3" fontId="23" fillId="0" borderId="8" xfId="0" applyNumberFormat="1" applyFont="1" applyBorder="1" applyAlignment="1" applyProtection="1">
      <alignment horizontal="centerContinuous" vertical="center" wrapText="1"/>
    </xf>
    <xf numFmtId="3" fontId="23" fillId="0" borderId="10" xfId="0" applyNumberFormat="1" applyFont="1" applyBorder="1" applyAlignment="1" applyProtection="1">
      <alignment horizontal="centerContinuous" vertical="center" wrapText="1"/>
    </xf>
    <xf numFmtId="207" fontId="22" fillId="0" borderId="23" xfId="0" applyNumberFormat="1" applyFont="1" applyBorder="1" applyAlignment="1" applyProtection="1">
      <alignment vertical="center"/>
    </xf>
    <xf numFmtId="207" fontId="22" fillId="0" borderId="34" xfId="0" applyNumberFormat="1" applyFont="1" applyBorder="1" applyAlignment="1" applyProtection="1">
      <alignment vertical="center"/>
    </xf>
    <xf numFmtId="207" fontId="22" fillId="0" borderId="35" xfId="0" applyNumberFormat="1" applyFont="1" applyBorder="1" applyAlignment="1" applyProtection="1">
      <alignment vertical="center"/>
    </xf>
    <xf numFmtId="207" fontId="22" fillId="0" borderId="3" xfId="0" applyNumberFormat="1" applyFont="1" applyBorder="1" applyAlignment="1" applyProtection="1">
      <alignment vertical="center"/>
    </xf>
    <xf numFmtId="232" fontId="22" fillId="0" borderId="67" xfId="0" applyNumberFormat="1" applyFont="1" applyBorder="1" applyAlignment="1" applyProtection="1">
      <alignment vertical="center"/>
    </xf>
    <xf numFmtId="232" fontId="22" fillId="0" borderId="14" xfId="0" applyNumberFormat="1" applyFont="1" applyBorder="1" applyAlignment="1" applyProtection="1">
      <alignment vertical="center"/>
    </xf>
    <xf numFmtId="232" fontId="22" fillId="0" borderId="77" xfId="0" applyNumberFormat="1" applyFont="1" applyBorder="1" applyAlignment="1" applyProtection="1">
      <alignment vertical="center"/>
    </xf>
    <xf numFmtId="0" fontId="18" fillId="0" borderId="8" xfId="0" applyFont="1" applyBorder="1" applyAlignment="1">
      <alignment vertical="center"/>
    </xf>
    <xf numFmtId="0" fontId="18" fillId="3" borderId="10" xfId="0" applyFont="1" applyFill="1" applyBorder="1" applyAlignment="1" applyProtection="1">
      <alignment horizontal="center" vertical="center"/>
      <protection locked="0"/>
    </xf>
    <xf numFmtId="226" fontId="24" fillId="0" borderId="1" xfId="0" applyNumberFormat="1" applyFont="1" applyBorder="1" applyProtection="1">
      <protection locked="0"/>
    </xf>
    <xf numFmtId="226" fontId="24" fillId="0" borderId="50" xfId="0" applyNumberFormat="1" applyFont="1" applyBorder="1" applyProtection="1">
      <protection locked="0"/>
    </xf>
    <xf numFmtId="0" fontId="22" fillId="0" borderId="25" xfId="0" applyFont="1" applyBorder="1" applyAlignment="1">
      <alignment horizontal="centerContinuous"/>
    </xf>
    <xf numFmtId="2" fontId="22" fillId="0" borderId="24" xfId="0" applyNumberFormat="1" applyFont="1" applyBorder="1" applyAlignment="1">
      <alignment horizontal="center"/>
    </xf>
    <xf numFmtId="2" fontId="22" fillId="0" borderId="3" xfId="0" applyNumberFormat="1" applyFont="1" applyBorder="1" applyAlignment="1">
      <alignment horizontal="center"/>
    </xf>
    <xf numFmtId="0" fontId="36" fillId="0" borderId="0" xfId="0" applyFont="1" applyAlignment="1" applyProtection="1">
      <alignment horizontal="centerContinuous"/>
    </xf>
    <xf numFmtId="0" fontId="39" fillId="0" borderId="0" xfId="0" applyFont="1" applyAlignment="1">
      <alignment vertical="center"/>
    </xf>
    <xf numFmtId="0" fontId="39" fillId="0" borderId="0" xfId="0" applyFont="1"/>
    <xf numFmtId="0" fontId="39" fillId="0" borderId="12" xfId="0" applyFont="1" applyBorder="1"/>
    <xf numFmtId="0" fontId="39" fillId="0" borderId="0" xfId="0" applyFont="1" applyAlignment="1">
      <alignment horizontal="left" indent="1"/>
    </xf>
    <xf numFmtId="0" fontId="39" fillId="0" borderId="0" xfId="0" applyFont="1" applyAlignment="1" applyProtection="1">
      <alignment horizontal="left" indent="2"/>
    </xf>
    <xf numFmtId="3" fontId="39" fillId="0" borderId="0" xfId="0" applyNumberFormat="1" applyFont="1"/>
    <xf numFmtId="190" fontId="22" fillId="0" borderId="1" xfId="0" applyNumberFormat="1" applyFont="1" applyBorder="1"/>
    <xf numFmtId="0" fontId="39" fillId="0" borderId="1" xfId="0" applyFont="1" applyBorder="1"/>
    <xf numFmtId="190" fontId="22" fillId="0" borderId="24" xfId="0" applyNumberFormat="1" applyFont="1" applyBorder="1"/>
    <xf numFmtId="3" fontId="22" fillId="0" borderId="1" xfId="0" applyNumberFormat="1" applyFont="1" applyBorder="1"/>
    <xf numFmtId="3" fontId="22" fillId="0" borderId="24" xfId="0" applyNumberFormat="1" applyFont="1" applyBorder="1"/>
    <xf numFmtId="0" fontId="39" fillId="0" borderId="23" xfId="0" applyFont="1" applyBorder="1" applyAlignment="1">
      <alignment horizontal="right" vertical="center" indent="2"/>
    </xf>
    <xf numFmtId="0" fontId="39" fillId="0" borderId="34" xfId="0" applyFont="1" applyBorder="1" applyAlignment="1">
      <alignment horizontal="right" vertical="center" indent="2"/>
    </xf>
    <xf numFmtId="0" fontId="47" fillId="0" borderId="37" xfId="0" applyFont="1" applyBorder="1" applyAlignment="1">
      <alignment horizontal="centerContinuous"/>
    </xf>
    <xf numFmtId="0" fontId="22" fillId="0" borderId="37" xfId="0" applyFont="1" applyBorder="1" applyAlignment="1">
      <alignment horizontal="centerContinuous"/>
    </xf>
    <xf numFmtId="0" fontId="22" fillId="0" borderId="58" xfId="0" applyFont="1" applyBorder="1" applyAlignment="1">
      <alignment horizontal="center"/>
    </xf>
    <xf numFmtId="0" fontId="22" fillId="0" borderId="32" xfId="0" applyFont="1" applyBorder="1" applyAlignment="1">
      <alignment horizontal="center"/>
    </xf>
    <xf numFmtId="0" fontId="51" fillId="0" borderId="23" xfId="0" applyFont="1" applyBorder="1" applyAlignment="1">
      <alignment horizontal="center"/>
    </xf>
    <xf numFmtId="0" fontId="51" fillId="0" borderId="34" xfId="0" applyFont="1" applyBorder="1" applyAlignment="1">
      <alignment horizontal="center"/>
    </xf>
    <xf numFmtId="0" fontId="22" fillId="0" borderId="56" xfId="0" applyFont="1" applyBorder="1" applyAlignment="1">
      <alignment horizontal="centerContinuous"/>
    </xf>
    <xf numFmtId="0" fontId="51" fillId="0" borderId="20" xfId="0" applyFont="1" applyBorder="1" applyAlignment="1">
      <alignment horizontal="center"/>
    </xf>
    <xf numFmtId="199" fontId="51" fillId="0" borderId="22" xfId="0" applyNumberFormat="1" applyFont="1" applyBorder="1" applyAlignment="1">
      <alignment horizontal="center"/>
    </xf>
    <xf numFmtId="199" fontId="51" fillId="0" borderId="24" xfId="0" applyNumberFormat="1" applyFont="1" applyBorder="1" applyAlignment="1">
      <alignment horizontal="center"/>
    </xf>
    <xf numFmtId="200" fontId="18" fillId="0" borderId="18" xfId="0" applyNumberFormat="1" applyFont="1" applyBorder="1" applyProtection="1"/>
    <xf numFmtId="0" fontId="22" fillId="0" borderId="50" xfId="0" applyFont="1" applyBorder="1" applyAlignment="1" applyProtection="1">
      <alignment vertical="center"/>
    </xf>
    <xf numFmtId="2" fontId="18" fillId="0" borderId="1" xfId="6" applyNumberFormat="1" applyFont="1" applyFill="1" applyBorder="1" applyAlignment="1" applyProtection="1">
      <alignment horizontal="center" vertical="center"/>
    </xf>
    <xf numFmtId="9" fontId="22" fillId="0" borderId="51" xfId="6" applyFont="1" applyFill="1" applyBorder="1" applyAlignment="1" applyProtection="1">
      <alignment horizontal="right" vertical="center" indent="1"/>
    </xf>
    <xf numFmtId="3" fontId="22" fillId="0" borderId="18" xfId="0" applyNumberFormat="1" applyFont="1" applyBorder="1" applyAlignment="1" applyProtection="1">
      <alignment horizontal="left" vertical="center" indent="4"/>
    </xf>
    <xf numFmtId="3" fontId="22" fillId="0" borderId="19" xfId="0" applyNumberFormat="1" applyFont="1" applyBorder="1" applyAlignment="1" applyProtection="1">
      <alignment horizontal="left" vertical="center" indent="4"/>
    </xf>
    <xf numFmtId="240" fontId="22" fillId="0" borderId="12" xfId="0" applyNumberFormat="1" applyFont="1" applyBorder="1" applyAlignment="1" applyProtection="1">
      <alignment horizontal="right" vertical="center"/>
    </xf>
    <xf numFmtId="240" fontId="22" fillId="0" borderId="11" xfId="0" applyNumberFormat="1" applyFont="1" applyBorder="1" applyAlignment="1" applyProtection="1">
      <alignment horizontal="right" vertical="center"/>
    </xf>
    <xf numFmtId="3" fontId="18" fillId="0" borderId="19" xfId="0" applyNumberFormat="1" applyFont="1" applyBorder="1" applyAlignment="1" applyProtection="1">
      <alignment horizontal="right" indent="2"/>
    </xf>
    <xf numFmtId="0" fontId="39" fillId="0" borderId="0" xfId="0" applyFont="1" applyAlignment="1" applyProtection="1">
      <alignment horizontal="left" indent="1"/>
    </xf>
    <xf numFmtId="0" fontId="39" fillId="0" borderId="0" xfId="0" applyFont="1" applyAlignment="1" applyProtection="1">
      <alignment horizontal="left" vertical="center" indent="3"/>
    </xf>
    <xf numFmtId="240" fontId="22" fillId="2" borderId="17" xfId="0" applyNumberFormat="1" applyFont="1" applyFill="1" applyBorder="1" applyAlignment="1" applyProtection="1">
      <alignment vertical="center"/>
      <protection locked="0"/>
    </xf>
    <xf numFmtId="200" fontId="24" fillId="0" borderId="39" xfId="0" applyNumberFormat="1" applyFont="1" applyBorder="1"/>
    <xf numFmtId="200" fontId="24" fillId="0" borderId="36" xfId="0" applyNumberFormat="1" applyFont="1" applyBorder="1"/>
    <xf numFmtId="200" fontId="24" fillId="0" borderId="72" xfId="0" applyNumberFormat="1" applyFont="1" applyBorder="1"/>
    <xf numFmtId="200" fontId="21" fillId="0" borderId="14" xfId="0" applyNumberFormat="1" applyFont="1" applyBorder="1"/>
    <xf numFmtId="0" fontId="22" fillId="0" borderId="0" xfId="0" quotePrefix="1" applyFont="1"/>
    <xf numFmtId="165" fontId="51" fillId="0" borderId="0" xfId="0" applyNumberFormat="1" applyFont="1"/>
    <xf numFmtId="0" fontId="29" fillId="0" borderId="0" xfId="0" applyFont="1" applyAlignment="1" applyProtection="1">
      <alignment horizontal="centerContinuous"/>
    </xf>
    <xf numFmtId="0" fontId="29" fillId="0" borderId="0" xfId="0" applyFont="1" applyAlignment="1">
      <alignment horizontal="centerContinuous"/>
    </xf>
    <xf numFmtId="0" fontId="29" fillId="0" borderId="0" xfId="0" applyFont="1"/>
    <xf numFmtId="0" fontId="28" fillId="0" borderId="0" xfId="0" applyFont="1" applyAlignment="1" applyProtection="1">
      <alignment horizontal="centerContinuous"/>
    </xf>
    <xf numFmtId="3" fontId="39" fillId="0" borderId="11" xfId="0" applyNumberFormat="1" applyFont="1" applyBorder="1" applyAlignment="1">
      <alignment horizontal="left" indent="3"/>
    </xf>
    <xf numFmtId="3" fontId="16" fillId="0" borderId="0" xfId="0" applyNumberFormat="1" applyFont="1"/>
    <xf numFmtId="3" fontId="21" fillId="0" borderId="0" xfId="0" applyNumberFormat="1" applyFont="1" applyAlignment="1">
      <alignment horizontal="center" vertical="center"/>
    </xf>
    <xf numFmtId="196" fontId="24" fillId="0" borderId="22" xfId="6" applyNumberFormat="1" applyFont="1" applyFill="1" applyBorder="1" applyProtection="1"/>
    <xf numFmtId="196" fontId="24" fillId="0" borderId="24" xfId="6" applyNumberFormat="1" applyFont="1" applyFill="1" applyBorder="1" applyProtection="1"/>
    <xf numFmtId="3" fontId="26" fillId="0" borderId="0" xfId="0" applyNumberFormat="1" applyFont="1" applyAlignment="1">
      <alignment horizontal="left" indent="1"/>
    </xf>
    <xf numFmtId="3" fontId="39" fillId="0" borderId="0" xfId="0" applyNumberFormat="1" applyFont="1" applyAlignment="1">
      <alignment vertical="center"/>
    </xf>
    <xf numFmtId="3" fontId="39" fillId="0" borderId="17" xfId="0" applyNumberFormat="1" applyFont="1" applyBorder="1" applyAlignment="1">
      <alignment horizontal="center" vertical="center"/>
    </xf>
    <xf numFmtId="3" fontId="39" fillId="0" borderId="86" xfId="0" applyNumberFormat="1" applyFont="1" applyBorder="1" applyAlignment="1">
      <alignment horizontal="center" vertical="center"/>
    </xf>
    <xf numFmtId="3" fontId="39" fillId="0" borderId="90" xfId="0" applyNumberFormat="1" applyFont="1" applyBorder="1" applyAlignment="1">
      <alignment horizontal="center" vertical="center"/>
    </xf>
    <xf numFmtId="3" fontId="39" fillId="0" borderId="65" xfId="0" applyNumberFormat="1" applyFont="1" applyBorder="1" applyAlignment="1">
      <alignment horizontal="center" vertical="center"/>
    </xf>
    <xf numFmtId="3" fontId="39" fillId="0" borderId="64" xfId="0" applyNumberFormat="1" applyFont="1" applyBorder="1" applyAlignment="1">
      <alignment horizontal="center" vertical="center"/>
    </xf>
    <xf numFmtId="3" fontId="22" fillId="0" borderId="6" xfId="0" applyNumberFormat="1" applyFont="1" applyBorder="1" applyAlignment="1" applyProtection="1">
      <alignment horizontal="left" vertical="center" indent="3"/>
    </xf>
    <xf numFmtId="3" fontId="22" fillId="0" borderId="49" xfId="0" applyNumberFormat="1" applyFont="1" applyBorder="1" applyAlignment="1" applyProtection="1">
      <alignment horizontal="left" vertical="center" indent="3"/>
    </xf>
    <xf numFmtId="3" fontId="58" fillId="0" borderId="0" xfId="0" applyNumberFormat="1" applyFont="1" applyAlignment="1" applyProtection="1">
      <alignment horizontal="center"/>
    </xf>
    <xf numFmtId="3" fontId="59" fillId="0" borderId="0" xfId="0" applyNumberFormat="1" applyFont="1" applyAlignment="1" applyProtection="1">
      <alignment horizontal="center"/>
    </xf>
    <xf numFmtId="3" fontId="28" fillId="0" borderId="0" xfId="0" applyNumberFormat="1" applyFont="1" applyAlignment="1" applyProtection="1">
      <alignment horizontal="left"/>
    </xf>
    <xf numFmtId="3" fontId="39" fillId="0" borderId="6" xfId="0" applyNumberFormat="1" applyFont="1" applyBorder="1" applyAlignment="1" applyProtection="1">
      <alignment horizontal="left" indent="2"/>
    </xf>
    <xf numFmtId="3" fontId="39" fillId="0" borderId="6" xfId="0" applyNumberFormat="1" applyFont="1" applyBorder="1" applyAlignment="1" applyProtection="1">
      <alignment horizontal="left" vertical="center" indent="2"/>
    </xf>
    <xf numFmtId="3" fontId="39" fillId="0" borderId="7" xfId="0" applyNumberFormat="1" applyFont="1" applyBorder="1" applyAlignment="1" applyProtection="1">
      <alignment horizontal="left" vertical="center" indent="2"/>
    </xf>
    <xf numFmtId="3" fontId="23" fillId="0" borderId="6" xfId="0" applyNumberFormat="1" applyFont="1" applyBorder="1" applyAlignment="1" applyProtection="1">
      <alignment horizontal="left" vertical="center" indent="2"/>
    </xf>
    <xf numFmtId="3" fontId="23" fillId="0" borderId="15" xfId="0" applyNumberFormat="1" applyFont="1" applyBorder="1" applyAlignment="1" applyProtection="1">
      <alignment horizontal="left" vertical="center" indent="2"/>
    </xf>
    <xf numFmtId="217" fontId="39" fillId="0" borderId="4" xfId="6" applyNumberFormat="1" applyFont="1" applyBorder="1" applyAlignment="1" applyProtection="1">
      <alignment vertical="center"/>
    </xf>
    <xf numFmtId="169" fontId="23" fillId="0" borderId="54" xfId="0" applyNumberFormat="1" applyFont="1" applyBorder="1" applyAlignment="1" applyProtection="1">
      <alignment vertical="center"/>
    </xf>
    <xf numFmtId="217" fontId="39" fillId="0" borderId="2" xfId="6" applyNumberFormat="1" applyFont="1" applyBorder="1" applyAlignment="1" applyProtection="1">
      <alignment vertical="center"/>
    </xf>
    <xf numFmtId="217" fontId="23" fillId="0" borderId="55" xfId="0" applyNumberFormat="1" applyFont="1" applyBorder="1" applyAlignment="1" applyProtection="1">
      <alignment vertical="center"/>
    </xf>
    <xf numFmtId="169" fontId="23" fillId="0" borderId="48" xfId="0" applyNumberFormat="1" applyFont="1" applyBorder="1" applyAlignment="1" applyProtection="1">
      <alignment vertical="center"/>
    </xf>
    <xf numFmtId="217" fontId="39" fillId="0" borderId="4" xfId="0" applyNumberFormat="1" applyFont="1" applyBorder="1" applyAlignment="1" applyProtection="1">
      <alignment vertical="center"/>
    </xf>
    <xf numFmtId="217" fontId="39" fillId="0" borderId="55" xfId="0" applyNumberFormat="1" applyFont="1" applyBorder="1" applyAlignment="1" applyProtection="1">
      <alignment vertical="center"/>
    </xf>
    <xf numFmtId="169" fontId="23" fillId="0" borderId="23" xfId="0" applyNumberFormat="1" applyFont="1" applyBorder="1" applyProtection="1"/>
    <xf numFmtId="217" fontId="23" fillId="0" borderId="24" xfId="6" applyNumberFormat="1" applyFont="1" applyBorder="1" applyProtection="1"/>
    <xf numFmtId="169" fontId="23" fillId="0" borderId="51" xfId="0" applyNumberFormat="1" applyFont="1" applyBorder="1" applyProtection="1"/>
    <xf numFmtId="217" fontId="23" fillId="0" borderId="1" xfId="6" applyNumberFormat="1" applyFont="1" applyBorder="1" applyProtection="1"/>
    <xf numFmtId="217" fontId="23" fillId="0" borderId="50" xfId="0" applyNumberFormat="1" applyFont="1" applyBorder="1" applyProtection="1"/>
    <xf numFmtId="217" fontId="23" fillId="0" borderId="24" xfId="0" applyNumberFormat="1" applyFont="1" applyBorder="1" applyProtection="1"/>
    <xf numFmtId="219" fontId="23" fillId="0" borderId="23" xfId="0" applyNumberFormat="1" applyFont="1" applyBorder="1" applyAlignment="1" applyProtection="1">
      <alignment vertical="center"/>
    </xf>
    <xf numFmtId="217" fontId="39" fillId="0" borderId="24" xfId="6" applyNumberFormat="1" applyFont="1" applyFill="1" applyBorder="1" applyAlignment="1" applyProtection="1">
      <alignment vertical="center"/>
    </xf>
    <xf numFmtId="217" fontId="39" fillId="0" borderId="1" xfId="6" applyNumberFormat="1" applyFont="1" applyFill="1" applyBorder="1" applyAlignment="1" applyProtection="1">
      <alignment vertical="center"/>
    </xf>
    <xf numFmtId="217" fontId="39" fillId="0" borderId="50" xfId="0" applyNumberFormat="1" applyFont="1" applyBorder="1" applyAlignment="1" applyProtection="1">
      <alignment vertical="center"/>
    </xf>
    <xf numFmtId="217" fontId="23" fillId="0" borderId="24" xfId="0" applyNumberFormat="1" applyFont="1" applyBorder="1" applyAlignment="1" applyProtection="1">
      <alignment vertical="center"/>
    </xf>
    <xf numFmtId="217" fontId="23" fillId="0" borderId="50" xfId="0" applyNumberFormat="1" applyFont="1" applyBorder="1" applyAlignment="1" applyProtection="1">
      <alignment vertical="center"/>
    </xf>
    <xf numFmtId="217" fontId="39" fillId="0" borderId="24" xfId="0" applyNumberFormat="1" applyFont="1" applyBorder="1" applyAlignment="1" applyProtection="1">
      <alignment vertical="center"/>
    </xf>
    <xf numFmtId="217" fontId="39" fillId="0" borderId="24" xfId="6" applyNumberFormat="1" applyFont="1" applyBorder="1" applyAlignment="1" applyProtection="1">
      <alignment vertical="center"/>
    </xf>
    <xf numFmtId="219" fontId="23" fillId="0" borderId="51" xfId="0" applyNumberFormat="1" applyFont="1" applyBorder="1" applyAlignment="1" applyProtection="1">
      <alignment vertical="center"/>
    </xf>
    <xf numFmtId="219" fontId="23" fillId="0" borderId="63" xfId="0" applyNumberFormat="1" applyFont="1" applyBorder="1" applyAlignment="1" applyProtection="1">
      <alignment vertical="center"/>
    </xf>
    <xf numFmtId="217" fontId="23" fillId="0" borderId="60" xfId="0" applyNumberFormat="1" applyFont="1" applyBorder="1" applyAlignment="1" applyProtection="1">
      <alignment vertical="center"/>
    </xf>
    <xf numFmtId="219" fontId="23" fillId="0" borderId="34" xfId="0" applyNumberFormat="1" applyFont="1" applyBorder="1" applyAlignment="1" applyProtection="1">
      <alignment vertical="center"/>
    </xf>
    <xf numFmtId="217" fontId="23" fillId="0" borderId="3" xfId="0" applyNumberFormat="1" applyFont="1" applyBorder="1" applyAlignment="1" applyProtection="1">
      <alignment vertical="center"/>
    </xf>
    <xf numFmtId="0" fontId="18" fillId="0" borderId="8" xfId="0" applyFont="1" applyBorder="1" applyAlignment="1" applyProtection="1">
      <alignment horizontal="left" vertical="center"/>
    </xf>
    <xf numFmtId="1" fontId="18" fillId="0" borderId="8" xfId="0" applyNumberFormat="1" applyFont="1" applyBorder="1" applyAlignment="1" applyProtection="1">
      <alignment horizontal="center" vertical="center"/>
    </xf>
    <xf numFmtId="0" fontId="18" fillId="0" borderId="25" xfId="0" applyFont="1" applyBorder="1" applyAlignment="1" applyProtection="1">
      <alignment horizontal="center" vertical="center"/>
    </xf>
    <xf numFmtId="1" fontId="18" fillId="0" borderId="5" xfId="0" applyNumberFormat="1" applyFont="1" applyBorder="1" applyAlignment="1" applyProtection="1">
      <alignment horizontal="center" vertical="center"/>
    </xf>
    <xf numFmtId="0" fontId="18" fillId="0" borderId="36" xfId="0" applyFont="1" applyBorder="1" applyAlignment="1" applyProtection="1">
      <alignment horizontal="center" vertical="center"/>
    </xf>
    <xf numFmtId="1" fontId="18" fillId="0" borderId="37" xfId="0" applyNumberFormat="1" applyFont="1" applyBorder="1" applyAlignment="1" applyProtection="1">
      <alignment horizontal="center" vertical="center"/>
    </xf>
    <xf numFmtId="1" fontId="18" fillId="0" borderId="39" xfId="0" applyNumberFormat="1" applyFont="1" applyBorder="1" applyAlignment="1" applyProtection="1">
      <alignment horizontal="center" vertical="center"/>
    </xf>
    <xf numFmtId="10" fontId="22" fillId="0" borderId="0" xfId="0" applyNumberFormat="1" applyFont="1"/>
    <xf numFmtId="0" fontId="24" fillId="0" borderId="12" xfId="0" applyFont="1" applyBorder="1" applyAlignment="1">
      <alignment horizontal="right"/>
    </xf>
    <xf numFmtId="4" fontId="22" fillId="0" borderId="0" xfId="0" applyNumberFormat="1" applyFont="1"/>
    <xf numFmtId="0" fontId="22" fillId="0" borderId="1" xfId="0" applyFont="1" applyBorder="1"/>
    <xf numFmtId="0" fontId="18" fillId="0" borderId="60" xfId="0" applyFont="1" applyBorder="1" applyAlignment="1">
      <alignment horizontal="right"/>
    </xf>
    <xf numFmtId="3" fontId="60" fillId="0" borderId="0" xfId="0" applyNumberFormat="1" applyFont="1" applyAlignment="1" applyProtection="1">
      <alignment horizontal="center"/>
    </xf>
    <xf numFmtId="3" fontId="24" fillId="0" borderId="0" xfId="0" applyNumberFormat="1" applyFont="1" applyAlignment="1">
      <alignment horizontal="center"/>
    </xf>
    <xf numFmtId="0" fontId="39" fillId="0" borderId="30" xfId="0" applyFont="1" applyBorder="1"/>
    <xf numFmtId="0" fontId="39" fillId="0" borderId="26" xfId="0" applyFont="1" applyBorder="1"/>
    <xf numFmtId="190" fontId="39" fillId="0" borderId="11" xfId="0" applyNumberFormat="1" applyFont="1" applyBorder="1"/>
    <xf numFmtId="190" fontId="39" fillId="0" borderId="12" xfId="0" applyNumberFormat="1" applyFont="1" applyBorder="1"/>
    <xf numFmtId="190" fontId="39" fillId="0" borderId="6" xfId="0" applyNumberFormat="1" applyFont="1" applyBorder="1"/>
    <xf numFmtId="0" fontId="39" fillId="0" borderId="11" xfId="0" applyFont="1" applyBorder="1"/>
    <xf numFmtId="0" fontId="39" fillId="0" borderId="6" xfId="0" applyFont="1" applyBorder="1"/>
    <xf numFmtId="219" fontId="23" fillId="0" borderId="13" xfId="0" applyNumberFormat="1" applyFont="1" applyBorder="1"/>
    <xf numFmtId="219" fontId="23" fillId="0" borderId="0" xfId="0" applyNumberFormat="1" applyFont="1"/>
    <xf numFmtId="219" fontId="23" fillId="0" borderId="9" xfId="0" applyNumberFormat="1" applyFont="1" applyBorder="1"/>
    <xf numFmtId="219" fontId="39" fillId="0" borderId="30" xfId="0" applyNumberFormat="1" applyFont="1" applyBorder="1"/>
    <xf numFmtId="219" fontId="39" fillId="0" borderId="26" xfId="0" applyNumberFormat="1" applyFont="1" applyBorder="1"/>
    <xf numFmtId="219" fontId="39" fillId="0" borderId="56" xfId="0" applyNumberFormat="1" applyFont="1" applyBorder="1"/>
    <xf numFmtId="215" fontId="39" fillId="0" borderId="20" xfId="0" applyNumberFormat="1" applyFont="1" applyBorder="1"/>
    <xf numFmtId="215" fontId="39" fillId="0" borderId="21" xfId="0" applyNumberFormat="1" applyFont="1" applyBorder="1"/>
    <xf numFmtId="215" fontId="39" fillId="0" borderId="23" xfId="0" applyNumberFormat="1" applyFont="1" applyBorder="1"/>
    <xf numFmtId="215" fontId="39" fillId="0" borderId="1" xfId="0" applyNumberFormat="1" applyFont="1" applyBorder="1"/>
    <xf numFmtId="0" fontId="22" fillId="0" borderId="91" xfId="0" applyFont="1" applyBorder="1"/>
    <xf numFmtId="0" fontId="22" fillId="0" borderId="92" xfId="0" applyFont="1" applyBorder="1"/>
    <xf numFmtId="0" fontId="22" fillId="0" borderId="93" xfId="0" applyFont="1" applyBorder="1"/>
    <xf numFmtId="3" fontId="18" fillId="0" borderId="94" xfId="0" applyNumberFormat="1" applyFont="1" applyBorder="1" applyAlignment="1">
      <alignment horizontal="left" indent="1"/>
    </xf>
    <xf numFmtId="0" fontId="39" fillId="0" borderId="95" xfId="0" applyFont="1" applyBorder="1"/>
    <xf numFmtId="0" fontId="22" fillId="0" borderId="96" xfId="0" applyFont="1" applyBorder="1"/>
    <xf numFmtId="0" fontId="22" fillId="0" borderId="97" xfId="0" applyFont="1" applyBorder="1"/>
    <xf numFmtId="190" fontId="39" fillId="0" borderId="98" xfId="0" applyNumberFormat="1" applyFont="1" applyBorder="1"/>
    <xf numFmtId="0" fontId="22" fillId="0" borderId="99" xfId="0" applyFont="1" applyBorder="1"/>
    <xf numFmtId="0" fontId="39" fillId="0" borderId="98" xfId="0" applyFont="1" applyBorder="1"/>
    <xf numFmtId="0" fontId="22" fillId="0" borderId="100" xfId="0" applyFont="1" applyBorder="1"/>
    <xf numFmtId="219" fontId="23" fillId="0" borderId="101" xfId="0" applyNumberFormat="1" applyFont="1" applyBorder="1"/>
    <xf numFmtId="3" fontId="23" fillId="0" borderId="94" xfId="0" applyNumberFormat="1" applyFont="1" applyBorder="1" applyAlignment="1">
      <alignment horizontal="left" indent="1"/>
    </xf>
    <xf numFmtId="219" fontId="39" fillId="0" borderId="95" xfId="0" applyNumberFormat="1" applyFont="1" applyBorder="1"/>
    <xf numFmtId="0" fontId="39" fillId="0" borderId="102" xfId="0" applyFont="1" applyBorder="1"/>
    <xf numFmtId="0" fontId="39" fillId="0" borderId="103" xfId="0" applyFont="1" applyBorder="1" applyAlignment="1">
      <alignment horizontal="right"/>
    </xf>
    <xf numFmtId="0" fontId="22" fillId="0" borderId="92" xfId="0" applyFont="1" applyBorder="1" applyAlignment="1">
      <alignment horizontal="centerContinuous"/>
    </xf>
    <xf numFmtId="0" fontId="22" fillId="0" borderId="104" xfId="0" applyFont="1" applyBorder="1" applyAlignment="1">
      <alignment horizontal="centerContinuous"/>
    </xf>
    <xf numFmtId="0" fontId="23" fillId="0" borderId="105" xfId="0" applyFont="1" applyBorder="1" applyAlignment="1">
      <alignment horizontal="centerContinuous"/>
    </xf>
    <xf numFmtId="0" fontId="23" fillId="0" borderId="91" xfId="0" applyFont="1" applyBorder="1" applyAlignment="1">
      <alignment horizontal="centerContinuous" vertical="center"/>
    </xf>
    <xf numFmtId="0" fontId="23" fillId="0" borderId="92" xfId="0" applyFont="1" applyBorder="1" applyAlignment="1">
      <alignment horizontal="centerContinuous" vertical="center"/>
    </xf>
    <xf numFmtId="0" fontId="23" fillId="0" borderId="104" xfId="0" applyFont="1" applyBorder="1" applyAlignment="1">
      <alignment horizontal="centerContinuous" vertical="center"/>
    </xf>
    <xf numFmtId="215" fontId="39" fillId="0" borderId="106" xfId="0" applyNumberFormat="1" applyFont="1" applyBorder="1"/>
    <xf numFmtId="215" fontId="39" fillId="0" borderId="107" xfId="0" applyNumberFormat="1" applyFont="1" applyBorder="1"/>
    <xf numFmtId="0" fontId="39" fillId="0" borderId="103" xfId="0" applyFont="1" applyBorder="1"/>
    <xf numFmtId="215" fontId="39" fillId="0" borderId="108" xfId="0" applyNumberFormat="1" applyFont="1" applyBorder="1"/>
    <xf numFmtId="215" fontId="39" fillId="0" borderId="109" xfId="0" applyNumberFormat="1" applyFont="1" applyBorder="1"/>
    <xf numFmtId="215" fontId="39" fillId="0" borderId="110" xfId="0" applyNumberFormat="1" applyFont="1" applyBorder="1"/>
    <xf numFmtId="3" fontId="24" fillId="0" borderId="111" xfId="0" applyNumberFormat="1" applyFont="1" applyBorder="1"/>
    <xf numFmtId="0" fontId="18" fillId="0" borderId="91" xfId="0" applyFont="1" applyBorder="1" applyAlignment="1">
      <alignment horizontal="centerContinuous"/>
    </xf>
    <xf numFmtId="0" fontId="18" fillId="0" borderId="92" xfId="0" applyFont="1" applyBorder="1" applyAlignment="1">
      <alignment horizontal="centerContinuous"/>
    </xf>
    <xf numFmtId="0" fontId="18" fillId="0" borderId="113" xfId="0" applyFont="1" applyBorder="1" applyAlignment="1">
      <alignment horizontal="centerContinuous"/>
    </xf>
    <xf numFmtId="0" fontId="22" fillId="0" borderId="114" xfId="0" applyFont="1" applyBorder="1" applyAlignment="1">
      <alignment vertical="center"/>
    </xf>
    <xf numFmtId="3" fontId="35" fillId="0" borderId="0" xfId="0" applyNumberFormat="1" applyFont="1" applyAlignment="1" applyProtection="1">
      <alignment horizontal="center"/>
    </xf>
    <xf numFmtId="206" fontId="44" fillId="0" borderId="14" xfId="0" applyNumberFormat="1" applyFont="1" applyBorder="1" applyProtection="1"/>
    <xf numFmtId="206" fontId="44" fillId="0" borderId="13" xfId="0" applyNumberFormat="1" applyFont="1" applyBorder="1" applyProtection="1"/>
    <xf numFmtId="3" fontId="39" fillId="0" borderId="0" xfId="0" applyNumberFormat="1" applyFont="1" applyAlignment="1" applyProtection="1">
      <alignment horizontal="right"/>
    </xf>
    <xf numFmtId="3" fontId="24" fillId="0" borderId="0" xfId="0" applyNumberFormat="1" applyFont="1" applyAlignment="1" applyProtection="1">
      <alignment horizontal="center"/>
    </xf>
    <xf numFmtId="225" fontId="44" fillId="0" borderId="14" xfId="0" applyNumberFormat="1" applyFont="1" applyBorder="1" applyProtection="1"/>
    <xf numFmtId="225" fontId="44" fillId="2" borderId="14" xfId="0" applyNumberFormat="1" applyFont="1" applyFill="1" applyBorder="1" applyProtection="1"/>
    <xf numFmtId="225" fontId="44" fillId="0" borderId="11" xfId="0" applyNumberFormat="1" applyFont="1" applyBorder="1" applyProtection="1"/>
    <xf numFmtId="9" fontId="35" fillId="0" borderId="0" xfId="6" applyFont="1" applyFill="1" applyBorder="1" applyAlignment="1" applyProtection="1">
      <alignment horizontal="center"/>
    </xf>
    <xf numFmtId="3" fontId="44" fillId="0" borderId="8" xfId="0" applyNumberFormat="1" applyFont="1" applyBorder="1" applyAlignment="1" applyProtection="1">
      <alignment vertical="center"/>
    </xf>
    <xf numFmtId="3" fontId="44" fillId="0" borderId="5" xfId="0" applyNumberFormat="1" applyFont="1" applyBorder="1" applyAlignment="1" applyProtection="1">
      <alignment vertical="center"/>
    </xf>
    <xf numFmtId="206" fontId="44" fillId="0" borderId="10" xfId="0" applyNumberFormat="1" applyFont="1" applyBorder="1" applyAlignment="1" applyProtection="1">
      <alignment vertical="center"/>
    </xf>
    <xf numFmtId="206" fontId="44" fillId="0" borderId="16" xfId="0" applyNumberFormat="1" applyFont="1" applyBorder="1" applyAlignment="1" applyProtection="1">
      <alignment vertical="center"/>
    </xf>
    <xf numFmtId="206" fontId="44" fillId="2" borderId="14" xfId="0" applyNumberFormat="1" applyFont="1" applyFill="1" applyBorder="1" applyProtection="1"/>
    <xf numFmtId="3" fontId="24" fillId="0" borderId="8" xfId="0" applyNumberFormat="1" applyFont="1" applyBorder="1" applyProtection="1"/>
    <xf numFmtId="3" fontId="44" fillId="0" borderId="5" xfId="0" applyNumberFormat="1" applyFont="1" applyBorder="1" applyProtection="1"/>
    <xf numFmtId="1" fontId="24" fillId="0" borderId="0" xfId="0" applyNumberFormat="1" applyFont="1" applyAlignment="1" applyProtection="1">
      <alignment horizontal="center"/>
    </xf>
    <xf numFmtId="3" fontId="28" fillId="0" borderId="0" xfId="0" applyNumberFormat="1" applyFont="1" applyAlignment="1" applyProtection="1">
      <alignment horizontal="center"/>
    </xf>
    <xf numFmtId="9" fontId="24" fillId="0" borderId="0" xfId="0" applyNumberFormat="1" applyFont="1" applyProtection="1"/>
    <xf numFmtId="3" fontId="44" fillId="0" borderId="0" xfId="0" applyNumberFormat="1" applyFont="1" applyAlignment="1" applyProtection="1">
      <alignment horizontal="left"/>
    </xf>
    <xf numFmtId="224" fontId="44" fillId="0" borderId="11" xfId="0" applyNumberFormat="1" applyFont="1" applyBorder="1" applyProtection="1"/>
    <xf numFmtId="1" fontId="24" fillId="0" borderId="0" xfId="0" quotePrefix="1" applyNumberFormat="1" applyFont="1" applyAlignment="1" applyProtection="1">
      <alignment horizontal="center"/>
    </xf>
    <xf numFmtId="3" fontId="24" fillId="0" borderId="5" xfId="0" applyNumberFormat="1" applyFont="1" applyBorder="1" applyAlignment="1" applyProtection="1">
      <alignment horizontal="right" vertical="center" indent="1"/>
    </xf>
    <xf numFmtId="3" fontId="24" fillId="0" borderId="16" xfId="0" applyNumberFormat="1" applyFont="1" applyBorder="1" applyAlignment="1" applyProtection="1">
      <alignment horizontal="right" vertical="center" indent="1"/>
    </xf>
    <xf numFmtId="3" fontId="24" fillId="0" borderId="5" xfId="0" applyNumberFormat="1" applyFont="1" applyBorder="1" applyAlignment="1" applyProtection="1">
      <alignment horizontal="right" indent="1"/>
    </xf>
    <xf numFmtId="206" fontId="21" fillId="0" borderId="10" xfId="0" applyNumberFormat="1" applyFont="1" applyBorder="1" applyProtection="1"/>
    <xf numFmtId="0" fontId="24" fillId="0" borderId="50" xfId="0" applyFont="1" applyBorder="1" applyAlignment="1">
      <alignment horizontal="right" indent="1"/>
    </xf>
    <xf numFmtId="0" fontId="21" fillId="0" borderId="50" xfId="0" applyFont="1" applyBorder="1" applyAlignment="1">
      <alignment horizontal="right" indent="1"/>
    </xf>
    <xf numFmtId="0" fontId="39" fillId="0" borderId="55" xfId="0" applyFont="1" applyBorder="1" applyAlignment="1">
      <alignment horizontal="right" indent="1"/>
    </xf>
    <xf numFmtId="0" fontId="24" fillId="0" borderId="12" xfId="0" applyFont="1" applyBorder="1" applyAlignment="1">
      <alignment horizontal="right" indent="1"/>
    </xf>
    <xf numFmtId="207" fontId="39" fillId="0" borderId="71" xfId="3" applyNumberFormat="1" applyFont="1" applyFill="1" applyBorder="1"/>
    <xf numFmtId="207" fontId="39" fillId="0" borderId="50" xfId="3" applyNumberFormat="1" applyFont="1" applyBorder="1"/>
    <xf numFmtId="207" fontId="39" fillId="0" borderId="115" xfId="3" applyNumberFormat="1" applyFont="1" applyBorder="1"/>
    <xf numFmtId="207" fontId="61" fillId="0" borderId="99" xfId="0" applyNumberFormat="1" applyFont="1" applyBorder="1"/>
    <xf numFmtId="207" fontId="39" fillId="0" borderId="99" xfId="0" applyNumberFormat="1" applyFont="1" applyBorder="1"/>
    <xf numFmtId="207" fontId="39" fillId="0" borderId="102" xfId="0" applyNumberFormat="1" applyFont="1" applyBorder="1"/>
    <xf numFmtId="213" fontId="21" fillId="0" borderId="1" xfId="0" applyNumberFormat="1" applyFont="1" applyBorder="1"/>
    <xf numFmtId="169" fontId="21" fillId="0" borderId="46" xfId="0" applyNumberFormat="1" applyFont="1" applyBorder="1"/>
    <xf numFmtId="0" fontId="23" fillId="0" borderId="0" xfId="0" applyFont="1" applyAlignment="1">
      <alignment horizontal="right"/>
    </xf>
    <xf numFmtId="3" fontId="43" fillId="0" borderId="0" xfId="0" applyNumberFormat="1" applyFont="1" applyAlignment="1" applyProtection="1">
      <alignment horizontal="center"/>
    </xf>
    <xf numFmtId="3" fontId="21" fillId="0" borderId="20" xfId="0" applyNumberFormat="1" applyFont="1" applyBorder="1"/>
    <xf numFmtId="3" fontId="21" fillId="0" borderId="21" xfId="0" applyNumberFormat="1" applyFont="1" applyBorder="1" applyAlignment="1">
      <alignment horizontal="center"/>
    </xf>
    <xf numFmtId="3" fontId="21" fillId="0" borderId="22" xfId="0" applyNumberFormat="1" applyFont="1" applyBorder="1" applyAlignment="1">
      <alignment horizontal="center"/>
    </xf>
    <xf numFmtId="213" fontId="21" fillId="0" borderId="24" xfId="0" applyNumberFormat="1" applyFont="1" applyBorder="1"/>
    <xf numFmtId="169" fontId="21" fillId="0" borderId="47" xfId="0" applyNumberFormat="1" applyFont="1" applyBorder="1"/>
    <xf numFmtId="0" fontId="22" fillId="0" borderId="35" xfId="0" applyFont="1" applyBorder="1"/>
    <xf numFmtId="169" fontId="18" fillId="2" borderId="35" xfId="0" applyNumberFormat="1" applyFont="1" applyFill="1" applyBorder="1"/>
    <xf numFmtId="169" fontId="18" fillId="0" borderId="35" xfId="0" applyNumberFormat="1" applyFont="1" applyBorder="1"/>
    <xf numFmtId="3" fontId="21" fillId="0" borderId="0" xfId="0" applyNumberFormat="1" applyFont="1" applyAlignment="1">
      <alignment horizontal="left" indent="3"/>
    </xf>
    <xf numFmtId="3" fontId="21" fillId="0" borderId="77" xfId="0" applyNumberFormat="1" applyFont="1" applyBorder="1" applyAlignment="1">
      <alignment horizontal="center"/>
    </xf>
    <xf numFmtId="194" fontId="24" fillId="0" borderId="21" xfId="0" applyNumberFormat="1" applyFont="1" applyBorder="1"/>
    <xf numFmtId="194" fontId="24" fillId="0" borderId="1" xfId="0" applyNumberFormat="1" applyFont="1" applyBorder="1"/>
    <xf numFmtId="194" fontId="24" fillId="0" borderId="24" xfId="0" applyNumberFormat="1" applyFont="1" applyBorder="1"/>
    <xf numFmtId="9" fontId="21" fillId="0" borderId="12" xfId="6" applyFont="1" applyFill="1" applyBorder="1" applyAlignment="1">
      <alignment horizontal="center"/>
    </xf>
    <xf numFmtId="3" fontId="21" fillId="0" borderId="12" xfId="6" applyNumberFormat="1" applyFont="1" applyFill="1" applyBorder="1" applyAlignment="1">
      <alignment horizontal="center"/>
    </xf>
    <xf numFmtId="3" fontId="21" fillId="0" borderId="67" xfId="6" applyNumberFormat="1" applyFont="1" applyFill="1" applyBorder="1" applyAlignment="1">
      <alignment horizontal="center"/>
    </xf>
    <xf numFmtId="194" fontId="24" fillId="0" borderId="35" xfId="0" applyNumberFormat="1" applyFont="1" applyBorder="1"/>
    <xf numFmtId="194" fontId="24" fillId="0" borderId="46" xfId="0" applyNumberFormat="1" applyFont="1" applyBorder="1"/>
    <xf numFmtId="194" fontId="24" fillId="0" borderId="47" xfId="0" applyNumberFormat="1" applyFont="1" applyBorder="1"/>
    <xf numFmtId="3" fontId="18" fillId="0" borderId="0" xfId="0" applyNumberFormat="1" applyFont="1" applyAlignment="1">
      <alignment horizontal="left" indent="1"/>
    </xf>
    <xf numFmtId="169" fontId="18" fillId="0" borderId="0" xfId="0" applyNumberFormat="1" applyFont="1"/>
    <xf numFmtId="0" fontId="22" fillId="0" borderId="2" xfId="0" applyFont="1" applyBorder="1"/>
    <xf numFmtId="9" fontId="21" fillId="0" borderId="18" xfId="6" applyFont="1" applyBorder="1" applyAlignment="1">
      <alignment horizontal="center"/>
    </xf>
    <xf numFmtId="3" fontId="24" fillId="0" borderId="21" xfId="0" applyNumberFormat="1" applyFont="1" applyBorder="1"/>
    <xf numFmtId="9" fontId="21" fillId="0" borderId="11" xfId="6" applyFont="1" applyBorder="1" applyAlignment="1">
      <alignment horizontal="center"/>
    </xf>
    <xf numFmtId="3" fontId="24" fillId="0" borderId="1" xfId="0" applyNumberFormat="1" applyFont="1" applyBorder="1"/>
    <xf numFmtId="9" fontId="21" fillId="0" borderId="19" xfId="6" applyFont="1" applyBorder="1" applyAlignment="1">
      <alignment horizontal="center"/>
    </xf>
    <xf numFmtId="3" fontId="24" fillId="0" borderId="35" xfId="0" applyNumberFormat="1" applyFont="1" applyBorder="1"/>
    <xf numFmtId="0" fontId="22" fillId="0" borderId="0" xfId="0" applyFont="1" applyAlignment="1">
      <alignment horizontal="left" indent="3"/>
    </xf>
    <xf numFmtId="186" fontId="21" fillId="0" borderId="49" xfId="0" applyNumberFormat="1" applyFont="1" applyBorder="1"/>
    <xf numFmtId="186" fontId="21" fillId="0" borderId="21" xfId="0" applyNumberFormat="1" applyFont="1" applyBorder="1"/>
    <xf numFmtId="186" fontId="21" fillId="0" borderId="71" xfId="0" applyNumberFormat="1" applyFont="1" applyBorder="1"/>
    <xf numFmtId="186" fontId="21" fillId="0" borderId="6" xfId="0" applyNumberFormat="1" applyFont="1" applyBorder="1"/>
    <xf numFmtId="186" fontId="21" fillId="0" borderId="1" xfId="0" applyNumberFormat="1" applyFont="1" applyBorder="1"/>
    <xf numFmtId="186" fontId="21" fillId="0" borderId="50" xfId="0" applyNumberFormat="1" applyFont="1" applyBorder="1"/>
    <xf numFmtId="190" fontId="21" fillId="0" borderId="24" xfId="0" applyNumberFormat="1" applyFont="1" applyBorder="1"/>
    <xf numFmtId="190" fontId="21" fillId="0" borderId="3" xfId="0" applyNumberFormat="1" applyFont="1" applyBorder="1"/>
    <xf numFmtId="3" fontId="21" fillId="0" borderId="28" xfId="0" applyNumberFormat="1" applyFont="1" applyBorder="1" applyAlignment="1">
      <alignment horizontal="center"/>
    </xf>
    <xf numFmtId="3" fontId="21" fillId="0" borderId="29" xfId="0" applyNumberFormat="1" applyFont="1" applyBorder="1" applyAlignment="1">
      <alignment horizontal="center"/>
    </xf>
    <xf numFmtId="0" fontId="22" fillId="0" borderId="21" xfId="0" applyFont="1" applyBorder="1"/>
    <xf numFmtId="190" fontId="21" fillId="0" borderId="22" xfId="0" applyNumberFormat="1" applyFont="1" applyBorder="1"/>
    <xf numFmtId="190" fontId="39" fillId="0" borderId="24" xfId="0" applyNumberFormat="1" applyFont="1" applyBorder="1"/>
    <xf numFmtId="0" fontId="39" fillId="0" borderId="37" xfId="0" applyFont="1" applyBorder="1" applyAlignment="1">
      <alignment horizontal="centerContinuous"/>
    </xf>
    <xf numFmtId="0" fontId="22" fillId="0" borderId="36" xfId="0" applyFont="1" applyBorder="1" applyAlignment="1">
      <alignment horizontal="centerContinuous"/>
    </xf>
    <xf numFmtId="0" fontId="39" fillId="0" borderId="48" xfId="0" applyFont="1" applyBorder="1" applyAlignment="1">
      <alignment horizontal="left" indent="1"/>
    </xf>
    <xf numFmtId="0" fontId="39" fillId="0" borderId="34" xfId="0" applyFont="1" applyBorder="1" applyAlignment="1">
      <alignment horizontal="left" indent="1"/>
    </xf>
    <xf numFmtId="3" fontId="18" fillId="0" borderId="8" xfId="0" applyNumberFormat="1" applyFont="1" applyBorder="1" applyAlignment="1">
      <alignment horizontal="left" indent="5"/>
    </xf>
    <xf numFmtId="190" fontId="21" fillId="0" borderId="11" xfId="0" applyNumberFormat="1" applyFont="1" applyBorder="1"/>
    <xf numFmtId="190" fontId="21" fillId="0" borderId="38" xfId="0" applyNumberFormat="1" applyFont="1" applyBorder="1"/>
    <xf numFmtId="3" fontId="23" fillId="0" borderId="116" xfId="0" applyNumberFormat="1" applyFont="1" applyBorder="1"/>
    <xf numFmtId="3" fontId="21" fillId="0" borderId="8" xfId="0" applyNumberFormat="1" applyFont="1" applyBorder="1" applyAlignment="1">
      <alignment horizontal="center"/>
    </xf>
    <xf numFmtId="3" fontId="21" fillId="0" borderId="18" xfId="0" applyNumberFormat="1" applyFont="1" applyBorder="1"/>
    <xf numFmtId="3" fontId="21" fillId="0" borderId="11" xfId="0" applyNumberFormat="1" applyFont="1" applyBorder="1"/>
    <xf numFmtId="3" fontId="21" fillId="0" borderId="19" xfId="0" applyNumberFormat="1" applyFont="1" applyBorder="1"/>
    <xf numFmtId="0" fontId="22" fillId="0" borderId="49" xfId="0" applyFont="1" applyBorder="1" applyAlignment="1">
      <alignment horizontal="left" indent="1"/>
    </xf>
    <xf numFmtId="0" fontId="22" fillId="0" borderId="6" xfId="0" applyFont="1" applyBorder="1" applyAlignment="1">
      <alignment horizontal="left" indent="1"/>
    </xf>
    <xf numFmtId="0" fontId="22" fillId="0" borderId="15" xfId="0" applyFont="1" applyBorder="1" applyAlignment="1">
      <alignment horizontal="left" indent="1"/>
    </xf>
    <xf numFmtId="3" fontId="22" fillId="0" borderId="10" xfId="0" applyNumberFormat="1" applyFont="1" applyBorder="1" applyAlignment="1">
      <alignment horizontal="center"/>
    </xf>
    <xf numFmtId="0" fontId="22" fillId="0" borderId="10" xfId="0" applyFont="1" applyBorder="1" applyAlignment="1">
      <alignment horizontal="right" indent="1"/>
    </xf>
    <xf numFmtId="0" fontId="22" fillId="0" borderId="0" xfId="0" applyFont="1" applyAlignment="1">
      <alignment horizontal="right" indent="1"/>
    </xf>
    <xf numFmtId="245" fontId="21" fillId="0" borderId="35" xfId="0" applyNumberFormat="1" applyFont="1" applyBorder="1"/>
    <xf numFmtId="190" fontId="39" fillId="0" borderId="4" xfId="0" applyNumberFormat="1" applyFont="1" applyBorder="1"/>
    <xf numFmtId="194" fontId="39" fillId="0" borderId="35" xfId="0" applyNumberFormat="1" applyFont="1" applyBorder="1"/>
    <xf numFmtId="190" fontId="39" fillId="0" borderId="3" xfId="0" applyNumberFormat="1" applyFont="1" applyBorder="1"/>
    <xf numFmtId="194" fontId="21" fillId="0" borderId="39" xfId="0" applyNumberFormat="1" applyFont="1" applyBorder="1"/>
    <xf numFmtId="194" fontId="21" fillId="0" borderId="36" xfId="0" applyNumberFormat="1" applyFont="1" applyBorder="1"/>
    <xf numFmtId="194" fontId="21" fillId="0" borderId="25" xfId="0" applyNumberFormat="1" applyFont="1" applyBorder="1"/>
    <xf numFmtId="190" fontId="21" fillId="0" borderId="10" xfId="0" applyNumberFormat="1" applyFont="1" applyBorder="1"/>
    <xf numFmtId="226" fontId="21" fillId="0" borderId="37" xfId="0" applyNumberFormat="1" applyFont="1" applyBorder="1"/>
    <xf numFmtId="226" fontId="21" fillId="0" borderId="36" xfId="0" applyNumberFormat="1" applyFont="1" applyBorder="1"/>
    <xf numFmtId="226" fontId="21" fillId="0" borderId="25" xfId="0" applyNumberFormat="1" applyFont="1" applyBorder="1"/>
    <xf numFmtId="206" fontId="21" fillId="0" borderId="37" xfId="0" applyNumberFormat="1" applyFont="1" applyBorder="1"/>
    <xf numFmtId="206" fontId="21" fillId="0" borderId="36" xfId="0" applyNumberFormat="1" applyFont="1" applyBorder="1"/>
    <xf numFmtId="206" fontId="21" fillId="0" borderId="25" xfId="0" applyNumberFormat="1" applyFont="1" applyBorder="1"/>
    <xf numFmtId="0" fontId="23" fillId="0" borderId="56" xfId="0" applyFont="1" applyBorder="1" applyAlignment="1">
      <alignment horizontal="center"/>
    </xf>
    <xf numFmtId="0" fontId="15" fillId="0" borderId="9" xfId="0" applyFont="1" applyBorder="1" applyAlignment="1">
      <alignment horizontal="center"/>
    </xf>
    <xf numFmtId="226" fontId="24" fillId="0" borderId="51" xfId="0" applyNumberFormat="1" applyFont="1" applyBorder="1" applyProtection="1">
      <protection locked="0"/>
    </xf>
    <xf numFmtId="226" fontId="24" fillId="0" borderId="41" xfId="0" applyNumberFormat="1" applyFont="1" applyBorder="1" applyProtection="1">
      <protection locked="0"/>
    </xf>
    <xf numFmtId="167" fontId="24" fillId="2" borderId="18" xfId="6" applyNumberFormat="1" applyFont="1" applyFill="1" applyBorder="1" applyAlignment="1" applyProtection="1">
      <alignment horizontal="center"/>
      <protection locked="0"/>
    </xf>
    <xf numFmtId="4" fontId="24" fillId="2" borderId="11" xfId="6" applyNumberFormat="1" applyFont="1" applyFill="1" applyBorder="1" applyAlignment="1" applyProtection="1">
      <alignment horizontal="center"/>
    </xf>
    <xf numFmtId="3" fontId="22" fillId="0" borderId="1" xfId="0" quotePrefix="1" applyNumberFormat="1" applyFont="1" applyBorder="1" applyAlignment="1" applyProtection="1">
      <alignment horizontal="center" vertical="center" shrinkToFit="1"/>
    </xf>
    <xf numFmtId="3" fontId="22" fillId="0" borderId="1" xfId="0" applyNumberFormat="1" applyFont="1" applyBorder="1" applyAlignment="1" applyProtection="1">
      <alignment vertical="center" shrinkToFit="1"/>
    </xf>
    <xf numFmtId="3" fontId="22" fillId="0" borderId="1" xfId="0" applyNumberFormat="1" applyFont="1" applyBorder="1" applyAlignment="1" applyProtection="1">
      <alignment horizontal="center" vertical="center" shrinkToFit="1"/>
    </xf>
    <xf numFmtId="224" fontId="39" fillId="2" borderId="39" xfId="0" applyNumberFormat="1" applyFont="1" applyFill="1" applyBorder="1" applyAlignment="1" applyProtection="1">
      <alignment vertical="center"/>
    </xf>
    <xf numFmtId="224" fontId="39" fillId="0" borderId="36" xfId="0" applyNumberFormat="1" applyFont="1" applyBorder="1" applyAlignment="1" applyProtection="1">
      <alignment vertical="center"/>
      <protection locked="0"/>
    </xf>
    <xf numFmtId="224" fontId="39" fillId="0" borderId="39" xfId="0" applyNumberFormat="1" applyFont="1" applyBorder="1" applyAlignment="1" applyProtection="1">
      <alignment vertical="center"/>
      <protection locked="0"/>
    </xf>
    <xf numFmtId="224" fontId="39" fillId="0" borderId="5" xfId="0" applyNumberFormat="1" applyFont="1" applyBorder="1" applyAlignment="1" applyProtection="1">
      <alignment vertical="center"/>
      <protection locked="0"/>
    </xf>
    <xf numFmtId="169" fontId="39" fillId="0" borderId="10" xfId="0" applyNumberFormat="1" applyFont="1" applyBorder="1" applyAlignment="1" applyProtection="1">
      <alignment vertical="center"/>
    </xf>
    <xf numFmtId="3" fontId="21" fillId="0" borderId="39" xfId="0" applyNumberFormat="1" applyFont="1" applyBorder="1" applyAlignment="1" applyProtection="1">
      <alignment vertical="center"/>
    </xf>
    <xf numFmtId="3" fontId="21" fillId="0" borderId="58" xfId="0" applyNumberFormat="1" applyFont="1" applyBorder="1" applyAlignment="1" applyProtection="1">
      <alignment vertical="center"/>
    </xf>
    <xf numFmtId="3" fontId="39" fillId="0" borderId="13" xfId="0" applyNumberFormat="1" applyFont="1" applyBorder="1" applyAlignment="1" applyProtection="1">
      <alignment vertical="center"/>
    </xf>
    <xf numFmtId="190" fontId="39" fillId="2" borderId="10" xfId="0" applyNumberFormat="1" applyFont="1" applyFill="1" applyBorder="1" applyAlignment="1" applyProtection="1">
      <alignment vertical="center"/>
    </xf>
    <xf numFmtId="229" fontId="39" fillId="0" borderId="37" xfId="0" applyNumberFormat="1" applyFont="1" applyBorder="1" applyAlignment="1" applyProtection="1">
      <alignment vertical="center"/>
    </xf>
    <xf numFmtId="229" fontId="39" fillId="0" borderId="36" xfId="0" applyNumberFormat="1" applyFont="1" applyBorder="1" applyAlignment="1" applyProtection="1">
      <alignment vertical="center"/>
    </xf>
    <xf numFmtId="229" fontId="39" fillId="0" borderId="72" xfId="0" applyNumberFormat="1" applyFont="1" applyBorder="1" applyAlignment="1" applyProtection="1">
      <alignment vertical="center"/>
    </xf>
    <xf numFmtId="3" fontId="21" fillId="0" borderId="10" xfId="0" applyNumberFormat="1" applyFont="1" applyBorder="1" applyAlignment="1" applyProtection="1">
      <alignment vertical="center"/>
    </xf>
    <xf numFmtId="3" fontId="39" fillId="0" borderId="14" xfId="0" applyNumberFormat="1" applyFont="1" applyBorder="1" applyAlignment="1" applyProtection="1">
      <alignment vertical="center"/>
    </xf>
    <xf numFmtId="3" fontId="23" fillId="0" borderId="37" xfId="0" applyNumberFormat="1" applyFont="1" applyBorder="1" applyAlignment="1" applyProtection="1">
      <alignment horizontal="left" vertical="center" indent="1"/>
    </xf>
    <xf numFmtId="3" fontId="21" fillId="0" borderId="9" xfId="0" applyNumberFormat="1" applyFont="1" applyBorder="1" applyAlignment="1" applyProtection="1">
      <alignment horizontal="left" vertical="center" indent="1"/>
    </xf>
    <xf numFmtId="3" fontId="23" fillId="0" borderId="10" xfId="0" applyNumberFormat="1" applyFont="1" applyBorder="1" applyAlignment="1" applyProtection="1">
      <alignment horizontal="left" vertical="center" indent="1"/>
    </xf>
    <xf numFmtId="3" fontId="24" fillId="0" borderId="41" xfId="0" applyNumberFormat="1" applyFont="1" applyBorder="1" applyAlignment="1" applyProtection="1">
      <alignment vertical="center"/>
    </xf>
    <xf numFmtId="3" fontId="24" fillId="0" borderId="51" xfId="0" applyNumberFormat="1" applyFont="1" applyBorder="1" applyAlignment="1" applyProtection="1">
      <alignment vertical="center"/>
    </xf>
    <xf numFmtId="3" fontId="24" fillId="0" borderId="77" xfId="0" applyNumberFormat="1" applyFont="1" applyBorder="1" applyAlignment="1" applyProtection="1">
      <alignment vertical="center"/>
    </xf>
    <xf numFmtId="3" fontId="24" fillId="0" borderId="54" xfId="0" applyNumberFormat="1" applyFont="1" applyBorder="1" applyAlignment="1" applyProtection="1">
      <alignment vertical="center"/>
    </xf>
    <xf numFmtId="3" fontId="21" fillId="0" borderId="15" xfId="0" applyNumberFormat="1" applyFont="1" applyBorder="1" applyAlignment="1" applyProtection="1">
      <alignment horizontal="right" vertical="center"/>
    </xf>
    <xf numFmtId="3" fontId="21" fillId="0" borderId="63" xfId="0" applyNumberFormat="1" applyFont="1" applyBorder="1" applyAlignment="1" applyProtection="1">
      <alignment vertical="center"/>
    </xf>
    <xf numFmtId="3" fontId="39" fillId="0" borderId="49" xfId="0" applyNumberFormat="1" applyFont="1" applyBorder="1" applyAlignment="1" applyProtection="1">
      <alignment horizontal="left" vertical="center" indent="1"/>
    </xf>
    <xf numFmtId="3" fontId="39" fillId="0" borderId="6" xfId="0" applyNumberFormat="1" applyFont="1" applyBorder="1" applyAlignment="1" applyProtection="1">
      <alignment horizontal="left" vertical="center" indent="1"/>
    </xf>
    <xf numFmtId="3" fontId="24" fillId="0" borderId="9" xfId="0" applyNumberFormat="1" applyFont="1" applyBorder="1" applyAlignment="1" applyProtection="1">
      <alignment horizontal="left" vertical="center" indent="1"/>
    </xf>
    <xf numFmtId="3" fontId="39" fillId="0" borderId="7" xfId="0" applyNumberFormat="1" applyFont="1" applyBorder="1" applyAlignment="1" applyProtection="1">
      <alignment horizontal="left" vertical="center" indent="1"/>
    </xf>
    <xf numFmtId="3" fontId="23" fillId="0" borderId="7" xfId="0" applyNumberFormat="1" applyFont="1" applyBorder="1" applyAlignment="1" applyProtection="1">
      <alignment horizontal="left" vertical="center" indent="1"/>
    </xf>
    <xf numFmtId="3" fontId="23" fillId="0" borderId="15" xfId="0" applyNumberFormat="1" applyFont="1" applyBorder="1" applyAlignment="1" applyProtection="1">
      <alignment horizontal="right" vertical="center"/>
    </xf>
    <xf numFmtId="228" fontId="39" fillId="0" borderId="41" xfId="0" applyNumberFormat="1" applyFont="1" applyBorder="1" applyAlignment="1" applyProtection="1">
      <alignment vertical="center"/>
    </xf>
    <xf numFmtId="228" fontId="39" fillId="0" borderId="61" xfId="0" applyNumberFormat="1" applyFont="1" applyBorder="1" applyAlignment="1" applyProtection="1">
      <alignment vertical="center"/>
    </xf>
    <xf numFmtId="228" fontId="23" fillId="0" borderId="18" xfId="0" applyNumberFormat="1" applyFont="1" applyBorder="1" applyAlignment="1" applyProtection="1">
      <alignment vertical="center"/>
    </xf>
    <xf numFmtId="228" fontId="39" fillId="0" borderId="54" xfId="0" applyNumberFormat="1" applyFont="1" applyBorder="1" applyAlignment="1" applyProtection="1">
      <alignment vertical="center"/>
    </xf>
    <xf numFmtId="228" fontId="39" fillId="0" borderId="77" xfId="0" applyNumberFormat="1" applyFont="1" applyBorder="1" applyAlignment="1" applyProtection="1">
      <alignment vertical="center"/>
    </xf>
    <xf numFmtId="228" fontId="23" fillId="0" borderId="11" xfId="0" applyNumberFormat="1" applyFont="1" applyBorder="1" applyAlignment="1" applyProtection="1">
      <alignment vertical="center"/>
    </xf>
    <xf numFmtId="3" fontId="39" fillId="0" borderId="77" xfId="0" applyNumberFormat="1" applyFont="1" applyBorder="1" applyAlignment="1" applyProtection="1">
      <alignment vertical="center"/>
    </xf>
    <xf numFmtId="3" fontId="39" fillId="0" borderId="2" xfId="0" applyNumberFormat="1" applyFont="1" applyBorder="1" applyAlignment="1" applyProtection="1">
      <alignment vertical="center"/>
    </xf>
    <xf numFmtId="3" fontId="39" fillId="0" borderId="54" xfId="0" applyNumberFormat="1" applyFont="1" applyBorder="1" applyAlignment="1" applyProtection="1">
      <alignment vertical="center"/>
    </xf>
    <xf numFmtId="3" fontId="39" fillId="0" borderId="55" xfId="0" applyNumberFormat="1" applyFont="1" applyBorder="1" applyAlignment="1" applyProtection="1">
      <alignment vertical="center"/>
    </xf>
    <xf numFmtId="3" fontId="23" fillId="0" borderId="14" xfId="0" applyNumberFormat="1" applyFont="1" applyBorder="1" applyAlignment="1" applyProtection="1">
      <alignment vertical="center"/>
    </xf>
    <xf numFmtId="228" fontId="23" fillId="0" borderId="65" xfId="0" applyNumberFormat="1" applyFont="1" applyBorder="1" applyAlignment="1" applyProtection="1">
      <alignment vertical="center"/>
    </xf>
    <xf numFmtId="228" fontId="23" fillId="0" borderId="64" xfId="0" applyNumberFormat="1" applyFont="1" applyBorder="1" applyAlignment="1" applyProtection="1">
      <alignment vertical="center"/>
    </xf>
    <xf numFmtId="228" fontId="23" fillId="0" borderId="19" xfId="0" applyNumberFormat="1" applyFont="1" applyBorder="1" applyAlignment="1" applyProtection="1">
      <alignment vertical="center"/>
    </xf>
    <xf numFmtId="3" fontId="24" fillId="0" borderId="61" xfId="0" applyNumberFormat="1" applyFont="1" applyBorder="1" applyAlignment="1" applyProtection="1">
      <alignment vertical="center"/>
    </xf>
    <xf numFmtId="3" fontId="24" fillId="0" borderId="12" xfId="0" applyNumberFormat="1" applyFont="1" applyBorder="1" applyAlignment="1" applyProtection="1">
      <alignment vertical="center"/>
    </xf>
    <xf numFmtId="3" fontId="24" fillId="0" borderId="49" xfId="0" applyNumberFormat="1" applyFont="1" applyBorder="1" applyAlignment="1" applyProtection="1">
      <alignment horizontal="left" vertical="center" indent="1"/>
    </xf>
    <xf numFmtId="3" fontId="24" fillId="0" borderId="6" xfId="0" applyNumberFormat="1" applyFont="1" applyBorder="1" applyAlignment="1" applyProtection="1">
      <alignment horizontal="left" vertical="center" indent="1"/>
    </xf>
    <xf numFmtId="224" fontId="24" fillId="0" borderId="18" xfId="0" applyNumberFormat="1" applyFont="1" applyBorder="1" applyAlignment="1" applyProtection="1">
      <alignment vertical="center"/>
    </xf>
    <xf numFmtId="224" fontId="24" fillId="0" borderId="61" xfId="0" applyNumberFormat="1" applyFont="1" applyBorder="1" applyAlignment="1" applyProtection="1">
      <alignment vertical="center"/>
    </xf>
    <xf numFmtId="224" fontId="24" fillId="0" borderId="14" xfId="0" applyNumberFormat="1" applyFont="1" applyBorder="1" applyAlignment="1" applyProtection="1">
      <alignment vertical="center"/>
    </xf>
    <xf numFmtId="224" fontId="24" fillId="0" borderId="77" xfId="0" applyNumberFormat="1" applyFont="1" applyBorder="1" applyAlignment="1" applyProtection="1">
      <alignment vertical="center"/>
    </xf>
    <xf numFmtId="224" fontId="24" fillId="0" borderId="14" xfId="0" quotePrefix="1" applyNumberFormat="1" applyFont="1" applyBorder="1" applyAlignment="1" applyProtection="1">
      <alignment vertical="center"/>
    </xf>
    <xf numFmtId="224" fontId="24" fillId="0" borderId="77" xfId="0" quotePrefix="1" applyNumberFormat="1" applyFont="1" applyBorder="1" applyAlignment="1" applyProtection="1">
      <alignment vertical="center"/>
    </xf>
    <xf numFmtId="3" fontId="21" fillId="0" borderId="62" xfId="0" applyNumberFormat="1" applyFont="1" applyBorder="1" applyAlignment="1" applyProtection="1">
      <alignment vertical="center"/>
    </xf>
    <xf numFmtId="224" fontId="21" fillId="0" borderId="19" xfId="0" applyNumberFormat="1" applyFont="1" applyBorder="1" applyAlignment="1" applyProtection="1">
      <alignment vertical="center"/>
    </xf>
    <xf numFmtId="224" fontId="21" fillId="0" borderId="62" xfId="0" applyNumberFormat="1" applyFont="1" applyBorder="1" applyAlignment="1" applyProtection="1">
      <alignment vertical="center"/>
    </xf>
    <xf numFmtId="224" fontId="21" fillId="0" borderId="17" xfId="0" applyNumberFormat="1" applyFont="1" applyBorder="1" applyAlignment="1" applyProtection="1">
      <alignment vertical="center"/>
    </xf>
    <xf numFmtId="224" fontId="21" fillId="0" borderId="64" xfId="0" applyNumberFormat="1" applyFont="1" applyBorder="1" applyAlignment="1" applyProtection="1">
      <alignment vertical="center"/>
    </xf>
    <xf numFmtId="223" fontId="21" fillId="0" borderId="49" xfId="0" applyNumberFormat="1" applyFont="1" applyBorder="1" applyAlignment="1" applyProtection="1">
      <alignment vertical="center"/>
      <protection locked="0"/>
    </xf>
    <xf numFmtId="223" fontId="21" fillId="0" borderId="18" xfId="0" applyNumberFormat="1" applyFont="1" applyBorder="1" applyAlignment="1" applyProtection="1">
      <alignment vertical="center"/>
      <protection locked="0"/>
    </xf>
    <xf numFmtId="223" fontId="21" fillId="0" borderId="61" xfId="0" applyNumberFormat="1" applyFont="1" applyBorder="1" applyAlignment="1" applyProtection="1">
      <alignment vertical="center"/>
      <protection locked="0"/>
    </xf>
    <xf numFmtId="223" fontId="21" fillId="0" borderId="42" xfId="0" applyNumberFormat="1" applyFont="1" applyBorder="1" applyAlignment="1" applyProtection="1">
      <alignment vertical="center"/>
      <protection locked="0"/>
    </xf>
    <xf numFmtId="201" fontId="21" fillId="0" borderId="72" xfId="6" applyNumberFormat="1" applyFont="1" applyBorder="1" applyAlignment="1">
      <alignment vertical="center"/>
    </xf>
    <xf numFmtId="206" fontId="21" fillId="0" borderId="10" xfId="0" applyNumberFormat="1" applyFont="1" applyBorder="1" applyAlignment="1">
      <alignment vertical="center"/>
    </xf>
    <xf numFmtId="217" fontId="21" fillId="0" borderId="5" xfId="6" applyNumberFormat="1" applyFont="1" applyBorder="1" applyAlignment="1">
      <alignment vertical="center"/>
    </xf>
    <xf numFmtId="206" fontId="21" fillId="0" borderId="37" xfId="0" applyNumberFormat="1" applyFont="1" applyBorder="1" applyAlignment="1">
      <alignment vertical="center"/>
    </xf>
    <xf numFmtId="217" fontId="21" fillId="0" borderId="25" xfId="6" applyNumberFormat="1" applyFont="1" applyBorder="1" applyAlignment="1">
      <alignment vertical="center"/>
    </xf>
    <xf numFmtId="206" fontId="21" fillId="0" borderId="39" xfId="0" applyNumberFormat="1" applyFont="1" applyBorder="1" applyAlignment="1">
      <alignment vertical="center"/>
    </xf>
    <xf numFmtId="217" fontId="21" fillId="0" borderId="10" xfId="6" applyNumberFormat="1" applyFont="1" applyBorder="1" applyAlignment="1">
      <alignment vertical="center"/>
    </xf>
    <xf numFmtId="3" fontId="39" fillId="0" borderId="9" xfId="0" applyNumberFormat="1" applyFont="1" applyBorder="1" applyAlignment="1">
      <alignment horizontal="center" vertical="center"/>
    </xf>
    <xf numFmtId="3" fontId="39" fillId="0" borderId="11" xfId="0" applyNumberFormat="1" applyFont="1" applyBorder="1" applyAlignment="1">
      <alignment horizontal="center" vertical="center"/>
    </xf>
    <xf numFmtId="3" fontId="39" fillId="0" borderId="9" xfId="0" applyNumberFormat="1" applyFont="1" applyBorder="1" applyAlignment="1">
      <alignment horizontal="center"/>
    </xf>
    <xf numFmtId="3" fontId="39" fillId="0" borderId="69" xfId="0" applyNumberFormat="1" applyFont="1" applyBorder="1" applyAlignment="1">
      <alignment horizontal="center"/>
    </xf>
    <xf numFmtId="3" fontId="39" fillId="0" borderId="7" xfId="0" applyNumberFormat="1" applyFont="1" applyBorder="1" applyAlignment="1">
      <alignment horizontal="center"/>
    </xf>
    <xf numFmtId="3" fontId="39" fillId="0" borderId="30" xfId="0" applyNumberFormat="1" applyFont="1" applyBorder="1" applyAlignment="1">
      <alignment horizontal="center"/>
    </xf>
    <xf numFmtId="3" fontId="39" fillId="0" borderId="13" xfId="0" applyNumberFormat="1" applyFont="1" applyBorder="1" applyAlignment="1">
      <alignment horizontal="center"/>
    </xf>
    <xf numFmtId="3" fontId="39" fillId="0" borderId="38" xfId="0" applyNumberFormat="1" applyFont="1" applyBorder="1" applyAlignment="1">
      <alignment horizontal="center" vertical="center"/>
    </xf>
    <xf numFmtId="3" fontId="39" fillId="0" borderId="56" xfId="0" applyNumberFormat="1" applyFont="1" applyBorder="1" applyAlignment="1">
      <alignment horizontal="left" indent="1"/>
    </xf>
    <xf numFmtId="3" fontId="39" fillId="0" borderId="9" xfId="0" applyNumberFormat="1" applyFont="1" applyBorder="1"/>
    <xf numFmtId="3" fontId="39" fillId="0" borderId="6" xfId="0" applyNumberFormat="1" applyFont="1" applyBorder="1" applyAlignment="1">
      <alignment horizontal="left" vertical="center" indent="1"/>
    </xf>
    <xf numFmtId="3" fontId="39" fillId="0" borderId="69" xfId="0" applyNumberFormat="1" applyFont="1" applyBorder="1" applyAlignment="1">
      <alignment horizontal="left" vertical="center" indent="1"/>
    </xf>
    <xf numFmtId="3" fontId="39" fillId="0" borderId="9" xfId="0" applyNumberFormat="1" applyFont="1" applyBorder="1" applyAlignment="1">
      <alignment horizontal="left" vertical="center" indent="1"/>
    </xf>
    <xf numFmtId="3" fontId="39" fillId="0" borderId="11" xfId="0" applyNumberFormat="1" applyFont="1" applyBorder="1" applyAlignment="1">
      <alignment horizontal="left" vertical="center" indent="1"/>
    </xf>
    <xf numFmtId="3" fontId="39" fillId="0" borderId="19" xfId="0" applyNumberFormat="1" applyFont="1" applyBorder="1" applyAlignment="1">
      <alignment horizontal="left" vertical="center" indent="1"/>
    </xf>
    <xf numFmtId="3" fontId="39" fillId="0" borderId="9" xfId="0" applyNumberFormat="1" applyFont="1" applyBorder="1" applyAlignment="1">
      <alignment horizontal="left" indent="1"/>
    </xf>
    <xf numFmtId="3" fontId="39" fillId="0" borderId="69" xfId="0" applyNumberFormat="1" applyFont="1" applyBorder="1" applyAlignment="1">
      <alignment horizontal="left" indent="1"/>
    </xf>
    <xf numFmtId="3" fontId="39" fillId="0" borderId="7" xfId="0" applyNumberFormat="1" applyFont="1" applyBorder="1" applyAlignment="1">
      <alignment horizontal="left" indent="1"/>
    </xf>
    <xf numFmtId="0" fontId="22" fillId="0" borderId="0" xfId="0" applyFont="1" applyAlignment="1">
      <alignment horizontal="left" indent="2"/>
    </xf>
    <xf numFmtId="177" fontId="39" fillId="0" borderId="20" xfId="0" applyNumberFormat="1" applyFont="1" applyBorder="1" applyAlignment="1">
      <alignment horizontal="center" vertical="center"/>
    </xf>
    <xf numFmtId="177" fontId="39" fillId="0" borderId="21" xfId="0" applyNumberFormat="1" applyFont="1" applyBorder="1" applyAlignment="1">
      <alignment horizontal="center" vertical="center"/>
    </xf>
    <xf numFmtId="177" fontId="39" fillId="0" borderId="71" xfId="0" applyNumberFormat="1" applyFont="1" applyBorder="1" applyAlignment="1">
      <alignment horizontal="center" vertical="center"/>
    </xf>
    <xf numFmtId="177" fontId="39" fillId="0" borderId="42" xfId="0" applyNumberFormat="1" applyFont="1" applyBorder="1" applyAlignment="1">
      <alignment horizontal="center" vertical="center"/>
    </xf>
    <xf numFmtId="177" fontId="39" fillId="0" borderId="23" xfId="0" applyNumberFormat="1" applyFont="1" applyBorder="1" applyAlignment="1">
      <alignment horizontal="center" vertical="center"/>
    </xf>
    <xf numFmtId="177" fontId="39" fillId="0" borderId="1" xfId="0" applyNumberFormat="1" applyFont="1" applyBorder="1" applyAlignment="1">
      <alignment horizontal="center" vertical="center"/>
    </xf>
    <xf numFmtId="177" fontId="39" fillId="0" borderId="50" xfId="0" applyNumberFormat="1" applyFont="1" applyBorder="1" applyAlignment="1">
      <alignment horizontal="center" vertical="center"/>
    </xf>
    <xf numFmtId="177" fontId="39" fillId="0" borderId="43" xfId="0" applyNumberFormat="1" applyFont="1" applyBorder="1" applyAlignment="1">
      <alignment horizontal="center" vertical="center"/>
    </xf>
    <xf numFmtId="177" fontId="39" fillId="0" borderId="48" xfId="0" applyNumberFormat="1" applyFont="1" applyBorder="1" applyAlignment="1">
      <alignment horizontal="center" vertical="center"/>
    </xf>
    <xf numFmtId="177" fontId="39" fillId="0" borderId="2" xfId="0" applyNumberFormat="1" applyFont="1" applyBorder="1" applyAlignment="1">
      <alignment horizontal="center" vertical="center"/>
    </xf>
    <xf numFmtId="177" fontId="39" fillId="0" borderId="55" xfId="0" applyNumberFormat="1" applyFont="1" applyBorder="1" applyAlignment="1">
      <alignment horizontal="center" vertical="center"/>
    </xf>
    <xf numFmtId="177" fontId="39" fillId="0" borderId="85" xfId="0" applyNumberFormat="1" applyFont="1" applyBorder="1" applyAlignment="1">
      <alignment horizontal="center" vertical="center"/>
    </xf>
    <xf numFmtId="180" fontId="39" fillId="0" borderId="20" xfId="0" applyNumberFormat="1" applyFont="1" applyBorder="1" applyAlignment="1">
      <alignment horizontal="center" vertical="center"/>
    </xf>
    <xf numFmtId="180" fontId="39" fillId="0" borderId="41" xfId="0" applyNumberFormat="1" applyFont="1" applyBorder="1" applyAlignment="1">
      <alignment horizontal="center" vertical="center"/>
    </xf>
    <xf numFmtId="180" fontId="39" fillId="0" borderId="71" xfId="0" applyNumberFormat="1" applyFont="1" applyBorder="1" applyAlignment="1">
      <alignment horizontal="center" vertical="center"/>
    </xf>
    <xf numFmtId="180" fontId="39" fillId="0" borderId="21" xfId="0" applyNumberFormat="1" applyFont="1" applyBorder="1" applyAlignment="1">
      <alignment horizontal="center" vertical="center"/>
    </xf>
    <xf numFmtId="180" fontId="39" fillId="0" borderId="42" xfId="0" applyNumberFormat="1" applyFont="1" applyBorder="1" applyAlignment="1">
      <alignment horizontal="center" vertical="center"/>
    </xf>
    <xf numFmtId="180" fontId="39" fillId="0" borderId="23" xfId="0" applyNumberFormat="1" applyFont="1" applyBorder="1" applyAlignment="1">
      <alignment horizontal="center" vertical="center"/>
    </xf>
    <xf numFmtId="180" fontId="39" fillId="0" borderId="51" xfId="0" applyNumberFormat="1" applyFont="1" applyBorder="1" applyAlignment="1">
      <alignment horizontal="center" vertical="center"/>
    </xf>
    <xf numFmtId="180" fontId="39" fillId="0" borderId="50" xfId="0" applyNumberFormat="1" applyFont="1" applyBorder="1" applyAlignment="1">
      <alignment horizontal="center" vertical="center"/>
    </xf>
    <xf numFmtId="180" fontId="39" fillId="0" borderId="1" xfId="0" applyNumberFormat="1" applyFont="1" applyBorder="1" applyAlignment="1">
      <alignment horizontal="center" vertical="center"/>
    </xf>
    <xf numFmtId="180" fontId="39" fillId="0" borderId="43" xfId="0" applyNumberFormat="1" applyFont="1" applyBorder="1" applyAlignment="1">
      <alignment horizontal="center" vertical="center"/>
    </xf>
    <xf numFmtId="180" fontId="39" fillId="0" borderId="86" xfId="0" applyNumberFormat="1" applyFont="1" applyBorder="1" applyAlignment="1">
      <alignment horizontal="center" vertical="center"/>
    </xf>
    <xf numFmtId="180" fontId="39" fillId="0" borderId="65" xfId="0" applyNumberFormat="1" applyFont="1" applyBorder="1" applyAlignment="1">
      <alignment horizontal="center" vertical="center"/>
    </xf>
    <xf numFmtId="180" fontId="39" fillId="0" borderId="117" xfId="0" applyNumberFormat="1" applyFont="1" applyBorder="1" applyAlignment="1">
      <alignment horizontal="center" vertical="center"/>
    </xf>
    <xf numFmtId="180" fontId="39" fillId="0" borderId="84" xfId="0" applyNumberFormat="1" applyFont="1" applyBorder="1" applyAlignment="1">
      <alignment horizontal="center" vertical="center"/>
    </xf>
    <xf numFmtId="180" fontId="39" fillId="0" borderId="90" xfId="0" applyNumberFormat="1" applyFont="1" applyBorder="1" applyAlignment="1">
      <alignment horizontal="center" vertical="center"/>
    </xf>
    <xf numFmtId="2" fontId="39" fillId="0" borderId="9" xfId="6" applyNumberFormat="1" applyFont="1" applyBorder="1" applyAlignment="1">
      <alignment horizontal="center"/>
    </xf>
    <xf numFmtId="2" fontId="39" fillId="0" borderId="31" xfId="6" applyNumberFormat="1" applyFont="1" applyBorder="1" applyAlignment="1">
      <alignment horizontal="center"/>
    </xf>
    <xf numFmtId="2" fontId="39" fillId="0" borderId="0" xfId="6" applyNumberFormat="1" applyFont="1" applyBorder="1" applyAlignment="1">
      <alignment horizontal="center"/>
    </xf>
    <xf numFmtId="2" fontId="39" fillId="0" borderId="68" xfId="6" applyNumberFormat="1" applyFont="1" applyBorder="1" applyAlignment="1">
      <alignment horizontal="center"/>
    </xf>
    <xf numFmtId="2" fontId="39" fillId="0" borderId="7" xfId="6" applyNumberFormat="1" applyFont="1" applyBorder="1" applyAlignment="1">
      <alignment horizontal="center"/>
    </xf>
    <xf numFmtId="2" fontId="39" fillId="0" borderId="2" xfId="6" applyNumberFormat="1" applyFont="1" applyBorder="1" applyAlignment="1">
      <alignment horizontal="center"/>
    </xf>
    <xf numFmtId="2" fontId="39" fillId="0" borderId="77" xfId="6" applyNumberFormat="1" applyFont="1" applyBorder="1" applyAlignment="1">
      <alignment horizontal="center"/>
    </xf>
    <xf numFmtId="2" fontId="39" fillId="0" borderId="85" xfId="6" applyNumberFormat="1" applyFont="1" applyBorder="1" applyAlignment="1">
      <alignment horizontal="center"/>
    </xf>
    <xf numFmtId="238" fontId="32" fillId="0" borderId="0" xfId="0" applyNumberFormat="1" applyFont="1" applyAlignment="1" applyProtection="1">
      <alignment vertical="center"/>
    </xf>
    <xf numFmtId="3" fontId="22" fillId="0" borderId="19" xfId="0" applyNumberFormat="1" applyFont="1" applyBorder="1" applyAlignment="1" applyProtection="1">
      <alignment horizontal="center" vertical="center"/>
    </xf>
    <xf numFmtId="3" fontId="22" fillId="0" borderId="11" xfId="0" applyNumberFormat="1" applyFont="1" applyBorder="1" applyAlignment="1" applyProtection="1">
      <alignment horizontal="left" vertical="center" indent="1"/>
    </xf>
    <xf numFmtId="3" fontId="22" fillId="0" borderId="10" xfId="0" applyNumberFormat="1" applyFont="1" applyBorder="1" applyAlignment="1" applyProtection="1">
      <alignment horizontal="right" vertical="center" indent="1"/>
    </xf>
    <xf numFmtId="0" fontId="22" fillId="0" borderId="0" xfId="0" applyFont="1" applyAlignment="1">
      <alignment horizontal="centerContinuous" vertical="center"/>
    </xf>
    <xf numFmtId="0" fontId="18" fillId="0" borderId="0" xfId="0" applyFont="1" applyAlignment="1">
      <alignment horizontal="centerContinuous" vertical="center"/>
    </xf>
    <xf numFmtId="0" fontId="54" fillId="0" borderId="0" xfId="0" applyFont="1" applyAlignment="1" applyProtection="1">
      <alignment horizontal="center" vertical="center"/>
    </xf>
    <xf numFmtId="238" fontId="54" fillId="0" borderId="0" xfId="0" applyNumberFormat="1" applyFont="1" applyAlignment="1" applyProtection="1">
      <alignment vertical="center"/>
    </xf>
    <xf numFmtId="3" fontId="37" fillId="0" borderId="0" xfId="4" applyNumberFormat="1" applyFont="1" applyFill="1" applyBorder="1" applyAlignment="1" applyProtection="1">
      <alignment horizontal="left" vertical="center"/>
    </xf>
    <xf numFmtId="0" fontId="31" fillId="0" borderId="0" xfId="0" applyFont="1" applyProtection="1"/>
    <xf numFmtId="206" fontId="22" fillId="0" borderId="12" xfId="6" applyNumberFormat="1" applyFont="1" applyFill="1" applyBorder="1" applyAlignment="1" applyProtection="1"/>
    <xf numFmtId="206" fontId="22" fillId="0" borderId="11" xfId="6" applyNumberFormat="1" applyFont="1" applyFill="1" applyBorder="1" applyAlignment="1" applyProtection="1"/>
    <xf numFmtId="206" fontId="22" fillId="0" borderId="6" xfId="0" applyNumberFormat="1" applyFont="1" applyBorder="1" applyProtection="1"/>
    <xf numFmtId="206" fontId="22" fillId="0" borderId="11" xfId="0" applyNumberFormat="1" applyFont="1" applyBorder="1" applyProtection="1"/>
    <xf numFmtId="206" fontId="18" fillId="0" borderId="61" xfId="6" applyNumberFormat="1" applyFont="1" applyFill="1" applyBorder="1" applyAlignment="1" applyProtection="1">
      <alignment vertical="center"/>
    </xf>
    <xf numFmtId="206" fontId="18" fillId="0" borderId="18" xfId="6" applyNumberFormat="1" applyFont="1" applyFill="1" applyBorder="1" applyAlignment="1" applyProtection="1">
      <alignment vertical="center"/>
    </xf>
    <xf numFmtId="206" fontId="18" fillId="0" borderId="18" xfId="4" applyNumberFormat="1" applyFont="1" applyFill="1" applyBorder="1" applyAlignment="1" applyProtection="1">
      <alignment vertical="center"/>
    </xf>
    <xf numFmtId="206" fontId="18" fillId="0" borderId="49" xfId="4" applyNumberFormat="1" applyFont="1" applyFill="1" applyBorder="1" applyAlignment="1" applyProtection="1">
      <alignment vertical="center"/>
    </xf>
    <xf numFmtId="206" fontId="22" fillId="0" borderId="12" xfId="0" applyNumberFormat="1" applyFont="1" applyBorder="1" applyAlignment="1" applyProtection="1">
      <alignment horizontal="right"/>
    </xf>
    <xf numFmtId="206" fontId="22" fillId="0" borderId="6" xfId="0" applyNumberFormat="1" applyFont="1" applyBorder="1" applyAlignment="1" applyProtection="1">
      <alignment horizontal="right"/>
    </xf>
    <xf numFmtId="206" fontId="22" fillId="0" borderId="11" xfId="0" applyNumberFormat="1" applyFont="1" applyBorder="1" applyAlignment="1" applyProtection="1">
      <alignment horizontal="right"/>
    </xf>
    <xf numFmtId="3" fontId="31" fillId="0" borderId="0" xfId="0" applyNumberFormat="1" applyFont="1" applyProtection="1"/>
    <xf numFmtId="3" fontId="31" fillId="0" borderId="0" xfId="0" applyNumberFormat="1" applyFont="1" applyAlignment="1" applyProtection="1">
      <alignment vertical="center"/>
    </xf>
    <xf numFmtId="9" fontId="21" fillId="0" borderId="0" xfId="0" applyNumberFormat="1" applyFont="1" applyProtection="1"/>
    <xf numFmtId="3" fontId="35" fillId="0" borderId="0" xfId="0" applyNumberFormat="1" applyFont="1" applyAlignment="1" applyProtection="1">
      <alignment wrapText="1"/>
    </xf>
    <xf numFmtId="3" fontId="62" fillId="0" borderId="10" xfId="0" applyNumberFormat="1" applyFont="1" applyBorder="1" applyAlignment="1" applyProtection="1">
      <alignment horizontal="center" wrapText="1"/>
    </xf>
    <xf numFmtId="3" fontId="24" fillId="0" borderId="18" xfId="0" applyNumberFormat="1" applyFont="1" applyBorder="1" applyAlignment="1" applyProtection="1">
      <alignment horizontal="right" indent="1"/>
    </xf>
    <xf numFmtId="172" fontId="24" fillId="0" borderId="11" xfId="0" applyNumberFormat="1" applyFont="1" applyBorder="1" applyAlignment="1" applyProtection="1">
      <alignment horizontal="right" indent="1"/>
    </xf>
    <xf numFmtId="3" fontId="21" fillId="0" borderId="19" xfId="0" applyNumberFormat="1" applyFont="1" applyBorder="1" applyAlignment="1" applyProtection="1">
      <alignment horizontal="center"/>
    </xf>
    <xf numFmtId="229" fontId="35" fillId="0" borderId="17" xfId="0" applyNumberFormat="1" applyFont="1" applyBorder="1" applyProtection="1"/>
    <xf numFmtId="3" fontId="27" fillId="0" borderId="0" xfId="0" applyNumberFormat="1" applyFont="1" applyProtection="1"/>
    <xf numFmtId="229" fontId="44" fillId="0" borderId="18" xfId="0" applyNumberFormat="1" applyFont="1" applyBorder="1" applyProtection="1"/>
    <xf numFmtId="229" fontId="44" fillId="0" borderId="11" xfId="0" applyNumberFormat="1" applyFont="1" applyBorder="1" applyProtection="1"/>
    <xf numFmtId="0" fontId="38" fillId="0" borderId="6" xfId="2" applyFont="1" applyFill="1" applyBorder="1" applyAlignment="1" applyProtection="1">
      <alignment horizontal="left" vertical="center" indent="2"/>
    </xf>
    <xf numFmtId="0" fontId="18" fillId="0" borderId="8" xfId="0" applyFont="1" applyBorder="1" applyAlignment="1">
      <alignment horizontal="centerContinuous" vertical="center"/>
    </xf>
    <xf numFmtId="0" fontId="18" fillId="0" borderId="56" xfId="0" applyFont="1" applyBorder="1" applyAlignment="1">
      <alignment horizontal="left" vertical="center" indent="2"/>
    </xf>
    <xf numFmtId="0" fontId="38" fillId="0" borderId="57" xfId="2" applyFont="1" applyFill="1" applyBorder="1" applyAlignment="1" applyProtection="1">
      <alignment horizontal="left" vertical="center" indent="2"/>
    </xf>
    <xf numFmtId="0" fontId="56" fillId="0" borderId="0" xfId="2" applyFont="1" applyFill="1" applyBorder="1" applyAlignment="1" applyProtection="1"/>
    <xf numFmtId="3" fontId="22" fillId="0" borderId="0" xfId="6" applyNumberFormat="1" applyFont="1" applyFill="1" applyBorder="1" applyAlignment="1" applyProtection="1">
      <alignment vertical="center"/>
    </xf>
    <xf numFmtId="4" fontId="51" fillId="0" borderId="20" xfId="0" applyNumberFormat="1" applyFont="1" applyBorder="1" applyAlignment="1">
      <alignment horizontal="center" shrinkToFit="1"/>
    </xf>
    <xf numFmtId="199" fontId="51" fillId="0" borderId="3" xfId="0" applyNumberFormat="1" applyFont="1" applyBorder="1" applyAlignment="1">
      <alignment horizontal="center"/>
    </xf>
    <xf numFmtId="248" fontId="22" fillId="0" borderId="24" xfId="0" applyNumberFormat="1" applyFont="1" applyBorder="1"/>
    <xf numFmtId="248" fontId="22" fillId="0" borderId="3" xfId="0" applyNumberFormat="1" applyFont="1" applyBorder="1"/>
    <xf numFmtId="3" fontId="57" fillId="0" borderId="0" xfId="0" applyNumberFormat="1" applyFont="1" applyProtection="1"/>
    <xf numFmtId="3" fontId="57" fillId="0" borderId="0" xfId="0" applyNumberFormat="1" applyFont="1" applyAlignment="1" applyProtection="1">
      <alignment horizontal="right"/>
    </xf>
    <xf numFmtId="3" fontId="18" fillId="0" borderId="5" xfId="0" applyNumberFormat="1" applyFont="1" applyBorder="1" applyAlignment="1">
      <alignment horizontal="center"/>
    </xf>
    <xf numFmtId="10" fontId="22" fillId="2" borderId="18" xfId="0" applyNumberFormat="1" applyFont="1" applyFill="1" applyBorder="1" applyAlignment="1" applyProtection="1">
      <alignment horizontal="center" vertical="center"/>
      <protection locked="0"/>
    </xf>
    <xf numFmtId="0" fontId="22" fillId="2" borderId="49" xfId="0" applyFont="1" applyFill="1" applyBorder="1" applyAlignment="1" applyProtection="1">
      <alignment horizontal="left" vertical="center" indent="1"/>
      <protection locked="0"/>
    </xf>
    <xf numFmtId="0" fontId="22" fillId="0" borderId="11" xfId="0" applyFont="1" applyBorder="1" applyAlignment="1">
      <alignment horizontal="left" vertical="center" indent="1"/>
    </xf>
    <xf numFmtId="0" fontId="22" fillId="0" borderId="18" xfId="0" applyFont="1" applyBorder="1" applyAlignment="1">
      <alignment horizontal="left" indent="1"/>
    </xf>
    <xf numFmtId="0" fontId="22" fillId="0" borderId="11" xfId="0" applyFont="1" applyBorder="1" applyAlignment="1">
      <alignment horizontal="left" indent="1"/>
    </xf>
    <xf numFmtId="0" fontId="22" fillId="0" borderId="19" xfId="0" applyFont="1" applyBorder="1" applyAlignment="1">
      <alignment horizontal="left" indent="1"/>
    </xf>
    <xf numFmtId="0" fontId="22" fillId="0" borderId="44" xfId="0" applyFont="1" applyBorder="1" applyAlignment="1" applyProtection="1">
      <alignment vertical="center"/>
    </xf>
    <xf numFmtId="0" fontId="28" fillId="0" borderId="5" xfId="0" applyFont="1" applyBorder="1" applyAlignment="1" applyProtection="1">
      <alignment horizontal="centerContinuous" vertical="center" wrapText="1"/>
    </xf>
    <xf numFmtId="0" fontId="28" fillId="0" borderId="56" xfId="0" applyFont="1" applyBorder="1" applyAlignment="1" applyProtection="1">
      <alignment horizontal="centerContinuous" vertical="center" wrapText="1"/>
    </xf>
    <xf numFmtId="3" fontId="18" fillId="0" borderId="8" xfId="0" applyNumberFormat="1" applyFont="1" applyBorder="1" applyAlignment="1" applyProtection="1">
      <alignment horizontal="center" vertical="center"/>
    </xf>
    <xf numFmtId="249" fontId="34" fillId="0" borderId="0" xfId="0" applyNumberFormat="1" applyFont="1" applyProtection="1"/>
    <xf numFmtId="10" fontId="22" fillId="2" borderId="19" xfId="0" applyNumberFormat="1" applyFont="1" applyFill="1" applyBorder="1" applyAlignment="1" applyProtection="1">
      <alignment horizontal="center" vertical="center"/>
      <protection locked="0"/>
    </xf>
    <xf numFmtId="231" fontId="24" fillId="2" borderId="7" xfId="0" applyNumberFormat="1" applyFont="1" applyFill="1" applyBorder="1" applyAlignment="1" applyProtection="1">
      <alignment horizontal="right" indent="2"/>
      <protection locked="0"/>
    </xf>
    <xf numFmtId="3" fontId="24" fillId="2" borderId="2" xfId="0" applyNumberFormat="1" applyFont="1" applyFill="1" applyBorder="1" applyAlignment="1" applyProtection="1">
      <alignment horizontal="center"/>
      <protection locked="0"/>
    </xf>
    <xf numFmtId="206" fontId="24" fillId="0" borderId="4" xfId="0" applyNumberFormat="1" applyFont="1" applyBorder="1" applyAlignment="1" applyProtection="1">
      <alignment horizontal="right"/>
    </xf>
    <xf numFmtId="0" fontId="35" fillId="0" borderId="18" xfId="0" applyFont="1" applyBorder="1" applyAlignment="1">
      <alignment horizontal="center" wrapText="1"/>
    </xf>
    <xf numFmtId="0" fontId="35" fillId="0" borderId="49" xfId="0" applyFont="1" applyBorder="1" applyAlignment="1">
      <alignment horizontal="center" wrapText="1"/>
    </xf>
    <xf numFmtId="0" fontId="35" fillId="0" borderId="21" xfId="0" applyFont="1" applyBorder="1" applyAlignment="1">
      <alignment horizontal="center" wrapText="1"/>
    </xf>
    <xf numFmtId="0" fontId="25" fillId="0" borderId="22" xfId="0" applyFont="1" applyBorder="1" applyAlignment="1" applyProtection="1">
      <alignment horizontal="center" wrapText="1"/>
    </xf>
    <xf numFmtId="206" fontId="24" fillId="2" borderId="7" xfId="0" applyNumberFormat="1" applyFont="1" applyFill="1" applyBorder="1" applyProtection="1">
      <protection locked="0"/>
    </xf>
    <xf numFmtId="0" fontId="21" fillId="0" borderId="18" xfId="0" applyFont="1" applyBorder="1" applyAlignment="1">
      <alignment horizontal="center" vertical="center" wrapText="1"/>
    </xf>
    <xf numFmtId="0" fontId="21" fillId="0" borderId="18" xfId="0" applyFont="1" applyBorder="1" applyAlignment="1" applyProtection="1">
      <alignment horizontal="center" vertical="center" wrapText="1"/>
    </xf>
    <xf numFmtId="234" fontId="22" fillId="0" borderId="14" xfId="4" applyNumberFormat="1" applyFont="1" applyFill="1" applyBorder="1" applyAlignment="1" applyProtection="1">
      <alignment vertical="center"/>
    </xf>
    <xf numFmtId="234" fontId="22" fillId="0" borderId="77" xfId="4" applyNumberFormat="1" applyFont="1" applyFill="1" applyBorder="1" applyAlignment="1" applyProtection="1">
      <alignment vertical="center"/>
    </xf>
    <xf numFmtId="3" fontId="18" fillId="0" borderId="18" xfId="0" applyNumberFormat="1" applyFont="1" applyBorder="1" applyAlignment="1" applyProtection="1">
      <alignment horizontal="center" vertical="center" wrapText="1"/>
    </xf>
    <xf numFmtId="3" fontId="28" fillId="0" borderId="10" xfId="0" applyNumberFormat="1" applyFont="1" applyBorder="1" applyAlignment="1" applyProtection="1">
      <alignment horizontal="centerContinuous" vertical="center"/>
    </xf>
    <xf numFmtId="3" fontId="26" fillId="0" borderId="10" xfId="0" applyNumberFormat="1" applyFont="1" applyBorder="1" applyAlignment="1" applyProtection="1">
      <alignment horizontal="centerContinuous" vertical="center"/>
    </xf>
    <xf numFmtId="0" fontId="28" fillId="0" borderId="8" xfId="0" applyFont="1" applyBorder="1" applyAlignment="1" applyProtection="1">
      <alignment horizontal="centerContinuous" vertical="center" wrapText="1"/>
    </xf>
    <xf numFmtId="0" fontId="22" fillId="0" borderId="14" xfId="0" applyFont="1" applyBorder="1" applyAlignment="1">
      <alignment horizontal="left" vertical="center" indent="1"/>
    </xf>
    <xf numFmtId="240" fontId="22" fillId="2" borderId="14" xfId="0" applyNumberFormat="1" applyFont="1" applyFill="1" applyBorder="1" applyAlignment="1" applyProtection="1">
      <alignment vertical="center"/>
      <protection locked="0"/>
    </xf>
    <xf numFmtId="3" fontId="18" fillId="0" borderId="118" xfId="0" applyNumberFormat="1" applyFont="1" applyBorder="1" applyAlignment="1" applyProtection="1">
      <alignment horizontal="center" vertical="center"/>
    </xf>
    <xf numFmtId="0" fontId="21" fillId="0" borderId="119" xfId="0" applyFont="1" applyBorder="1" applyAlignment="1">
      <alignment horizontal="center" vertical="center"/>
    </xf>
    <xf numFmtId="3" fontId="21" fillId="0" borderId="120" xfId="0" applyNumberFormat="1" applyFont="1" applyBorder="1" applyAlignment="1">
      <alignment horizontal="center" vertical="center"/>
    </xf>
    <xf numFmtId="3" fontId="21" fillId="0" borderId="121" xfId="0" applyNumberFormat="1" applyFont="1" applyBorder="1" applyAlignment="1">
      <alignment horizontal="center" vertical="center"/>
    </xf>
    <xf numFmtId="3" fontId="21" fillId="0" borderId="121" xfId="0" applyNumberFormat="1" applyFont="1" applyBorder="1" applyAlignment="1">
      <alignment horizontal="center" vertical="center" shrinkToFit="1"/>
    </xf>
    <xf numFmtId="3" fontId="21" fillId="0" borderId="122" xfId="0" applyNumberFormat="1" applyFont="1" applyBorder="1" applyAlignment="1">
      <alignment horizontal="center" vertical="center" shrinkToFit="1"/>
    </xf>
    <xf numFmtId="0" fontId="21" fillId="0" borderId="59" xfId="0" applyFont="1" applyBorder="1" applyAlignment="1">
      <alignment horizontal="right"/>
    </xf>
    <xf numFmtId="3" fontId="18" fillId="0" borderId="61" xfId="0" applyNumberFormat="1" applyFont="1" applyBorder="1" applyAlignment="1">
      <alignment horizontal="center" vertical="center"/>
    </xf>
    <xf numFmtId="3" fontId="18" fillId="0" borderId="18" xfId="0" applyNumberFormat="1" applyFont="1" applyBorder="1" applyAlignment="1">
      <alignment horizontal="center" vertical="center"/>
    </xf>
    <xf numFmtId="231" fontId="21" fillId="0" borderId="57" xfId="0" applyNumberFormat="1" applyFont="1" applyBorder="1" applyAlignment="1" applyProtection="1">
      <alignment horizontal="center"/>
    </xf>
    <xf numFmtId="0" fontId="22" fillId="0" borderId="23" xfId="0" applyFont="1" applyBorder="1" applyAlignment="1">
      <alignment horizontal="right" vertical="center"/>
    </xf>
    <xf numFmtId="9" fontId="22" fillId="2" borderId="1" xfId="6" applyFont="1" applyFill="1" applyBorder="1" applyAlignment="1" applyProtection="1">
      <alignment horizontal="center" vertical="center"/>
      <protection locked="0"/>
    </xf>
    <xf numFmtId="9" fontId="22" fillId="2" borderId="50" xfId="6" applyFont="1" applyFill="1" applyBorder="1" applyAlignment="1" applyProtection="1">
      <alignment horizontal="center" vertical="center"/>
      <protection locked="0"/>
    </xf>
    <xf numFmtId="9" fontId="22" fillId="2" borderId="43" xfId="6" applyFont="1" applyFill="1" applyBorder="1" applyAlignment="1" applyProtection="1">
      <alignment horizontal="center" vertical="center"/>
      <protection locked="0"/>
    </xf>
    <xf numFmtId="0" fontId="22" fillId="0" borderId="34" xfId="0" applyFont="1" applyBorder="1" applyAlignment="1">
      <alignment horizontal="right" vertical="center"/>
    </xf>
    <xf numFmtId="9" fontId="22" fillId="0" borderId="35" xfId="6" applyFont="1" applyBorder="1" applyAlignment="1">
      <alignment horizontal="center" vertical="center"/>
    </xf>
    <xf numFmtId="9" fontId="22" fillId="0" borderId="60" xfId="6" applyFont="1" applyFill="1" applyBorder="1" applyAlignment="1">
      <alignment horizontal="center" vertical="center"/>
    </xf>
    <xf numFmtId="9" fontId="22" fillId="0" borderId="35" xfId="6" applyFont="1" applyFill="1" applyBorder="1" applyAlignment="1">
      <alignment horizontal="center" vertical="center"/>
    </xf>
    <xf numFmtId="9" fontId="22" fillId="0" borderId="44" xfId="6" applyFont="1" applyFill="1" applyBorder="1" applyAlignment="1">
      <alignment horizontal="center" vertical="center"/>
    </xf>
    <xf numFmtId="0" fontId="15" fillId="0" borderId="62" xfId="0" applyFont="1" applyBorder="1" applyAlignment="1">
      <alignment horizontal="center" vertical="center"/>
    </xf>
    <xf numFmtId="10" fontId="22" fillId="2" borderId="35" xfId="6" applyNumberFormat="1" applyFont="1" applyFill="1" applyBorder="1" applyAlignment="1" applyProtection="1">
      <alignment horizontal="center" vertical="center"/>
      <protection locked="0"/>
    </xf>
    <xf numFmtId="10" fontId="22" fillId="2" borderId="60" xfId="6" applyNumberFormat="1" applyFont="1" applyFill="1" applyBorder="1" applyAlignment="1" applyProtection="1">
      <alignment horizontal="center" vertical="center"/>
      <protection locked="0"/>
    </xf>
    <xf numFmtId="10" fontId="22" fillId="2" borderId="44" xfId="6" applyNumberFormat="1" applyFont="1" applyFill="1" applyBorder="1" applyAlignment="1" applyProtection="1">
      <alignment horizontal="center" vertical="center"/>
      <protection locked="0"/>
    </xf>
    <xf numFmtId="200" fontId="39" fillId="0" borderId="20" xfId="0" applyNumberFormat="1" applyFont="1" applyBorder="1" applyAlignment="1" applyProtection="1">
      <alignment vertical="center"/>
    </xf>
    <xf numFmtId="217" fontId="39" fillId="0" borderId="71" xfId="6" applyNumberFormat="1" applyFont="1" applyBorder="1" applyAlignment="1" applyProtection="1">
      <alignment vertical="center"/>
    </xf>
    <xf numFmtId="217" fontId="39" fillId="0" borderId="21" xfId="6" applyNumberFormat="1" applyFont="1" applyBorder="1" applyAlignment="1" applyProtection="1">
      <alignment vertical="center"/>
    </xf>
    <xf numFmtId="217" fontId="39" fillId="0" borderId="22" xfId="0" applyNumberFormat="1" applyFont="1" applyBorder="1" applyAlignment="1" applyProtection="1">
      <alignment vertical="center"/>
    </xf>
    <xf numFmtId="200" fontId="39" fillId="0" borderId="41" xfId="0" applyNumberFormat="1" applyFont="1" applyBorder="1" applyAlignment="1" applyProtection="1">
      <alignment vertical="center"/>
    </xf>
    <xf numFmtId="217" fontId="39" fillId="0" borderId="71" xfId="0" applyNumberFormat="1" applyFont="1" applyBorder="1" applyAlignment="1" applyProtection="1">
      <alignment vertical="center"/>
    </xf>
    <xf numFmtId="200" fontId="39" fillId="0" borderId="34" xfId="0" applyNumberFormat="1" applyFont="1" applyBorder="1" applyAlignment="1" applyProtection="1">
      <alignment vertical="center"/>
    </xf>
    <xf numFmtId="217" fontId="39" fillId="0" borderId="60" xfId="6" applyNumberFormat="1" applyFont="1" applyBorder="1" applyAlignment="1" applyProtection="1">
      <alignment vertical="center"/>
    </xf>
    <xf numFmtId="217" fontId="39" fillId="0" borderId="35" xfId="6" applyNumberFormat="1" applyFont="1" applyBorder="1" applyAlignment="1" applyProtection="1">
      <alignment vertical="center"/>
    </xf>
    <xf numFmtId="217" fontId="39" fillId="0" borderId="3" xfId="0" applyNumberFormat="1" applyFont="1" applyBorder="1" applyAlignment="1" applyProtection="1">
      <alignment vertical="center"/>
    </xf>
    <xf numFmtId="200" fontId="39" fillId="0" borderId="63" xfId="0" applyNumberFormat="1" applyFont="1" applyBorder="1" applyAlignment="1" applyProtection="1">
      <alignment vertical="center"/>
    </xf>
    <xf numFmtId="217" fontId="39" fillId="0" borderId="60" xfId="0" applyNumberFormat="1" applyFont="1" applyBorder="1" applyAlignment="1" applyProtection="1">
      <alignment vertical="center"/>
    </xf>
    <xf numFmtId="3" fontId="23" fillId="2" borderId="8" xfId="0" applyNumberFormat="1" applyFont="1" applyFill="1" applyBorder="1" applyAlignment="1">
      <alignment horizontal="left" vertical="center" indent="3"/>
    </xf>
    <xf numFmtId="3" fontId="23" fillId="2" borderId="8" xfId="0" applyNumberFormat="1" applyFont="1" applyFill="1" applyBorder="1" applyAlignment="1">
      <alignment horizontal="center" vertical="center"/>
    </xf>
    <xf numFmtId="0" fontId="39" fillId="0" borderId="61" xfId="0" applyFont="1" applyBorder="1"/>
    <xf numFmtId="0" fontId="39" fillId="0" borderId="42" xfId="0" applyFont="1" applyBorder="1"/>
    <xf numFmtId="0" fontId="39" fillId="0" borderId="43" xfId="0" applyFont="1" applyBorder="1"/>
    <xf numFmtId="0" fontId="39" fillId="0" borderId="62" xfId="0" applyFont="1" applyBorder="1"/>
    <xf numFmtId="0" fontId="39" fillId="0" borderId="44" xfId="0" applyFont="1" applyBorder="1"/>
    <xf numFmtId="0" fontId="39" fillId="0" borderId="49" xfId="0" applyFont="1" applyBorder="1" applyAlignment="1">
      <alignment horizontal="left" vertical="center" indent="2"/>
    </xf>
    <xf numFmtId="0" fontId="39" fillId="0" borderId="6" xfId="0" applyFont="1" applyBorder="1" applyAlignment="1">
      <alignment horizontal="left" vertical="center" indent="2"/>
    </xf>
    <xf numFmtId="0" fontId="39" fillId="0" borderId="15" xfId="0" applyFont="1" applyBorder="1" applyAlignment="1">
      <alignment horizontal="left" vertical="center" indent="2"/>
    </xf>
    <xf numFmtId="0" fontId="39" fillId="0" borderId="61" xfId="0" applyFont="1" applyBorder="1" applyAlignment="1">
      <alignment horizontal="left" indent="3"/>
    </xf>
    <xf numFmtId="0" fontId="39" fillId="0" borderId="42" xfId="0" applyFont="1" applyBorder="1" applyAlignment="1">
      <alignment horizontal="left" indent="3"/>
    </xf>
    <xf numFmtId="167" fontId="18" fillId="0" borderId="0" xfId="6" applyNumberFormat="1" applyFont="1" applyBorder="1" applyAlignment="1">
      <alignment horizontal="center"/>
    </xf>
    <xf numFmtId="197" fontId="39" fillId="0" borderId="0" xfId="0" applyNumberFormat="1" applyFont="1" applyAlignment="1">
      <alignment horizontal="center"/>
    </xf>
    <xf numFmtId="0" fontId="39" fillId="0" borderId="0" xfId="0" applyFont="1" applyAlignment="1">
      <alignment horizontal="right" vertical="center"/>
    </xf>
    <xf numFmtId="0" fontId="23" fillId="0" borderId="49" xfId="0" applyFont="1" applyBorder="1" applyAlignment="1" applyProtection="1">
      <alignment horizontal="left" vertical="center" indent="1"/>
    </xf>
    <xf numFmtId="0" fontId="23" fillId="0" borderId="6" xfId="0" applyFont="1" applyBorder="1" applyAlignment="1" applyProtection="1">
      <alignment horizontal="left" vertical="center" indent="1"/>
    </xf>
    <xf numFmtId="217" fontId="39" fillId="0" borderId="1" xfId="6" applyNumberFormat="1" applyFont="1" applyBorder="1" applyAlignment="1" applyProtection="1">
      <alignment vertical="center"/>
    </xf>
    <xf numFmtId="217" fontId="39" fillId="0" borderId="3" xfId="6" applyNumberFormat="1" applyFont="1" applyBorder="1" applyAlignment="1" applyProtection="1">
      <alignment vertical="center"/>
    </xf>
    <xf numFmtId="250" fontId="39" fillId="0" borderId="50" xfId="0" applyNumberFormat="1" applyFont="1" applyBorder="1" applyAlignment="1" applyProtection="1">
      <alignment vertical="center"/>
    </xf>
    <xf numFmtId="0" fontId="24" fillId="0" borderId="0" xfId="0" applyFont="1" applyAlignment="1" applyProtection="1">
      <alignment horizontal="left" indent="2"/>
    </xf>
    <xf numFmtId="3" fontId="22" fillId="0" borderId="11" xfId="0" applyNumberFormat="1" applyFont="1" applyBorder="1" applyAlignment="1">
      <alignment horizontal="left" indent="2"/>
    </xf>
    <xf numFmtId="3" fontId="22" fillId="0" borderId="0" xfId="0" quotePrefix="1" applyNumberFormat="1" applyFont="1"/>
    <xf numFmtId="0" fontId="22" fillId="0" borderId="0" xfId="0" applyFont="1" applyAlignment="1">
      <alignment horizontal="center"/>
    </xf>
    <xf numFmtId="178" fontId="22" fillId="0" borderId="0" xfId="0" applyNumberFormat="1" applyFont="1" applyAlignment="1">
      <alignment horizontal="centerContinuous"/>
    </xf>
    <xf numFmtId="3" fontId="22" fillId="0" borderId="0" xfId="0" applyNumberFormat="1" applyFont="1" applyAlignment="1">
      <alignment horizontal="center"/>
    </xf>
    <xf numFmtId="0" fontId="23" fillId="0" borderId="5" xfId="0" applyFont="1" applyBorder="1" applyAlignment="1">
      <alignment horizontal="left" indent="1"/>
    </xf>
    <xf numFmtId="0" fontId="23" fillId="0" borderId="16" xfId="0" applyFont="1" applyBorder="1" applyAlignment="1">
      <alignment horizontal="left" indent="1"/>
    </xf>
    <xf numFmtId="0" fontId="21" fillId="0" borderId="27" xfId="0" applyFont="1" applyBorder="1" applyAlignment="1">
      <alignment horizontal="center" vertical="center"/>
    </xf>
    <xf numFmtId="0" fontId="21" fillId="0" borderId="29" xfId="0" applyFont="1" applyBorder="1" applyAlignment="1">
      <alignment horizontal="center" vertical="center"/>
    </xf>
    <xf numFmtId="3" fontId="39" fillId="0" borderId="15" xfId="0" applyNumberFormat="1" applyFont="1" applyBorder="1" applyAlignment="1">
      <alignment horizontal="left" vertical="center" indent="1"/>
    </xf>
    <xf numFmtId="176" fontId="39" fillId="0" borderId="8" xfId="0" applyNumberFormat="1" applyFont="1" applyBorder="1" applyAlignment="1">
      <alignment horizontal="centerContinuous" vertical="center"/>
    </xf>
    <xf numFmtId="0" fontId="39" fillId="0" borderId="16" xfId="0" applyFont="1" applyBorder="1" applyAlignment="1">
      <alignment horizontal="centerContinuous" vertical="center"/>
    </xf>
    <xf numFmtId="0" fontId="23" fillId="0" borderId="49" xfId="0" applyFont="1" applyBorder="1" applyAlignment="1">
      <alignment horizontal="left" vertical="center" indent="2"/>
    </xf>
    <xf numFmtId="0" fontId="23" fillId="0" borderId="15" xfId="0" applyFont="1" applyBorder="1" applyAlignment="1" applyProtection="1">
      <alignment horizontal="left" vertical="center" indent="2"/>
    </xf>
    <xf numFmtId="0" fontId="39" fillId="0" borderId="49" xfId="0" applyFont="1" applyBorder="1" applyAlignment="1">
      <alignment horizontal="right" vertical="center" indent="2"/>
    </xf>
    <xf numFmtId="0" fontId="39" fillId="0" borderId="8" xfId="0" applyFont="1" applyBorder="1" applyAlignment="1">
      <alignment horizontal="center" vertical="center"/>
    </xf>
    <xf numFmtId="167" fontId="39" fillId="0" borderId="22" xfId="6" applyNumberFormat="1" applyFont="1" applyBorder="1" applyAlignment="1">
      <alignment horizontal="center" vertical="center"/>
    </xf>
    <xf numFmtId="167" fontId="39" fillId="0" borderId="24" xfId="6" applyNumberFormat="1" applyFont="1" applyBorder="1" applyAlignment="1">
      <alignment horizontal="center" vertical="center"/>
    </xf>
    <xf numFmtId="167" fontId="39" fillId="0" borderId="3" xfId="6" applyNumberFormat="1" applyFont="1" applyBorder="1" applyAlignment="1">
      <alignment horizontal="center" vertical="center"/>
    </xf>
    <xf numFmtId="197" fontId="39" fillId="0" borderId="39" xfId="0" applyNumberFormat="1" applyFont="1" applyBorder="1" applyAlignment="1">
      <alignment horizontal="center" vertical="center"/>
    </xf>
    <xf numFmtId="0" fontId="39" fillId="0" borderId="25" xfId="0" applyFont="1" applyBorder="1" applyAlignment="1">
      <alignment vertical="center"/>
    </xf>
    <xf numFmtId="0" fontId="39" fillId="0" borderId="10" xfId="0" applyFont="1" applyBorder="1" applyAlignment="1">
      <alignment horizontal="right" vertical="center" indent="1"/>
    </xf>
    <xf numFmtId="0" fontId="39" fillId="0" borderId="24" xfId="0" applyFont="1" applyBorder="1" applyAlignment="1">
      <alignment vertical="center"/>
    </xf>
    <xf numFmtId="0" fontId="39" fillId="0" borderId="3" xfId="0" applyFont="1" applyBorder="1" applyAlignment="1">
      <alignment vertical="center"/>
    </xf>
    <xf numFmtId="0" fontId="39" fillId="0" borderId="20" xfId="0" applyFont="1" applyBorder="1" applyAlignment="1">
      <alignment horizontal="right" vertical="center" indent="2"/>
    </xf>
    <xf numFmtId="0" fontId="39" fillId="0" borderId="34" xfId="0" applyFont="1" applyBorder="1" applyAlignment="1">
      <alignment horizontal="left" vertical="center" indent="1"/>
    </xf>
    <xf numFmtId="0" fontId="22" fillId="0" borderId="37" xfId="0" applyFont="1" applyBorder="1" applyAlignment="1">
      <alignment horizontal="left" vertical="center" indent="1"/>
    </xf>
    <xf numFmtId="0" fontId="22" fillId="0" borderId="5" xfId="0" applyFont="1" applyBorder="1" applyAlignment="1">
      <alignment horizontal="right" vertical="center" indent="2"/>
    </xf>
    <xf numFmtId="0" fontId="22" fillId="0" borderId="0" xfId="0" quotePrefix="1" applyFont="1" applyAlignment="1">
      <alignment vertical="center"/>
    </xf>
    <xf numFmtId="2" fontId="22" fillId="0" borderId="0" xfId="0" applyNumberFormat="1" applyFont="1" applyAlignment="1">
      <alignment horizontal="center" vertical="center"/>
    </xf>
    <xf numFmtId="177" fontId="39" fillId="0" borderId="6" xfId="0" applyNumberFormat="1" applyFont="1" applyBorder="1" applyAlignment="1">
      <alignment horizontal="center" vertical="center"/>
    </xf>
    <xf numFmtId="177" fontId="39" fillId="0" borderId="12" xfId="0" applyNumberFormat="1" applyFont="1" applyBorder="1" applyAlignment="1">
      <alignment horizontal="center" vertical="center"/>
    </xf>
    <xf numFmtId="244" fontId="39" fillId="0" borderId="6" xfId="0" applyNumberFormat="1" applyFont="1" applyBorder="1" applyAlignment="1">
      <alignment horizontal="right" vertical="center"/>
    </xf>
    <xf numFmtId="244" fontId="39" fillId="0" borderId="1" xfId="0" applyNumberFormat="1" applyFont="1" applyBorder="1" applyAlignment="1">
      <alignment horizontal="right" vertical="center"/>
    </xf>
    <xf numFmtId="244" fontId="39" fillId="0" borderId="12" xfId="0" applyNumberFormat="1" applyFont="1" applyBorder="1" applyAlignment="1">
      <alignment horizontal="right" vertical="center"/>
    </xf>
    <xf numFmtId="244" fontId="39" fillId="0" borderId="43" xfId="0" applyNumberFormat="1" applyFont="1" applyBorder="1" applyAlignment="1">
      <alignment horizontal="right" vertical="center"/>
    </xf>
    <xf numFmtId="193" fontId="39" fillId="0" borderId="56" xfId="0" applyNumberFormat="1" applyFont="1" applyBorder="1" applyAlignment="1">
      <alignment horizontal="center"/>
    </xf>
    <xf numFmtId="193" fontId="39" fillId="0" borderId="28" xfId="0" applyNumberFormat="1" applyFont="1" applyBorder="1" applyAlignment="1">
      <alignment horizontal="center"/>
    </xf>
    <xf numFmtId="193" fontId="39" fillId="0" borderId="26" xfId="0" applyNumberFormat="1" applyFont="1" applyBorder="1" applyAlignment="1">
      <alignment horizontal="center"/>
    </xf>
    <xf numFmtId="193" fontId="39" fillId="0" borderId="40" xfId="0" applyNumberFormat="1" applyFont="1" applyBorder="1" applyAlignment="1">
      <alignment horizontal="center"/>
    </xf>
    <xf numFmtId="193" fontId="39" fillId="0" borderId="7" xfId="0" applyNumberFormat="1" applyFont="1" applyBorder="1" applyAlignment="1">
      <alignment horizontal="center"/>
    </xf>
    <xf numFmtId="193" fontId="39" fillId="0" borderId="2" xfId="0" applyNumberFormat="1" applyFont="1" applyBorder="1" applyAlignment="1">
      <alignment horizontal="center"/>
    </xf>
    <xf numFmtId="193" fontId="39" fillId="0" borderId="77" xfId="0" applyNumberFormat="1" applyFont="1" applyBorder="1" applyAlignment="1">
      <alignment horizontal="center"/>
    </xf>
    <xf numFmtId="193" fontId="39" fillId="0" borderId="85" xfId="0" applyNumberFormat="1" applyFont="1" applyBorder="1" applyAlignment="1">
      <alignment horizontal="center"/>
    </xf>
    <xf numFmtId="0" fontId="18" fillId="2" borderId="36" xfId="0" applyFont="1" applyFill="1" applyBorder="1" applyAlignment="1" applyProtection="1">
      <alignment horizontal="center" vertical="center"/>
      <protection locked="0"/>
    </xf>
    <xf numFmtId="0" fontId="47" fillId="2" borderId="36" xfId="0" applyFont="1" applyFill="1" applyBorder="1" applyAlignment="1" applyProtection="1">
      <alignment horizontal="center" vertical="center"/>
      <protection locked="0"/>
    </xf>
    <xf numFmtId="0" fontId="18" fillId="0" borderId="5" xfId="0" applyFont="1" applyBorder="1" applyAlignment="1">
      <alignment vertical="center"/>
    </xf>
    <xf numFmtId="3" fontId="47" fillId="0" borderId="72" xfId="0" applyNumberFormat="1" applyFont="1" applyBorder="1" applyAlignment="1">
      <alignment horizontal="left" vertical="center" indent="2"/>
    </xf>
    <xf numFmtId="0" fontId="47" fillId="0" borderId="57" xfId="0" applyFont="1" applyBorder="1" applyAlignment="1">
      <alignment horizontal="center" vertical="center"/>
    </xf>
    <xf numFmtId="10" fontId="22" fillId="2" borderId="25" xfId="6" applyNumberFormat="1" applyFont="1" applyFill="1" applyBorder="1" applyAlignment="1" applyProtection="1">
      <alignment horizontal="center" vertical="center"/>
      <protection locked="0"/>
    </xf>
    <xf numFmtId="0" fontId="22" fillId="0" borderId="1" xfId="0" applyFont="1" applyBorder="1" applyAlignment="1">
      <alignment vertical="center"/>
    </xf>
    <xf numFmtId="252" fontId="39" fillId="0" borderId="36" xfId="0" applyNumberFormat="1" applyFont="1" applyBorder="1" applyAlignment="1">
      <alignment horizontal="center" vertical="center"/>
    </xf>
    <xf numFmtId="252" fontId="39" fillId="0" borderId="25" xfId="0" applyNumberFormat="1" applyFont="1" applyBorder="1" applyAlignment="1">
      <alignment horizontal="center" vertical="center"/>
    </xf>
    <xf numFmtId="252" fontId="39" fillId="0" borderId="37" xfId="0" applyNumberFormat="1" applyFont="1" applyBorder="1" applyAlignment="1">
      <alignment horizontal="center" vertical="center"/>
    </xf>
    <xf numFmtId="4" fontId="22" fillId="0" borderId="1" xfId="0" applyNumberFormat="1" applyFont="1" applyBorder="1" applyAlignment="1">
      <alignment horizontal="center" vertical="center"/>
    </xf>
    <xf numFmtId="4" fontId="22" fillId="0" borderId="24" xfId="0" applyNumberFormat="1" applyFont="1" applyBorder="1" applyAlignment="1">
      <alignment horizontal="center" vertical="center"/>
    </xf>
    <xf numFmtId="0" fontId="39" fillId="0" borderId="22" xfId="0" applyFont="1" applyBorder="1" applyAlignment="1">
      <alignment horizontal="left" vertical="center" indent="1"/>
    </xf>
    <xf numFmtId="246" fontId="22" fillId="0" borderId="1" xfId="6" applyNumberFormat="1" applyFont="1" applyBorder="1" applyAlignment="1">
      <alignment horizontal="center" vertical="center"/>
    </xf>
    <xf numFmtId="246" fontId="22" fillId="0" borderId="24" xfId="6" applyNumberFormat="1" applyFont="1" applyBorder="1" applyAlignment="1">
      <alignment horizontal="center" vertical="center"/>
    </xf>
    <xf numFmtId="246" fontId="22" fillId="0" borderId="1" xfId="6" applyNumberFormat="1" applyFont="1" applyFill="1" applyBorder="1" applyAlignment="1">
      <alignment horizontal="center" vertical="center"/>
    </xf>
    <xf numFmtId="246" fontId="22" fillId="0" borderId="24" xfId="6" applyNumberFormat="1" applyFont="1" applyFill="1" applyBorder="1" applyAlignment="1">
      <alignment horizontal="center" vertical="center"/>
    </xf>
    <xf numFmtId="4" fontId="22" fillId="0" borderId="35" xfId="0" applyNumberFormat="1" applyFont="1" applyBorder="1" applyAlignment="1">
      <alignment horizontal="center" vertical="center"/>
    </xf>
    <xf numFmtId="4" fontId="22" fillId="0" borderId="3" xfId="0" applyNumberFormat="1" applyFont="1" applyBorder="1" applyAlignment="1">
      <alignment horizontal="center" vertical="center"/>
    </xf>
    <xf numFmtId="0" fontId="15" fillId="0" borderId="5" xfId="0" applyFont="1" applyBorder="1" applyAlignment="1">
      <alignment horizontal="centerContinuous" vertical="center"/>
    </xf>
    <xf numFmtId="0" fontId="15" fillId="0" borderId="16" xfId="0" applyFont="1" applyBorder="1" applyAlignment="1">
      <alignment horizontal="centerContinuous" vertical="center"/>
    </xf>
    <xf numFmtId="10" fontId="63" fillId="0" borderId="0" xfId="6" applyNumberFormat="1" applyFont="1" applyAlignment="1">
      <alignment horizontal="center" vertical="center"/>
    </xf>
    <xf numFmtId="3" fontId="37" fillId="0" borderId="125" xfId="0" applyNumberFormat="1" applyFont="1" applyBorder="1" applyAlignment="1">
      <alignment horizontal="left" vertical="center" indent="2"/>
    </xf>
    <xf numFmtId="3" fontId="37" fillId="0" borderId="125" xfId="0" applyNumberFormat="1" applyFont="1" applyBorder="1" applyAlignment="1">
      <alignment vertical="center"/>
    </xf>
    <xf numFmtId="167" fontId="63" fillId="0" borderId="125" xfId="6" applyNumberFormat="1" applyFont="1" applyBorder="1" applyAlignment="1">
      <alignment horizontal="center" vertical="center"/>
    </xf>
    <xf numFmtId="3" fontId="24" fillId="0" borderId="14" xfId="0" applyNumberFormat="1" applyFont="1" applyBorder="1" applyAlignment="1">
      <alignment horizontal="left" indent="1"/>
    </xf>
    <xf numFmtId="3" fontId="24" fillId="0" borderId="11" xfId="0" applyNumberFormat="1" applyFont="1" applyBorder="1" applyAlignment="1">
      <alignment horizontal="left" indent="1"/>
    </xf>
    <xf numFmtId="3" fontId="24" fillId="0" borderId="38" xfId="0" applyNumberFormat="1" applyFont="1" applyBorder="1" applyAlignment="1">
      <alignment horizontal="left" indent="1"/>
    </xf>
    <xf numFmtId="9" fontId="47" fillId="2" borderId="16" xfId="0" applyNumberFormat="1" applyFont="1" applyFill="1" applyBorder="1" applyAlignment="1" applyProtection="1">
      <alignment horizontal="center"/>
      <protection locked="0"/>
    </xf>
    <xf numFmtId="0" fontId="21" fillId="0" borderId="16" xfId="0" applyFont="1" applyBorder="1"/>
    <xf numFmtId="1" fontId="21" fillId="0" borderId="16" xfId="0" applyNumberFormat="1" applyFont="1" applyBorder="1"/>
    <xf numFmtId="0" fontId="47" fillId="0" borderId="8" xfId="0" applyFont="1" applyBorder="1" applyAlignment="1">
      <alignment horizontal="center" vertical="center"/>
    </xf>
    <xf numFmtId="0" fontId="47" fillId="0" borderId="39" xfId="0" quotePrefix="1" applyFont="1" applyBorder="1" applyAlignment="1">
      <alignment horizontal="center" vertical="center"/>
    </xf>
    <xf numFmtId="0" fontId="32" fillId="0" borderId="0" xfId="0" applyFont="1" applyAlignment="1" applyProtection="1">
      <alignment horizontal="centerContinuous" vertical="center"/>
    </xf>
    <xf numFmtId="3" fontId="22" fillId="0" borderId="0" xfId="0" applyNumberFormat="1" applyFont="1" applyAlignment="1" applyProtection="1">
      <alignment horizontal="centerContinuous" vertical="center"/>
    </xf>
    <xf numFmtId="3" fontId="24" fillId="0" borderId="6" xfId="0" applyNumberFormat="1" applyFont="1" applyBorder="1" applyAlignment="1">
      <alignment horizontal="left" indent="1"/>
    </xf>
    <xf numFmtId="0" fontId="47" fillId="0" borderId="23" xfId="0" applyFont="1" applyBorder="1" applyAlignment="1">
      <alignment vertical="center"/>
    </xf>
    <xf numFmtId="0" fontId="39" fillId="0" borderId="1" xfId="0" applyFont="1" applyBorder="1" applyAlignment="1">
      <alignment horizontal="right" vertical="center"/>
    </xf>
    <xf numFmtId="10" fontId="22" fillId="2" borderId="24" xfId="0" applyNumberFormat="1" applyFont="1" applyFill="1" applyBorder="1" applyAlignment="1" applyProtection="1">
      <alignment horizontal="center" vertical="center"/>
      <protection locked="0"/>
    </xf>
    <xf numFmtId="0" fontId="47" fillId="0" borderId="34" xfId="0" applyFont="1" applyBorder="1" applyAlignment="1">
      <alignment vertical="center"/>
    </xf>
    <xf numFmtId="0" fontId="39" fillId="0" borderId="35" xfId="0" applyFont="1" applyBorder="1" applyAlignment="1">
      <alignment horizontal="right" vertical="center"/>
    </xf>
    <xf numFmtId="10" fontId="22" fillId="2" borderId="3" xfId="0" applyNumberFormat="1" applyFont="1" applyFill="1" applyBorder="1" applyAlignment="1" applyProtection="1">
      <alignment horizontal="center" vertical="center"/>
      <protection locked="0"/>
    </xf>
    <xf numFmtId="200" fontId="18" fillId="0" borderId="18" xfId="0" applyNumberFormat="1" applyFont="1" applyBorder="1" applyAlignment="1" applyProtection="1">
      <alignment vertical="center"/>
    </xf>
    <xf numFmtId="3" fontId="18" fillId="0" borderId="10" xfId="0" applyNumberFormat="1" applyFont="1" applyBorder="1" applyAlignment="1">
      <alignment horizontal="center" vertical="center"/>
    </xf>
    <xf numFmtId="3" fontId="18" fillId="0" borderId="5" xfId="0" applyNumberFormat="1" applyFont="1" applyBorder="1" applyAlignment="1">
      <alignment horizontal="center" vertical="center"/>
    </xf>
    <xf numFmtId="0" fontId="18" fillId="0" borderId="8" xfId="0" applyFont="1" applyBorder="1" applyAlignment="1">
      <alignment horizontal="right" vertical="center" indent="1"/>
    </xf>
    <xf numFmtId="0" fontId="22" fillId="0" borderId="0" xfId="0" quotePrefix="1" applyFont="1" applyProtection="1"/>
    <xf numFmtId="254" fontId="22" fillId="0" borderId="10" xfId="0" applyNumberFormat="1" applyFont="1" applyBorder="1"/>
    <xf numFmtId="0" fontId="22" fillId="0" borderId="0" xfId="0" applyFont="1" applyAlignment="1">
      <alignment horizontal="center" vertical="center"/>
    </xf>
    <xf numFmtId="0" fontId="22" fillId="0" borderId="20" xfId="0" applyFont="1" applyBorder="1" applyAlignment="1">
      <alignment horizontal="centerContinuous"/>
    </xf>
    <xf numFmtId="0" fontId="22" fillId="0" borderId="61" xfId="0" applyFont="1" applyBorder="1" applyAlignment="1">
      <alignment horizontal="centerContinuous"/>
    </xf>
    <xf numFmtId="9" fontId="47" fillId="0" borderId="22" xfId="0" applyNumberFormat="1" applyFont="1" applyBorder="1" applyAlignment="1" applyProtection="1">
      <alignment horizontal="center"/>
    </xf>
    <xf numFmtId="0" fontId="22" fillId="0" borderId="34" xfId="0" applyFont="1" applyBorder="1" applyAlignment="1">
      <alignment horizontal="centerContinuous" vertical="center" wrapText="1"/>
    </xf>
    <xf numFmtId="0" fontId="22" fillId="0" borderId="62" xfId="0" applyFont="1" applyBorder="1" applyAlignment="1">
      <alignment horizontal="centerContinuous" vertical="center"/>
    </xf>
    <xf numFmtId="0" fontId="21" fillId="0" borderId="49" xfId="0" applyFont="1" applyBorder="1" applyAlignment="1" applyProtection="1">
      <alignment horizontal="left" vertical="center" indent="2"/>
    </xf>
    <xf numFmtId="0" fontId="21" fillId="0" borderId="15" xfId="0" applyFont="1" applyBorder="1" applyAlignment="1" applyProtection="1">
      <alignment horizontal="right" indent="2"/>
    </xf>
    <xf numFmtId="0" fontId="24" fillId="0" borderId="39" xfId="0" applyFont="1" applyBorder="1" applyAlignment="1" applyProtection="1">
      <alignment horizontal="left" indent="2"/>
    </xf>
    <xf numFmtId="0" fontId="21" fillId="0" borderId="49" xfId="0" applyFont="1" applyBorder="1" applyAlignment="1" applyProtection="1">
      <alignment horizontal="left" indent="2"/>
    </xf>
    <xf numFmtId="0" fontId="24" fillId="0" borderId="6" xfId="0" applyFont="1" applyBorder="1" applyAlignment="1" applyProtection="1">
      <alignment horizontal="left" indent="4"/>
    </xf>
    <xf numFmtId="0" fontId="21" fillId="0" borderId="15" xfId="0" applyFont="1" applyBorder="1" applyAlignment="1" applyProtection="1">
      <alignment horizontal="right" indent="4"/>
    </xf>
    <xf numFmtId="0" fontId="24" fillId="0" borderId="5" xfId="0" applyFont="1" applyBorder="1" applyAlignment="1" applyProtection="1">
      <alignment horizontal="left" indent="2"/>
    </xf>
    <xf numFmtId="213" fontId="24" fillId="0" borderId="14" xfId="0" applyNumberFormat="1" applyFont="1" applyBorder="1" applyAlignment="1" applyProtection="1">
      <alignment horizontal="right"/>
    </xf>
    <xf numFmtId="0" fontId="35" fillId="0" borderId="18" xfId="0" applyFont="1" applyBorder="1" applyAlignment="1" applyProtection="1">
      <alignment horizontal="center" wrapText="1"/>
    </xf>
    <xf numFmtId="213" fontId="24" fillId="0" borderId="11" xfId="0" applyNumberFormat="1" applyFont="1" applyBorder="1" applyAlignment="1" applyProtection="1">
      <alignment horizontal="right"/>
    </xf>
    <xf numFmtId="213" fontId="21" fillId="0" borderId="19" xfId="0" applyNumberFormat="1" applyFont="1" applyBorder="1" applyProtection="1"/>
    <xf numFmtId="206" fontId="24" fillId="0" borderId="14" xfId="0" applyNumberFormat="1" applyFont="1" applyBorder="1" applyAlignment="1" applyProtection="1">
      <alignment horizontal="right"/>
    </xf>
    <xf numFmtId="206" fontId="24" fillId="0" borderId="11" xfId="0" applyNumberFormat="1" applyFont="1" applyBorder="1" applyAlignment="1" applyProtection="1">
      <alignment horizontal="right"/>
    </xf>
    <xf numFmtId="206" fontId="21" fillId="0" borderId="15" xfId="0" applyNumberFormat="1" applyFont="1" applyBorder="1" applyProtection="1"/>
    <xf numFmtId="206" fontId="24" fillId="0" borderId="14" xfId="0" applyNumberFormat="1" applyFont="1" applyBorder="1" applyProtection="1"/>
    <xf numFmtId="206" fontId="24" fillId="0" borderId="11" xfId="0" applyNumberFormat="1" applyFont="1" applyBorder="1" applyProtection="1"/>
    <xf numFmtId="200" fontId="24" fillId="0" borderId="0" xfId="0" applyNumberFormat="1" applyFont="1" applyAlignment="1" applyProtection="1">
      <alignment horizontal="right"/>
    </xf>
    <xf numFmtId="200" fontId="24" fillId="0" borderId="0" xfId="0" applyNumberFormat="1" applyFont="1" applyProtection="1"/>
    <xf numFmtId="0" fontId="39" fillId="0" borderId="16" xfId="0" applyFont="1" applyBorder="1" applyAlignment="1">
      <alignment horizontal="right" vertical="center" indent="1"/>
    </xf>
    <xf numFmtId="3" fontId="39" fillId="0" borderId="49" xfId="0" applyNumberFormat="1" applyFont="1" applyBorder="1" applyAlignment="1" applyProtection="1">
      <alignment horizontal="left" vertical="center" indent="2"/>
    </xf>
    <xf numFmtId="3" fontId="39" fillId="0" borderId="15" xfId="0" applyNumberFormat="1" applyFont="1" applyBorder="1" applyAlignment="1" applyProtection="1">
      <alignment horizontal="left" vertical="center" indent="2"/>
    </xf>
    <xf numFmtId="9" fontId="34" fillId="0" borderId="0" xfId="0" applyNumberFormat="1" applyFont="1" applyAlignment="1">
      <alignment horizontal="center"/>
    </xf>
    <xf numFmtId="3" fontId="21" fillId="0" borderId="49" xfId="0" applyNumberFormat="1" applyFont="1" applyBorder="1"/>
    <xf numFmtId="3" fontId="18" fillId="0" borderId="69" xfId="0" applyNumberFormat="1" applyFont="1" applyBorder="1" applyAlignment="1">
      <alignment horizontal="left" indent="1"/>
    </xf>
    <xf numFmtId="9" fontId="18" fillId="0" borderId="0" xfId="0" applyNumberFormat="1" applyFont="1" applyAlignment="1">
      <alignment horizontal="center" vertical="center"/>
    </xf>
    <xf numFmtId="0" fontId="36" fillId="0" borderId="0" xfId="0" applyFont="1" applyAlignment="1">
      <alignment vertical="center"/>
    </xf>
    <xf numFmtId="0" fontId="22" fillId="0" borderId="0" xfId="0" applyFont="1" applyAlignment="1">
      <alignment horizontal="left" vertical="center"/>
    </xf>
    <xf numFmtId="0" fontId="21" fillId="0" borderId="7" xfId="0" applyFont="1" applyBorder="1" applyAlignment="1" applyProtection="1">
      <alignment horizontal="left" vertical="center" indent="2"/>
    </xf>
    <xf numFmtId="0" fontId="21" fillId="0" borderId="7" xfId="0" applyFont="1" applyBorder="1" applyAlignment="1" applyProtection="1">
      <alignment horizontal="center" vertical="center" wrapText="1"/>
    </xf>
    <xf numFmtId="0" fontId="21" fillId="0" borderId="7" xfId="0" applyFont="1" applyBorder="1" applyAlignment="1">
      <alignment horizontal="center" vertical="center" wrapText="1"/>
    </xf>
    <xf numFmtId="0" fontId="21" fillId="0" borderId="14" xfId="0" applyFont="1" applyBorder="1" applyAlignment="1">
      <alignment horizontal="center" vertical="center" wrapText="1"/>
    </xf>
    <xf numFmtId="0" fontId="18" fillId="0" borderId="49" xfId="0" applyFont="1" applyBorder="1" applyAlignment="1" applyProtection="1">
      <alignment horizontal="left" vertical="center" indent="2"/>
    </xf>
    <xf numFmtId="0" fontId="24" fillId="0" borderId="6" xfId="0" applyFont="1" applyBorder="1" applyAlignment="1" applyProtection="1">
      <alignment horizontal="left" indent="3"/>
    </xf>
    <xf numFmtId="0" fontId="21" fillId="0" borderId="7" xfId="0" applyFont="1" applyBorder="1" applyAlignment="1">
      <alignment horizontal="center" vertical="center"/>
    </xf>
    <xf numFmtId="0" fontId="21" fillId="0" borderId="2" xfId="0" applyFont="1" applyBorder="1" applyAlignment="1">
      <alignment horizontal="center" vertical="center" wrapText="1"/>
    </xf>
    <xf numFmtId="0" fontId="21" fillId="0" borderId="85" xfId="0" applyFont="1" applyBorder="1" applyAlignment="1" applyProtection="1">
      <alignment horizontal="center" vertical="center" wrapText="1"/>
    </xf>
    <xf numFmtId="0" fontId="21" fillId="0" borderId="14" xfId="0" applyFont="1" applyBorder="1" applyAlignment="1" applyProtection="1">
      <alignment horizontal="center" vertical="center" wrapText="1"/>
    </xf>
    <xf numFmtId="0" fontId="21" fillId="0" borderId="4" xfId="0" applyFont="1" applyBorder="1" applyAlignment="1">
      <alignment horizontal="center" vertical="center" wrapText="1"/>
    </xf>
    <xf numFmtId="200" fontId="22" fillId="2" borderId="25" xfId="0" applyNumberFormat="1" applyFont="1" applyFill="1" applyBorder="1" applyAlignment="1" applyProtection="1">
      <alignment vertical="center"/>
      <protection locked="0"/>
    </xf>
    <xf numFmtId="0" fontId="31" fillId="0" borderId="0" xfId="0" applyFont="1" applyAlignment="1" applyProtection="1">
      <alignment horizontal="center"/>
    </xf>
    <xf numFmtId="169" fontId="18" fillId="2" borderId="10" xfId="0" applyNumberFormat="1" applyFont="1" applyFill="1" applyBorder="1" applyAlignment="1" applyProtection="1">
      <alignment horizontal="center"/>
      <protection locked="0"/>
    </xf>
    <xf numFmtId="0" fontId="64" fillId="0" borderId="0" xfId="0" applyFont="1" applyAlignment="1" applyProtection="1">
      <alignment horizontal="right"/>
    </xf>
    <xf numFmtId="0" fontId="36" fillId="0" borderId="0" xfId="0" applyFont="1" applyAlignment="1" applyProtection="1">
      <alignment horizontal="center"/>
    </xf>
    <xf numFmtId="0" fontId="22" fillId="4" borderId="0" xfId="0" applyFont="1" applyFill="1"/>
    <xf numFmtId="229" fontId="24" fillId="4" borderId="48" xfId="0" applyNumberFormat="1" applyFont="1" applyFill="1" applyBorder="1"/>
    <xf numFmtId="236" fontId="24" fillId="4" borderId="85" xfId="0" applyNumberFormat="1" applyFont="1" applyFill="1" applyBorder="1"/>
    <xf numFmtId="3" fontId="39" fillId="0" borderId="14" xfId="0" applyNumberFormat="1" applyFont="1" applyBorder="1" applyAlignment="1">
      <alignment horizontal="left" indent="1"/>
    </xf>
    <xf numFmtId="3" fontId="23" fillId="0" borderId="14" xfId="0" applyNumberFormat="1" applyFont="1" applyBorder="1" applyAlignment="1">
      <alignment horizontal="left" indent="2"/>
    </xf>
    <xf numFmtId="223" fontId="35" fillId="0" borderId="14" xfId="0" applyNumberFormat="1" applyFont="1" applyBorder="1" applyAlignment="1" applyProtection="1">
      <alignment shrinkToFit="1"/>
      <protection locked="0"/>
    </xf>
    <xf numFmtId="3" fontId="22" fillId="0" borderId="49" xfId="0" applyNumberFormat="1" applyFont="1" applyBorder="1" applyAlignment="1" applyProtection="1">
      <alignment horizontal="left" vertical="center" indent="1"/>
    </xf>
    <xf numFmtId="3" fontId="22" fillId="0" borderId="7" xfId="0" applyNumberFormat="1" applyFont="1" applyBorder="1" applyAlignment="1" applyProtection="1">
      <alignment horizontal="left" vertical="center" indent="1"/>
    </xf>
    <xf numFmtId="190" fontId="22" fillId="0" borderId="48" xfId="0" applyNumberFormat="1" applyFont="1" applyBorder="1" applyAlignment="1" applyProtection="1">
      <alignment vertical="center"/>
    </xf>
    <xf numFmtId="3" fontId="23" fillId="0" borderId="14" xfId="0" applyNumberFormat="1" applyFont="1" applyBorder="1" applyAlignment="1">
      <alignment horizontal="center"/>
    </xf>
    <xf numFmtId="3" fontId="22" fillId="0" borderId="69" xfId="0" applyNumberFormat="1" applyFont="1" applyBorder="1" applyAlignment="1" applyProtection="1">
      <alignment horizontal="left" vertical="center" indent="3"/>
    </xf>
    <xf numFmtId="189" fontId="22" fillId="0" borderId="53" xfId="0" applyNumberFormat="1" applyFont="1" applyBorder="1" applyAlignment="1" applyProtection="1">
      <alignment vertical="center"/>
    </xf>
    <xf numFmtId="3" fontId="18" fillId="0" borderId="69" xfId="0" applyNumberFormat="1" applyFont="1" applyBorder="1" applyAlignment="1" applyProtection="1">
      <alignment horizontal="center" vertical="center"/>
    </xf>
    <xf numFmtId="195" fontId="45" fillId="0" borderId="14" xfId="0" applyNumberFormat="1" applyFont="1" applyBorder="1" applyAlignment="1">
      <alignment shrinkToFit="1"/>
    </xf>
    <xf numFmtId="0" fontId="22" fillId="5" borderId="0" xfId="0" applyFont="1" applyFill="1"/>
    <xf numFmtId="235" fontId="53" fillId="0" borderId="0" xfId="0" applyNumberFormat="1" applyFont="1" applyProtection="1"/>
    <xf numFmtId="229" fontId="24" fillId="5" borderId="48" xfId="0" applyNumberFormat="1" applyFont="1" applyFill="1" applyBorder="1"/>
    <xf numFmtId="236" fontId="24" fillId="5" borderId="85" xfId="0" applyNumberFormat="1" applyFont="1" applyFill="1" applyBorder="1"/>
    <xf numFmtId="0" fontId="23" fillId="0" borderId="8" xfId="0" applyFont="1" applyBorder="1" applyAlignment="1" applyProtection="1">
      <alignment horizontal="left" vertical="center" indent="1"/>
    </xf>
    <xf numFmtId="0" fontId="21" fillId="0" borderId="10" xfId="0" applyFont="1" applyBorder="1" applyAlignment="1" applyProtection="1">
      <alignment horizontal="center" vertical="center" wrapText="1"/>
    </xf>
    <xf numFmtId="0" fontId="45" fillId="0" borderId="49" xfId="0" applyFont="1" applyBorder="1" applyAlignment="1">
      <alignment horizontal="center" vertical="center" wrapText="1"/>
    </xf>
    <xf numFmtId="213" fontId="24" fillId="0" borderId="69" xfId="0" applyNumberFormat="1" applyFont="1" applyBorder="1" applyProtection="1"/>
    <xf numFmtId="213" fontId="24" fillId="0" borderId="38" xfId="0" applyNumberFormat="1" applyFont="1" applyBorder="1" applyProtection="1"/>
    <xf numFmtId="0" fontId="21" fillId="0" borderId="8" xfId="0" applyFont="1" applyBorder="1" applyAlignment="1" applyProtection="1">
      <alignment horizontal="right" indent="2"/>
    </xf>
    <xf numFmtId="213" fontId="21" fillId="0" borderId="8" xfId="0" applyNumberFormat="1" applyFont="1" applyBorder="1"/>
    <xf numFmtId="213" fontId="21" fillId="0" borderId="10" xfId="0" applyNumberFormat="1" applyFont="1" applyBorder="1"/>
    <xf numFmtId="206" fontId="21" fillId="0" borderId="8" xfId="0" applyNumberFormat="1" applyFont="1" applyBorder="1"/>
    <xf numFmtId="0" fontId="65" fillId="0" borderId="9" xfId="0" applyFont="1" applyBorder="1" applyAlignment="1">
      <alignment horizontal="center" vertical="center" wrapText="1"/>
    </xf>
    <xf numFmtId="0" fontId="45" fillId="0" borderId="22" xfId="0" applyFont="1" applyBorder="1" applyAlignment="1">
      <alignment horizontal="center" vertical="center" wrapText="1"/>
    </xf>
    <xf numFmtId="0" fontId="45" fillId="0" borderId="18" xfId="0" applyFont="1" applyBorder="1" applyAlignment="1">
      <alignment horizontal="center" vertical="center"/>
    </xf>
    <xf numFmtId="0" fontId="45" fillId="0" borderId="21" xfId="0" applyFont="1" applyBorder="1" applyAlignment="1">
      <alignment horizontal="center" vertical="center" wrapText="1"/>
    </xf>
    <xf numFmtId="0" fontId="45" fillId="0" borderId="42" xfId="0" applyFont="1" applyBorder="1" applyAlignment="1" applyProtection="1">
      <alignment horizontal="center" vertical="center" wrapText="1"/>
    </xf>
    <xf numFmtId="0" fontId="62" fillId="0" borderId="0" xfId="0" applyFont="1"/>
    <xf numFmtId="0" fontId="45" fillId="0" borderId="18" xfId="0" applyFont="1" applyBorder="1" applyAlignment="1" applyProtection="1">
      <alignment horizontal="center" vertical="center" wrapText="1"/>
    </xf>
    <xf numFmtId="0" fontId="66" fillId="0" borderId="49" xfId="0" applyFont="1" applyBorder="1" applyAlignment="1">
      <alignment horizontal="center" vertical="center" wrapText="1"/>
    </xf>
    <xf numFmtId="0" fontId="21" fillId="0" borderId="8" xfId="0" applyFont="1" applyBorder="1" applyAlignment="1" applyProtection="1">
      <alignment horizontal="left" vertical="center" indent="2"/>
    </xf>
    <xf numFmtId="0" fontId="35" fillId="0" borderId="10" xfId="0" applyFont="1" applyBorder="1" applyAlignment="1">
      <alignment horizontal="center" wrapText="1"/>
    </xf>
    <xf numFmtId="200" fontId="24" fillId="0" borderId="10" xfId="0" applyNumberFormat="1" applyFont="1" applyBorder="1"/>
    <xf numFmtId="190" fontId="18" fillId="0" borderId="10" xfId="0" applyNumberFormat="1" applyFont="1" applyBorder="1" applyAlignment="1" applyProtection="1">
      <alignment vertical="center"/>
    </xf>
    <xf numFmtId="0" fontId="15" fillId="0" borderId="9" xfId="0" applyFont="1" applyBorder="1" applyAlignment="1">
      <alignment horizontal="left" indent="1"/>
    </xf>
    <xf numFmtId="183" fontId="15" fillId="0" borderId="68" xfId="4" applyNumberFormat="1" applyFont="1" applyBorder="1"/>
    <xf numFmtId="170" fontId="22" fillId="0" borderId="68" xfId="4" applyNumberFormat="1" applyFont="1" applyBorder="1"/>
    <xf numFmtId="188" fontId="22" fillId="0" borderId="68" xfId="4" applyNumberFormat="1" applyFont="1" applyBorder="1"/>
    <xf numFmtId="182" fontId="22" fillId="0" borderId="68" xfId="4" applyNumberFormat="1" applyFont="1" applyBorder="1"/>
    <xf numFmtId="170" fontId="22" fillId="0" borderId="68" xfId="4" applyNumberFormat="1" applyFont="1" applyFill="1" applyBorder="1"/>
    <xf numFmtId="188" fontId="22" fillId="0" borderId="68" xfId="4" applyNumberFormat="1" applyFont="1" applyFill="1" applyBorder="1"/>
    <xf numFmtId="0" fontId="22" fillId="0" borderId="57" xfId="0" applyFont="1" applyBorder="1"/>
    <xf numFmtId="0" fontId="15" fillId="0" borderId="64" xfId="0" applyFont="1" applyBorder="1"/>
    <xf numFmtId="170" fontId="15" fillId="0" borderId="90" xfId="4" applyNumberFormat="1" applyFont="1" applyFill="1" applyBorder="1" applyAlignment="1"/>
    <xf numFmtId="165" fontId="22" fillId="0" borderId="68" xfId="0" applyNumberFormat="1" applyFont="1" applyBorder="1"/>
    <xf numFmtId="183" fontId="22" fillId="0" borderId="68" xfId="4" applyNumberFormat="1" applyFont="1" applyBorder="1"/>
    <xf numFmtId="165" fontId="18" fillId="0" borderId="68" xfId="4" applyFont="1" applyBorder="1"/>
    <xf numFmtId="170" fontId="22" fillId="0" borderId="68" xfId="4" applyNumberFormat="1" applyFont="1" applyBorder="1" applyAlignment="1"/>
    <xf numFmtId="0" fontId="15" fillId="0" borderId="64" xfId="0" applyFont="1" applyBorder="1" applyAlignment="1">
      <alignment horizontal="right"/>
    </xf>
    <xf numFmtId="0" fontId="30" fillId="0" borderId="26" xfId="0" applyFont="1" applyBorder="1" applyAlignment="1" applyProtection="1">
      <alignment horizontal="center"/>
    </xf>
    <xf numFmtId="0" fontId="30" fillId="0" borderId="26" xfId="0" applyFont="1" applyBorder="1" applyAlignment="1" applyProtection="1">
      <alignment horizontal="left"/>
    </xf>
    <xf numFmtId="3" fontId="22" fillId="5" borderId="11" xfId="0" applyNumberFormat="1" applyFont="1" applyFill="1" applyBorder="1" applyAlignment="1">
      <alignment horizontal="left" indent="2"/>
    </xf>
    <xf numFmtId="3" fontId="22" fillId="4" borderId="11" xfId="0" applyNumberFormat="1" applyFont="1" applyFill="1" applyBorder="1" applyAlignment="1">
      <alignment horizontal="left" indent="3"/>
    </xf>
    <xf numFmtId="3" fontId="22" fillId="0" borderId="0" xfId="0" applyNumberFormat="1" applyFont="1" applyAlignment="1">
      <alignment horizontal="left" indent="1"/>
    </xf>
    <xf numFmtId="3" fontId="18" fillId="0" borderId="37" xfId="0" applyNumberFormat="1" applyFont="1" applyBorder="1" applyAlignment="1">
      <alignment horizontal="centerContinuous"/>
    </xf>
    <xf numFmtId="3" fontId="18" fillId="0" borderId="25" xfId="0" applyNumberFormat="1" applyFont="1" applyBorder="1" applyAlignment="1">
      <alignment horizontal="centerContinuous"/>
    </xf>
    <xf numFmtId="190" fontId="21" fillId="0" borderId="37" xfId="0" applyNumberFormat="1" applyFont="1" applyBorder="1" applyAlignment="1">
      <alignment vertical="center"/>
    </xf>
    <xf numFmtId="189" fontId="21" fillId="0" borderId="16" xfId="0" applyNumberFormat="1" applyFont="1" applyBorder="1" applyAlignment="1">
      <alignment vertical="center"/>
    </xf>
    <xf numFmtId="229" fontId="21" fillId="0" borderId="37" xfId="0" applyNumberFormat="1" applyFont="1" applyBorder="1" applyAlignment="1">
      <alignment vertical="center"/>
    </xf>
    <xf numFmtId="236" fontId="21" fillId="0" borderId="16" xfId="0" applyNumberFormat="1" applyFont="1" applyBorder="1" applyAlignment="1">
      <alignment vertical="center"/>
    </xf>
    <xf numFmtId="3" fontId="18" fillId="0" borderId="8" xfId="0" applyNumberFormat="1" applyFont="1" applyBorder="1" applyAlignment="1">
      <alignment horizontal="left" vertical="center" indent="1"/>
    </xf>
    <xf numFmtId="190" fontId="21" fillId="2" borderId="37" xfId="0" applyNumberFormat="1" applyFont="1" applyFill="1" applyBorder="1" applyAlignment="1">
      <alignment vertical="center"/>
    </xf>
    <xf numFmtId="189" fontId="21" fillId="2" borderId="16" xfId="0" applyNumberFormat="1" applyFont="1" applyFill="1" applyBorder="1" applyAlignment="1">
      <alignment vertical="center"/>
    </xf>
    <xf numFmtId="229" fontId="21" fillId="2" borderId="37" xfId="0" applyNumberFormat="1" applyFont="1" applyFill="1" applyBorder="1" applyAlignment="1">
      <alignment vertical="center"/>
    </xf>
    <xf numFmtId="236" fontId="21" fillId="2" borderId="16" xfId="0" applyNumberFormat="1" applyFont="1" applyFill="1" applyBorder="1" applyAlignment="1">
      <alignment vertical="center"/>
    </xf>
    <xf numFmtId="3" fontId="18" fillId="2" borderId="8" xfId="0" applyNumberFormat="1" applyFont="1" applyFill="1" applyBorder="1" applyAlignment="1">
      <alignment horizontal="left" vertical="center" indent="1"/>
    </xf>
    <xf numFmtId="190" fontId="21" fillId="0" borderId="48" xfId="0" applyNumberFormat="1" applyFont="1" applyBorder="1" applyAlignment="1">
      <alignment vertical="center"/>
    </xf>
    <xf numFmtId="189" fontId="21" fillId="0" borderId="85" xfId="0" applyNumberFormat="1" applyFont="1" applyBorder="1" applyAlignment="1">
      <alignment vertical="center"/>
    </xf>
    <xf numFmtId="229" fontId="21" fillId="0" borderId="48" xfId="0" applyNumberFormat="1" applyFont="1" applyBorder="1" applyAlignment="1">
      <alignment vertical="center"/>
    </xf>
    <xf numFmtId="236" fontId="21" fillId="0" borderId="85" xfId="0" applyNumberFormat="1" applyFont="1" applyBorder="1" applyAlignment="1">
      <alignment vertical="center"/>
    </xf>
    <xf numFmtId="190" fontId="21" fillId="0" borderId="20" xfId="0" applyNumberFormat="1" applyFont="1" applyBorder="1" applyAlignment="1">
      <alignment vertical="center"/>
    </xf>
    <xf numFmtId="189" fontId="21" fillId="0" borderId="42" xfId="0" applyNumberFormat="1" applyFont="1" applyBorder="1" applyAlignment="1">
      <alignment vertical="center"/>
    </xf>
    <xf numFmtId="229" fontId="21" fillId="0" borderId="20" xfId="0" applyNumberFormat="1" applyFont="1" applyBorder="1" applyAlignment="1">
      <alignment vertical="center"/>
    </xf>
    <xf numFmtId="236" fontId="21" fillId="0" borderId="42" xfId="0" applyNumberFormat="1" applyFont="1" applyBorder="1" applyAlignment="1">
      <alignment vertical="center"/>
    </xf>
    <xf numFmtId="3" fontId="18" fillId="0" borderId="11" xfId="0" applyNumberFormat="1" applyFont="1" applyBorder="1" applyAlignment="1">
      <alignment horizontal="left" vertical="center" indent="1"/>
    </xf>
    <xf numFmtId="3" fontId="18" fillId="0" borderId="19" xfId="0" applyNumberFormat="1" applyFont="1" applyBorder="1" applyAlignment="1">
      <alignment horizontal="left" vertical="center" indent="1"/>
    </xf>
    <xf numFmtId="3" fontId="18" fillId="0" borderId="18" xfId="0" applyNumberFormat="1" applyFont="1" applyBorder="1" applyAlignment="1">
      <alignment horizontal="left" vertical="center" indent="1"/>
    </xf>
    <xf numFmtId="3" fontId="39" fillId="0" borderId="6" xfId="0" applyNumberFormat="1" applyFont="1" applyBorder="1" applyAlignment="1" applyProtection="1">
      <alignment horizontal="left" vertical="center"/>
    </xf>
    <xf numFmtId="169" fontId="23" fillId="0" borderId="51" xfId="0" applyNumberFormat="1" applyFont="1" applyBorder="1" applyAlignment="1" applyProtection="1">
      <alignment vertical="center"/>
    </xf>
    <xf numFmtId="169" fontId="23" fillId="0" borderId="23" xfId="0" applyNumberFormat="1" applyFont="1" applyBorder="1" applyAlignment="1" applyProtection="1">
      <alignment vertical="center"/>
    </xf>
    <xf numFmtId="217" fontId="23" fillId="0" borderId="24" xfId="6" applyNumberFormat="1" applyFont="1" applyBorder="1" applyAlignment="1" applyProtection="1">
      <alignment vertical="center"/>
    </xf>
    <xf numFmtId="217" fontId="23" fillId="0" borderId="1" xfId="6" applyNumberFormat="1" applyFont="1" applyBorder="1" applyAlignment="1" applyProtection="1">
      <alignment vertical="center"/>
    </xf>
    <xf numFmtId="169" fontId="39" fillId="0" borderId="23" xfId="0" applyNumberFormat="1" applyFont="1" applyBorder="1" applyAlignment="1" applyProtection="1">
      <alignment vertical="center"/>
    </xf>
    <xf numFmtId="217" fontId="23" fillId="0" borderId="12" xfId="0" applyNumberFormat="1" applyFont="1" applyBorder="1" applyAlignment="1" applyProtection="1">
      <alignment vertical="center"/>
    </xf>
    <xf numFmtId="217" fontId="39" fillId="0" borderId="12" xfId="0" applyNumberFormat="1" applyFont="1" applyBorder="1" applyAlignment="1" applyProtection="1">
      <alignment vertical="center"/>
    </xf>
    <xf numFmtId="3" fontId="39" fillId="0" borderId="6" xfId="0" applyNumberFormat="1" applyFont="1" applyBorder="1" applyAlignment="1" applyProtection="1">
      <alignment horizontal="right" vertical="center"/>
    </xf>
    <xf numFmtId="200" fontId="39" fillId="0" borderId="23" xfId="0" applyNumberFormat="1" applyFont="1" applyBorder="1" applyAlignment="1" applyProtection="1">
      <alignment vertical="center"/>
    </xf>
    <xf numFmtId="200" fontId="39" fillId="0" borderId="51" xfId="0" applyNumberFormat="1" applyFont="1" applyBorder="1" applyAlignment="1" applyProtection="1">
      <alignment vertical="center"/>
    </xf>
    <xf numFmtId="3" fontId="39" fillId="0" borderId="6" xfId="0" applyNumberFormat="1" applyFont="1" applyBorder="1" applyAlignment="1" applyProtection="1">
      <alignment vertical="center"/>
    </xf>
    <xf numFmtId="0" fontId="45" fillId="0" borderId="72" xfId="0" applyFont="1" applyBorder="1" applyAlignment="1" applyProtection="1">
      <alignment horizontal="center" vertical="center"/>
    </xf>
    <xf numFmtId="0" fontId="45" fillId="0" borderId="36" xfId="0" applyFont="1" applyBorder="1" applyAlignment="1" applyProtection="1">
      <alignment horizontal="center" vertical="center"/>
    </xf>
    <xf numFmtId="0" fontId="45" fillId="0" borderId="16" xfId="0" applyFont="1" applyBorder="1" applyAlignment="1" applyProtection="1">
      <alignment horizontal="center" vertical="center"/>
    </xf>
    <xf numFmtId="0" fontId="45" fillId="0" borderId="5" xfId="0" applyFont="1" applyBorder="1" applyAlignment="1" applyProtection="1">
      <alignment horizontal="center" vertical="center"/>
    </xf>
    <xf numFmtId="3" fontId="39" fillId="0" borderId="6" xfId="0" applyNumberFormat="1" applyFont="1" applyBorder="1" applyAlignment="1" applyProtection="1">
      <alignment horizontal="left" vertical="center" indent="3"/>
    </xf>
    <xf numFmtId="195" fontId="39" fillId="0" borderId="2" xfId="0" applyNumberFormat="1" applyFont="1" applyBorder="1" applyAlignment="1" applyProtection="1">
      <alignment vertical="center" shrinkToFit="1"/>
      <protection locked="0"/>
    </xf>
    <xf numFmtId="190" fontId="39" fillId="0" borderId="1" xfId="0" applyNumberFormat="1" applyFont="1" applyBorder="1" applyAlignment="1" applyProtection="1">
      <alignment vertical="center" shrinkToFit="1"/>
      <protection locked="0"/>
    </xf>
    <xf numFmtId="195" fontId="39" fillId="0" borderId="1" xfId="0" applyNumberFormat="1" applyFont="1" applyBorder="1" applyAlignment="1" applyProtection="1">
      <alignment vertical="center" shrinkToFit="1"/>
      <protection locked="0"/>
    </xf>
    <xf numFmtId="255" fontId="22" fillId="0" borderId="0" xfId="6" applyNumberFormat="1" applyFont="1" applyAlignment="1">
      <alignment horizontal="center"/>
    </xf>
    <xf numFmtId="256" fontId="22" fillId="0" borderId="0" xfId="0" applyNumberFormat="1" applyFont="1" applyAlignment="1">
      <alignment vertical="center"/>
    </xf>
    <xf numFmtId="255" fontId="22" fillId="0" borderId="1" xfId="0" applyNumberFormat="1" applyFont="1" applyBorder="1" applyAlignment="1">
      <alignment horizontal="center" vertical="center"/>
    </xf>
    <xf numFmtId="255" fontId="39" fillId="0" borderId="56" xfId="6" applyNumberFormat="1" applyFont="1" applyBorder="1" applyAlignment="1">
      <alignment horizontal="center"/>
    </xf>
    <xf numFmtId="255" fontId="39" fillId="0" borderId="28" xfId="6" applyNumberFormat="1" applyFont="1" applyBorder="1" applyAlignment="1">
      <alignment horizontal="center"/>
    </xf>
    <xf numFmtId="255" fontId="39" fillId="0" borderId="26" xfId="6" applyNumberFormat="1" applyFont="1" applyBorder="1" applyAlignment="1">
      <alignment horizontal="center"/>
    </xf>
    <xf numFmtId="255" fontId="39" fillId="0" borderId="28" xfId="6" applyNumberFormat="1" applyFont="1" applyFill="1" applyBorder="1" applyAlignment="1">
      <alignment horizontal="center"/>
    </xf>
    <xf numFmtId="255" fontId="39" fillId="0" borderId="40" xfId="6" applyNumberFormat="1" applyFont="1" applyFill="1" applyBorder="1" applyAlignment="1">
      <alignment horizontal="center"/>
    </xf>
    <xf numFmtId="255" fontId="39" fillId="0" borderId="69" xfId="6" applyNumberFormat="1" applyFont="1" applyBorder="1" applyAlignment="1">
      <alignment horizontal="center"/>
    </xf>
    <xf numFmtId="255" fontId="39" fillId="0" borderId="46" xfId="6" applyNumberFormat="1" applyFont="1" applyBorder="1" applyAlignment="1">
      <alignment horizontal="center"/>
    </xf>
    <xf numFmtId="255" fontId="39" fillId="0" borderId="67" xfId="6" applyNumberFormat="1" applyFont="1" applyBorder="1" applyAlignment="1">
      <alignment horizontal="center"/>
    </xf>
    <xf numFmtId="255" fontId="39" fillId="0" borderId="46" xfId="6" applyNumberFormat="1" applyFont="1" applyFill="1" applyBorder="1" applyAlignment="1">
      <alignment horizontal="center"/>
    </xf>
    <xf numFmtId="255" fontId="39" fillId="0" borderId="70" xfId="6" applyNumberFormat="1" applyFont="1" applyFill="1" applyBorder="1" applyAlignment="1">
      <alignment horizontal="center"/>
    </xf>
    <xf numFmtId="255" fontId="39" fillId="0" borderId="9" xfId="6" applyNumberFormat="1" applyFont="1" applyBorder="1" applyAlignment="1">
      <alignment horizontal="center"/>
    </xf>
    <xf numFmtId="3" fontId="22" fillId="0" borderId="6" xfId="0" applyNumberFormat="1" applyFont="1" applyBorder="1" applyAlignment="1" applyProtection="1">
      <alignment horizontal="left" vertical="center" indent="2"/>
    </xf>
    <xf numFmtId="3" fontId="22" fillId="0" borderId="69" xfId="0" applyNumberFormat="1" applyFont="1" applyBorder="1" applyProtection="1"/>
    <xf numFmtId="165" fontId="22" fillId="2" borderId="11" xfId="4" applyFont="1" applyFill="1" applyBorder="1" applyAlignment="1" applyProtection="1">
      <alignment vertical="center"/>
      <protection locked="0"/>
    </xf>
    <xf numFmtId="165" fontId="22" fillId="2" borderId="12" xfId="4" applyFont="1" applyFill="1" applyBorder="1" applyAlignment="1" applyProtection="1">
      <alignment vertical="center"/>
      <protection locked="0"/>
    </xf>
    <xf numFmtId="165" fontId="22" fillId="2" borderId="43" xfId="4" applyFont="1" applyFill="1" applyBorder="1" applyAlignment="1" applyProtection="1">
      <alignment vertical="center"/>
      <protection locked="0"/>
    </xf>
    <xf numFmtId="3" fontId="22" fillId="0" borderId="18" xfId="0" applyNumberFormat="1" applyFont="1" applyBorder="1" applyAlignment="1" applyProtection="1">
      <alignment horizontal="left" vertical="center" indent="1"/>
    </xf>
    <xf numFmtId="235" fontId="22" fillId="0" borderId="18" xfId="4" applyNumberFormat="1" applyFont="1" applyFill="1" applyBorder="1" applyAlignment="1" applyProtection="1">
      <alignment vertical="center"/>
      <protection locked="0"/>
    </xf>
    <xf numFmtId="3" fontId="22" fillId="0" borderId="19" xfId="0" applyNumberFormat="1" applyFont="1" applyBorder="1" applyAlignment="1" applyProtection="1">
      <alignment horizontal="left" vertical="center" indent="1"/>
    </xf>
    <xf numFmtId="3" fontId="22" fillId="0" borderId="19" xfId="0" applyNumberFormat="1" applyFont="1" applyBorder="1" applyAlignment="1" applyProtection="1">
      <alignment horizontal="center"/>
      <protection locked="0"/>
    </xf>
    <xf numFmtId="3" fontId="22" fillId="0" borderId="11" xfId="0" applyNumberFormat="1" applyFont="1" applyBorder="1" applyAlignment="1" applyProtection="1">
      <alignment horizontal="left" vertical="center" indent="2"/>
    </xf>
    <xf numFmtId="3" fontId="18" fillId="0" borderId="8" xfId="0" applyNumberFormat="1" applyFont="1" applyBorder="1" applyAlignment="1" applyProtection="1">
      <alignment horizontal="centerContinuous" vertical="center" wrapText="1"/>
    </xf>
    <xf numFmtId="4" fontId="24" fillId="2" borderId="38" xfId="6" applyNumberFormat="1" applyFont="1" applyFill="1" applyBorder="1" applyAlignment="1" applyProtection="1">
      <alignment horizontal="center"/>
    </xf>
    <xf numFmtId="0" fontId="18" fillId="0" borderId="26" xfId="0" applyFont="1" applyBorder="1" applyAlignment="1">
      <alignment vertical="center"/>
    </xf>
    <xf numFmtId="0" fontId="18" fillId="0" borderId="40" xfId="0" applyFont="1" applyBorder="1" applyAlignment="1">
      <alignment vertical="center"/>
    </xf>
    <xf numFmtId="0" fontId="18" fillId="0" borderId="12" xfId="0" applyFont="1" applyBorder="1" applyAlignment="1">
      <alignment vertical="center"/>
    </xf>
    <xf numFmtId="0" fontId="18" fillId="0" borderId="43" xfId="0" applyFont="1" applyBorder="1" applyAlignment="1">
      <alignment vertical="center"/>
    </xf>
    <xf numFmtId="0" fontId="18" fillId="0" borderId="64" xfId="0" applyFont="1" applyBorder="1" applyAlignment="1">
      <alignment vertical="center"/>
    </xf>
    <xf numFmtId="0" fontId="18" fillId="0" borderId="90" xfId="0" applyFont="1" applyBorder="1" applyAlignment="1">
      <alignment vertical="center"/>
    </xf>
    <xf numFmtId="0" fontId="32" fillId="0" borderId="0" xfId="0" applyFont="1" applyAlignment="1" applyProtection="1">
      <alignment horizontal="left" vertical="center"/>
    </xf>
    <xf numFmtId="232" fontId="22" fillId="0" borderId="62" xfId="0" applyNumberFormat="1" applyFont="1" applyBorder="1" applyAlignment="1" applyProtection="1">
      <alignment vertical="center"/>
    </xf>
    <xf numFmtId="0" fontId="37" fillId="0" borderId="0" xfId="0" applyFont="1" applyAlignment="1" applyProtection="1">
      <alignment vertical="center"/>
    </xf>
    <xf numFmtId="257" fontId="22" fillId="0" borderId="12" xfId="0" applyNumberFormat="1" applyFont="1" applyBorder="1" applyAlignment="1" applyProtection="1">
      <alignment horizontal="right" vertical="center"/>
    </xf>
    <xf numFmtId="257" fontId="22" fillId="0" borderId="11" xfId="0" applyNumberFormat="1" applyFont="1" applyBorder="1" applyAlignment="1" applyProtection="1">
      <alignment horizontal="right" vertical="center"/>
    </xf>
    <xf numFmtId="257" fontId="18" fillId="0" borderId="62" xfId="0" applyNumberFormat="1" applyFont="1" applyBorder="1" applyAlignment="1" applyProtection="1">
      <alignment horizontal="right" vertical="center"/>
    </xf>
    <xf numFmtId="257" fontId="18" fillId="0" borderId="19" xfId="0" applyNumberFormat="1" applyFont="1" applyBorder="1" applyAlignment="1" applyProtection="1">
      <alignment horizontal="right" vertical="center"/>
    </xf>
    <xf numFmtId="3" fontId="28" fillId="0" borderId="5" xfId="0" applyNumberFormat="1" applyFont="1" applyBorder="1" applyAlignment="1" applyProtection="1">
      <alignment horizontal="centerContinuous" vertical="center"/>
    </xf>
    <xf numFmtId="258" fontId="18" fillId="0" borderId="10" xfId="0" applyNumberFormat="1" applyFont="1" applyBorder="1" applyAlignment="1" applyProtection="1">
      <alignment horizontal="center" vertical="center" shrinkToFit="1"/>
    </xf>
    <xf numFmtId="258" fontId="18" fillId="0" borderId="5" xfId="0" applyNumberFormat="1" applyFont="1" applyBorder="1" applyAlignment="1" applyProtection="1">
      <alignment horizontal="center" vertical="center" shrinkToFit="1"/>
    </xf>
    <xf numFmtId="258" fontId="18" fillId="0" borderId="16" xfId="0" applyNumberFormat="1" applyFont="1" applyBorder="1" applyAlignment="1" applyProtection="1">
      <alignment horizontal="center" vertical="center" shrinkToFit="1"/>
    </xf>
    <xf numFmtId="239" fontId="18" fillId="0" borderId="10" xfId="0" applyNumberFormat="1" applyFont="1" applyBorder="1" applyAlignment="1" applyProtection="1">
      <alignment horizontal="center" vertical="center" shrinkToFit="1"/>
    </xf>
    <xf numFmtId="239" fontId="18" fillId="0" borderId="5" xfId="0" applyNumberFormat="1" applyFont="1" applyBorder="1" applyAlignment="1" applyProtection="1">
      <alignment horizontal="center" vertical="center" shrinkToFit="1"/>
    </xf>
    <xf numFmtId="239" fontId="18" fillId="0" borderId="16" xfId="0" applyNumberFormat="1" applyFont="1" applyBorder="1" applyAlignment="1" applyProtection="1">
      <alignment horizontal="center" vertical="center" shrinkToFit="1"/>
    </xf>
    <xf numFmtId="0" fontId="31" fillId="0" borderId="0" xfId="0" applyFont="1" applyAlignment="1" applyProtection="1">
      <alignment horizontal="right"/>
    </xf>
    <xf numFmtId="3" fontId="24" fillId="0" borderId="69" xfId="0" applyNumberFormat="1" applyFont="1" applyBorder="1" applyAlignment="1" applyProtection="1">
      <alignment horizontal="left" indent="1"/>
    </xf>
    <xf numFmtId="226" fontId="24" fillId="0" borderId="52" xfId="0" applyNumberFormat="1" applyFont="1" applyBorder="1" applyProtection="1">
      <protection locked="0"/>
    </xf>
    <xf numFmtId="226" fontId="24" fillId="0" borderId="46" xfId="0" applyNumberFormat="1" applyFont="1" applyBorder="1" applyProtection="1">
      <protection locked="0"/>
    </xf>
    <xf numFmtId="226" fontId="24" fillId="0" borderId="53" xfId="0" applyNumberFormat="1" applyFont="1" applyBorder="1" applyProtection="1">
      <protection locked="0"/>
    </xf>
    <xf numFmtId="3" fontId="24" fillId="0" borderId="7" xfId="0" applyNumberFormat="1" applyFont="1" applyBorder="1" applyAlignment="1">
      <alignment horizontal="left" indent="1"/>
    </xf>
    <xf numFmtId="3" fontId="24" fillId="0" borderId="19" xfId="0" applyNumberFormat="1" applyFont="1" applyBorder="1" applyAlignment="1">
      <alignment horizontal="left" indent="1"/>
    </xf>
    <xf numFmtId="3" fontId="39" fillId="0" borderId="0" xfId="0" applyNumberFormat="1" applyFont="1" applyAlignment="1" applyProtection="1">
      <alignment vertical="center"/>
    </xf>
    <xf numFmtId="3" fontId="39" fillId="0" borderId="31" xfId="0" applyNumberFormat="1" applyFont="1" applyBorder="1" applyAlignment="1" applyProtection="1">
      <alignment vertical="center"/>
    </xf>
    <xf numFmtId="3" fontId="39" fillId="0" borderId="58" xfId="0" applyNumberFormat="1" applyFont="1" applyBorder="1" applyAlignment="1" applyProtection="1">
      <alignment vertical="center"/>
    </xf>
    <xf numFmtId="3" fontId="39" fillId="0" borderId="59" xfId="0" applyNumberFormat="1" applyFont="1" applyBorder="1" applyAlignment="1" applyProtection="1">
      <alignment vertical="center"/>
    </xf>
    <xf numFmtId="3" fontId="23" fillId="0" borderId="13" xfId="0" applyNumberFormat="1" applyFont="1" applyBorder="1" applyAlignment="1" applyProtection="1">
      <alignment vertical="center"/>
    </xf>
    <xf numFmtId="259" fontId="22" fillId="0" borderId="0" xfId="0" applyNumberFormat="1" applyFont="1" applyAlignment="1">
      <alignment horizontal="center"/>
    </xf>
    <xf numFmtId="260" fontId="39" fillId="0" borderId="35" xfId="6" applyNumberFormat="1" applyFont="1" applyFill="1" applyBorder="1" applyAlignment="1">
      <alignment vertical="center"/>
    </xf>
    <xf numFmtId="0" fontId="46" fillId="0" borderId="0" xfId="0" applyFont="1" applyAlignment="1" applyProtection="1">
      <alignment vertical="center"/>
    </xf>
    <xf numFmtId="181" fontId="39" fillId="0" borderId="14" xfId="6" applyNumberFormat="1" applyFont="1" applyFill="1" applyBorder="1" applyAlignment="1" applyProtection="1">
      <alignment horizontal="center" vertical="center"/>
    </xf>
    <xf numFmtId="181" fontId="39" fillId="2" borderId="14" xfId="6" applyNumberFormat="1" applyFont="1" applyFill="1" applyBorder="1" applyAlignment="1" applyProtection="1">
      <alignment horizontal="center" vertical="center"/>
      <protection locked="0"/>
    </xf>
    <xf numFmtId="9" fontId="23" fillId="0" borderId="14" xfId="6" applyFont="1" applyBorder="1" applyAlignment="1" applyProtection="1">
      <alignment horizontal="center" vertical="center"/>
    </xf>
    <xf numFmtId="181" fontId="39" fillId="0" borderId="17" xfId="6" applyNumberFormat="1" applyFont="1" applyFill="1" applyBorder="1" applyAlignment="1" applyProtection="1">
      <alignment horizontal="center" vertical="center"/>
    </xf>
    <xf numFmtId="181" fontId="39" fillId="2" borderId="17" xfId="6" applyNumberFormat="1" applyFont="1" applyFill="1" applyBorder="1" applyAlignment="1" applyProtection="1">
      <alignment horizontal="center" vertical="center"/>
      <protection locked="0"/>
    </xf>
    <xf numFmtId="9" fontId="23" fillId="0" borderId="17" xfId="6" applyFont="1" applyBorder="1" applyAlignment="1" applyProtection="1">
      <alignment horizontal="center" vertical="center"/>
    </xf>
    <xf numFmtId="0" fontId="18" fillId="0" borderId="56" xfId="0" applyFont="1" applyBorder="1" applyAlignment="1">
      <alignment horizontal="centerContinuous" vertical="center" wrapText="1"/>
    </xf>
    <xf numFmtId="3" fontId="46" fillId="0" borderId="9" xfId="0" applyNumberFormat="1" applyFont="1" applyBorder="1" applyAlignment="1" applyProtection="1">
      <alignment horizontal="left" vertical="center" indent="1"/>
    </xf>
    <xf numFmtId="183" fontId="22" fillId="0" borderId="68" xfId="4" applyNumberFormat="1" applyFont="1" applyFill="1" applyBorder="1"/>
    <xf numFmtId="169" fontId="23" fillId="0" borderId="23" xfId="0" quotePrefix="1" applyNumberFormat="1" applyFont="1" applyBorder="1" applyAlignment="1" applyProtection="1">
      <alignment vertical="center"/>
    </xf>
    <xf numFmtId="229" fontId="44" fillId="4" borderId="11" xfId="0" applyNumberFormat="1" applyFont="1" applyFill="1" applyBorder="1" applyProtection="1"/>
    <xf numFmtId="229" fontId="44" fillId="6" borderId="11" xfId="0" applyNumberFormat="1" applyFont="1" applyFill="1" applyBorder="1" applyProtection="1"/>
    <xf numFmtId="229" fontId="35" fillId="6" borderId="17" xfId="0" applyNumberFormat="1" applyFont="1" applyFill="1" applyBorder="1" applyProtection="1"/>
    <xf numFmtId="229" fontId="44" fillId="7" borderId="11" xfId="0" applyNumberFormat="1" applyFont="1" applyFill="1" applyBorder="1" applyProtection="1"/>
    <xf numFmtId="229" fontId="35" fillId="8" borderId="17" xfId="0" applyNumberFormat="1" applyFont="1" applyFill="1" applyBorder="1" applyProtection="1"/>
    <xf numFmtId="229" fontId="44" fillId="5" borderId="11" xfId="0" applyNumberFormat="1" applyFont="1" applyFill="1" applyBorder="1" applyProtection="1"/>
    <xf numFmtId="229" fontId="44" fillId="9" borderId="11" xfId="0" applyNumberFormat="1" applyFont="1" applyFill="1" applyBorder="1" applyProtection="1"/>
    <xf numFmtId="3" fontId="67" fillId="0" borderId="0" xfId="0" applyNumberFormat="1" applyFont="1" applyProtection="1"/>
    <xf numFmtId="3" fontId="22" fillId="0" borderId="11" xfId="0" applyNumberFormat="1" applyFont="1" applyBorder="1" applyAlignment="1">
      <alignment horizontal="left" indent="1"/>
    </xf>
    <xf numFmtId="207" fontId="39" fillId="0" borderId="38" xfId="0" applyNumberFormat="1" applyFont="1" applyBorder="1" applyAlignment="1">
      <alignment vertical="center"/>
    </xf>
    <xf numFmtId="207" fontId="39" fillId="0" borderId="10" xfId="0" applyNumberFormat="1" applyFont="1" applyBorder="1" applyAlignment="1">
      <alignment vertical="center"/>
    </xf>
    <xf numFmtId="207" fontId="39" fillId="0" borderId="5" xfId="0" applyNumberFormat="1" applyFont="1" applyBorder="1" applyAlignment="1">
      <alignment vertical="center"/>
    </xf>
    <xf numFmtId="207" fontId="39" fillId="0" borderId="14" xfId="0" applyNumberFormat="1" applyFont="1" applyBorder="1" applyAlignment="1">
      <alignment vertical="center"/>
    </xf>
    <xf numFmtId="9" fontId="22" fillId="0" borderId="0" xfId="6" applyFont="1" applyFill="1" applyBorder="1" applyAlignment="1" applyProtection="1">
      <alignment horizontal="center" vertical="center" shrinkToFit="1"/>
    </xf>
    <xf numFmtId="0" fontId="31" fillId="0" borderId="0" xfId="0" applyFont="1" applyAlignment="1" applyProtection="1">
      <alignment horizontal="center" vertical="center"/>
    </xf>
    <xf numFmtId="0" fontId="51" fillId="0" borderId="0" xfId="0" applyFont="1"/>
    <xf numFmtId="213" fontId="57" fillId="0" borderId="0" xfId="0" applyNumberFormat="1" applyFont="1" applyProtection="1"/>
    <xf numFmtId="200" fontId="24" fillId="0" borderId="0" xfId="0" applyNumberFormat="1" applyFont="1" applyProtection="1">
      <protection locked="0"/>
    </xf>
    <xf numFmtId="0" fontId="24" fillId="0" borderId="64" xfId="0" applyFont="1" applyBorder="1" applyAlignment="1" applyProtection="1">
      <alignment horizontal="left" indent="4"/>
    </xf>
    <xf numFmtId="200" fontId="24" fillId="0" borderId="64" xfId="0" applyNumberFormat="1" applyFont="1" applyBorder="1" applyProtection="1"/>
    <xf numFmtId="3" fontId="37" fillId="0" borderId="0" xfId="0" applyNumberFormat="1" applyFont="1" applyAlignment="1" applyProtection="1">
      <alignment horizontal="center"/>
    </xf>
    <xf numFmtId="200" fontId="24" fillId="0" borderId="11" xfId="0" applyNumberFormat="1" applyFont="1" applyBorder="1"/>
    <xf numFmtId="200" fontId="24" fillId="0" borderId="12" xfId="0" applyNumberFormat="1" applyFont="1" applyBorder="1"/>
    <xf numFmtId="200" fontId="21" fillId="0" borderId="5" xfId="0" applyNumberFormat="1" applyFont="1" applyBorder="1"/>
    <xf numFmtId="1" fontId="21" fillId="0" borderId="16" xfId="0" applyNumberFormat="1" applyFont="1" applyBorder="1" applyAlignment="1">
      <alignment horizontal="center"/>
    </xf>
    <xf numFmtId="200" fontId="24" fillId="0" borderId="38" xfId="0" applyNumberFormat="1" applyFont="1" applyBorder="1"/>
    <xf numFmtId="200" fontId="24" fillId="0" borderId="67" xfId="0" applyNumberFormat="1" applyFont="1" applyBorder="1"/>
    <xf numFmtId="200" fontId="24" fillId="0" borderId="5" xfId="0" applyNumberFormat="1" applyFont="1" applyBorder="1"/>
    <xf numFmtId="4" fontId="24" fillId="0" borderId="0" xfId="0" applyNumberFormat="1" applyFont="1" applyProtection="1"/>
    <xf numFmtId="3" fontId="21" fillId="0" borderId="0" xfId="0" applyNumberFormat="1" applyFont="1" applyAlignment="1" applyProtection="1">
      <alignment horizontal="right"/>
    </xf>
    <xf numFmtId="0" fontId="21" fillId="0" borderId="18" xfId="0" applyFont="1" applyBorder="1" applyAlignment="1" applyProtection="1">
      <alignment horizontal="center" shrinkToFit="1"/>
    </xf>
    <xf numFmtId="0" fontId="18" fillId="9" borderId="43" xfId="0" applyFont="1" applyFill="1" applyBorder="1" applyAlignment="1">
      <alignment vertical="center"/>
    </xf>
    <xf numFmtId="263" fontId="18" fillId="0" borderId="0" xfId="0" applyNumberFormat="1" applyFont="1" applyAlignment="1">
      <alignment vertical="center"/>
    </xf>
    <xf numFmtId="0" fontId="37" fillId="0" borderId="0" xfId="0" applyFont="1" applyProtection="1"/>
    <xf numFmtId="3" fontId="57" fillId="0" borderId="0" xfId="0" applyNumberFormat="1" applyFont="1" applyProtection="1">
      <protection locked="0"/>
    </xf>
    <xf numFmtId="10" fontId="37" fillId="0" borderId="0" xfId="0" applyNumberFormat="1" applyFont="1" applyAlignment="1" applyProtection="1">
      <alignment horizontal="center" vertical="center"/>
    </xf>
    <xf numFmtId="264" fontId="18" fillId="0" borderId="34" xfId="0" applyNumberFormat="1" applyFont="1" applyBorder="1" applyAlignment="1" applyProtection="1">
      <alignment vertical="center"/>
    </xf>
    <xf numFmtId="254" fontId="22" fillId="0" borderId="1" xfId="0" applyNumberFormat="1" applyFont="1" applyBorder="1"/>
    <xf numFmtId="254" fontId="22" fillId="0" borderId="24" xfId="0" applyNumberFormat="1" applyFont="1" applyBorder="1"/>
    <xf numFmtId="3" fontId="15" fillId="0" borderId="56" xfId="0" applyNumberFormat="1" applyFont="1" applyBorder="1" applyAlignment="1" applyProtection="1">
      <alignment horizontal="centerContinuous" vertical="center"/>
    </xf>
    <xf numFmtId="3" fontId="22" fillId="0" borderId="49" xfId="0" applyNumberFormat="1" applyFont="1" applyBorder="1" applyAlignment="1" applyProtection="1">
      <alignment horizontal="left" vertical="center" indent="4"/>
    </xf>
    <xf numFmtId="3" fontId="22" fillId="0" borderId="6" xfId="0" applyNumberFormat="1" applyFont="1" applyBorder="1" applyAlignment="1" applyProtection="1">
      <alignment horizontal="left" vertical="center" indent="4"/>
    </xf>
    <xf numFmtId="3" fontId="22" fillId="0" borderId="15" xfId="0" applyNumberFormat="1" applyFont="1" applyBorder="1" applyAlignment="1" applyProtection="1">
      <alignment horizontal="left" vertical="center" indent="4"/>
    </xf>
    <xf numFmtId="3" fontId="22" fillId="0" borderId="42" xfId="0" applyNumberFormat="1" applyFont="1" applyBorder="1" applyAlignment="1" applyProtection="1">
      <alignment horizontal="left" vertical="center" indent="4"/>
    </xf>
    <xf numFmtId="3" fontId="22" fillId="0" borderId="43" xfId="0" applyNumberFormat="1" applyFont="1" applyBorder="1" applyAlignment="1" applyProtection="1">
      <alignment horizontal="left" vertical="center" indent="4"/>
    </xf>
    <xf numFmtId="3" fontId="22" fillId="0" borderId="44" xfId="0" applyNumberFormat="1" applyFont="1" applyBorder="1" applyAlignment="1" applyProtection="1">
      <alignment horizontal="left" vertical="center" indent="4"/>
    </xf>
    <xf numFmtId="3" fontId="24" fillId="0" borderId="7" xfId="0" applyNumberFormat="1" applyFont="1" applyBorder="1" applyAlignment="1" applyProtection="1">
      <alignment horizontal="left" indent="1"/>
    </xf>
    <xf numFmtId="167" fontId="24" fillId="2" borderId="14" xfId="6" applyNumberFormat="1" applyFont="1" applyFill="1" applyBorder="1" applyAlignment="1" applyProtection="1">
      <alignment horizontal="center"/>
      <protection locked="0"/>
    </xf>
    <xf numFmtId="226" fontId="24" fillId="0" borderId="54" xfId="0" applyNumberFormat="1" applyFont="1" applyBorder="1" applyProtection="1">
      <protection locked="0"/>
    </xf>
    <xf numFmtId="226" fontId="24" fillId="0" borderId="2" xfId="0" applyNumberFormat="1" applyFont="1" applyBorder="1" applyProtection="1">
      <protection locked="0"/>
    </xf>
    <xf numFmtId="226" fontId="24" fillId="0" borderId="55" xfId="0" applyNumberFormat="1" applyFont="1" applyBorder="1" applyProtection="1">
      <protection locked="0"/>
    </xf>
    <xf numFmtId="206" fontId="24" fillId="0" borderId="14" xfId="0" applyNumberFormat="1" applyFont="1" applyBorder="1"/>
    <xf numFmtId="206" fontId="40" fillId="2" borderId="30" xfId="0" applyNumberFormat="1" applyFont="1" applyFill="1" applyBorder="1" applyProtection="1">
      <protection locked="0"/>
    </xf>
    <xf numFmtId="206" fontId="40" fillId="0" borderId="27" xfId="0" applyNumberFormat="1" applyFont="1" applyBorder="1" applyProtection="1">
      <protection locked="0"/>
    </xf>
    <xf numFmtId="206" fontId="40" fillId="0" borderId="28" xfId="0" applyNumberFormat="1" applyFont="1" applyBorder="1" applyProtection="1">
      <protection locked="0"/>
    </xf>
    <xf numFmtId="206" fontId="40" fillId="0" borderId="29" xfId="0" applyNumberFormat="1" applyFont="1" applyBorder="1" applyProtection="1">
      <protection locked="0"/>
    </xf>
    <xf numFmtId="206" fontId="40" fillId="2" borderId="17" xfId="0" applyNumberFormat="1" applyFont="1" applyFill="1" applyBorder="1" applyProtection="1">
      <protection locked="0"/>
    </xf>
    <xf numFmtId="206" fontId="40" fillId="0" borderId="86" xfId="0" applyNumberFormat="1" applyFont="1" applyBorder="1" applyProtection="1">
      <protection locked="0"/>
    </xf>
    <xf numFmtId="206" fontId="40" fillId="0" borderId="84" xfId="0" applyNumberFormat="1" applyFont="1" applyBorder="1" applyProtection="1">
      <protection locked="0"/>
    </xf>
    <xf numFmtId="206" fontId="40" fillId="0" borderId="87" xfId="0" applyNumberFormat="1" applyFont="1" applyBorder="1" applyProtection="1">
      <protection locked="0"/>
    </xf>
    <xf numFmtId="3" fontId="24" fillId="0" borderId="10" xfId="0" applyNumberFormat="1" applyFont="1" applyBorder="1" applyProtection="1">
      <protection locked="0"/>
    </xf>
    <xf numFmtId="0" fontId="40" fillId="0" borderId="57" xfId="0" applyFont="1" applyBorder="1" applyAlignment="1">
      <alignment horizontal="left" indent="2"/>
    </xf>
    <xf numFmtId="206" fontId="24" fillId="0" borderId="51" xfId="0" applyNumberFormat="1" applyFont="1" applyBorder="1" applyProtection="1">
      <protection locked="0"/>
    </xf>
    <xf numFmtId="206" fontId="24" fillId="0" borderId="1" xfId="0" applyNumberFormat="1" applyFont="1" applyBorder="1" applyProtection="1">
      <protection locked="0"/>
    </xf>
    <xf numFmtId="206" fontId="24" fillId="0" borderId="50" xfId="0" applyNumberFormat="1" applyFont="1" applyBorder="1" applyProtection="1">
      <protection locked="0"/>
    </xf>
    <xf numFmtId="206" fontId="24" fillId="2" borderId="11" xfId="6" applyNumberFormat="1" applyFont="1" applyFill="1" applyBorder="1" applyAlignment="1" applyProtection="1">
      <protection locked="0"/>
    </xf>
    <xf numFmtId="206" fontId="40" fillId="0" borderId="30" xfId="0" applyNumberFormat="1" applyFont="1" applyBorder="1" applyProtection="1">
      <protection locked="0"/>
    </xf>
    <xf numFmtId="206" fontId="40" fillId="0" borderId="17" xfId="0" applyNumberFormat="1" applyFont="1" applyBorder="1" applyProtection="1">
      <protection locked="0"/>
    </xf>
    <xf numFmtId="206" fontId="40" fillId="0" borderId="18" xfId="0" applyNumberFormat="1" applyFont="1" applyBorder="1" applyProtection="1">
      <protection locked="0"/>
    </xf>
    <xf numFmtId="3" fontId="21" fillId="0" borderId="30" xfId="0" applyNumberFormat="1" applyFont="1" applyBorder="1" applyAlignment="1" applyProtection="1">
      <alignment horizontal="center"/>
      <protection locked="0"/>
    </xf>
    <xf numFmtId="248" fontId="22" fillId="0" borderId="85" xfId="0" applyNumberFormat="1" applyFont="1" applyBorder="1"/>
    <xf numFmtId="0" fontId="21" fillId="0" borderId="61" xfId="0" applyFont="1" applyBorder="1" applyAlignment="1">
      <alignment horizontal="right" vertical="center" indent="1"/>
    </xf>
    <xf numFmtId="0" fontId="46" fillId="0" borderId="0" xfId="0" applyFont="1" applyAlignment="1">
      <alignment horizontal="left" indent="1"/>
    </xf>
    <xf numFmtId="0" fontId="21" fillId="0" borderId="8" xfId="0" applyFont="1" applyBorder="1" applyAlignment="1">
      <alignment horizontal="centerContinuous" vertical="center"/>
    </xf>
    <xf numFmtId="0" fontId="46" fillId="0" borderId="0" xfId="0" applyFont="1" applyAlignment="1">
      <alignment horizontal="left" indent="4"/>
    </xf>
    <xf numFmtId="0" fontId="51" fillId="0" borderId="0" xfId="0" applyFont="1" applyProtection="1"/>
    <xf numFmtId="169" fontId="18" fillId="7" borderId="3" xfId="0" applyNumberFormat="1" applyFont="1" applyFill="1" applyBorder="1"/>
    <xf numFmtId="1" fontId="24" fillId="0" borderId="0" xfId="5" applyNumberFormat="1" applyFont="1"/>
    <xf numFmtId="0" fontId="5" fillId="0" borderId="0" xfId="5"/>
    <xf numFmtId="1" fontId="69" fillId="0" borderId="0" xfId="5" applyNumberFormat="1" applyFont="1"/>
    <xf numFmtId="1" fontId="45" fillId="0" borderId="0" xfId="5" applyNumberFormat="1" applyFont="1" applyAlignment="1">
      <alignment horizontal="center"/>
    </xf>
    <xf numFmtId="1" fontId="70" fillId="0" borderId="0" xfId="5" applyNumberFormat="1" applyFont="1"/>
    <xf numFmtId="1" fontId="5" fillId="0" borderId="0" xfId="5" applyNumberFormat="1"/>
    <xf numFmtId="1" fontId="71" fillId="0" borderId="0" xfId="5" applyNumberFormat="1" applyFont="1"/>
    <xf numFmtId="3" fontId="36" fillId="0" borderId="0" xfId="0" applyNumberFormat="1" applyFont="1" applyAlignment="1">
      <alignment horizontal="left" indent="2"/>
    </xf>
    <xf numFmtId="3" fontId="23" fillId="0" borderId="8" xfId="0" applyNumberFormat="1" applyFont="1" applyBorder="1" applyAlignment="1">
      <alignment horizontal="left" vertical="center" indent="1"/>
    </xf>
    <xf numFmtId="1" fontId="24" fillId="0" borderId="0" xfId="5" applyNumberFormat="1" applyFont="1" applyAlignment="1">
      <alignment horizontal="left" vertical="center" indent="2"/>
    </xf>
    <xf numFmtId="265" fontId="24" fillId="0" borderId="0" xfId="6" applyNumberFormat="1" applyFont="1" applyAlignment="1">
      <alignment vertical="center"/>
    </xf>
    <xf numFmtId="1" fontId="62" fillId="0" borderId="0" xfId="5" applyNumberFormat="1" applyFont="1" applyAlignment="1">
      <alignment vertical="center"/>
    </xf>
    <xf numFmtId="1" fontId="62" fillId="0" borderId="9" xfId="5" applyNumberFormat="1" applyFont="1" applyBorder="1"/>
    <xf numFmtId="1" fontId="24" fillId="0" borderId="9" xfId="5" applyNumberFormat="1" applyFont="1" applyBorder="1" applyAlignment="1">
      <alignment horizontal="left" vertical="center" indent="2"/>
    </xf>
    <xf numFmtId="266" fontId="24" fillId="0" borderId="0" xfId="3" applyNumberFormat="1" applyFont="1" applyBorder="1" applyAlignment="1">
      <alignment vertical="center"/>
    </xf>
    <xf numFmtId="229" fontId="24" fillId="0" borderId="12" xfId="0" applyNumberFormat="1" applyFont="1" applyBorder="1" applyAlignment="1">
      <alignment vertical="center"/>
    </xf>
    <xf numFmtId="229" fontId="24" fillId="0" borderId="11" xfId="0" applyNumberFormat="1" applyFont="1" applyBorder="1" applyAlignment="1">
      <alignment vertical="center"/>
    </xf>
    <xf numFmtId="266" fontId="24" fillId="0" borderId="13" xfId="3" applyNumberFormat="1" applyFont="1" applyBorder="1" applyAlignment="1">
      <alignment vertical="center"/>
    </xf>
    <xf numFmtId="1" fontId="21" fillId="0" borderId="6" xfId="5" applyNumberFormat="1" applyFont="1" applyBorder="1" applyAlignment="1">
      <alignment horizontal="left" vertical="center" indent="2"/>
    </xf>
    <xf numFmtId="1" fontId="24" fillId="0" borderId="6" xfId="5" applyNumberFormat="1" applyFont="1" applyBorder="1" applyAlignment="1">
      <alignment horizontal="left" vertical="center" indent="2"/>
    </xf>
    <xf numFmtId="1" fontId="21" fillId="0" borderId="30" xfId="5" applyNumberFormat="1" applyFont="1" applyBorder="1" applyAlignment="1">
      <alignment horizontal="center" vertical="center" wrapText="1"/>
    </xf>
    <xf numFmtId="1" fontId="21" fillId="0" borderId="26" xfId="5" applyNumberFormat="1" applyFont="1" applyBorder="1" applyAlignment="1">
      <alignment horizontal="center" vertical="center" wrapText="1"/>
    </xf>
    <xf numFmtId="1" fontId="21" fillId="0" borderId="14" xfId="5" applyNumberFormat="1" applyFont="1" applyBorder="1" applyAlignment="1">
      <alignment horizontal="center" vertical="center"/>
    </xf>
    <xf numFmtId="1" fontId="21" fillId="0" borderId="77" xfId="5" applyNumberFormat="1" applyFont="1" applyBorder="1" applyAlignment="1">
      <alignment horizontal="center" vertical="center"/>
    </xf>
    <xf numFmtId="2" fontId="21" fillId="0" borderId="0" xfId="5" applyNumberFormat="1" applyFont="1" applyAlignment="1">
      <alignment horizontal="center" vertical="center"/>
    </xf>
    <xf numFmtId="2" fontId="45" fillId="0" borderId="0" xfId="5" applyNumberFormat="1" applyFont="1" applyAlignment="1">
      <alignment horizontal="center" vertical="center"/>
    </xf>
    <xf numFmtId="1" fontId="18" fillId="0" borderId="0" xfId="5" applyNumberFormat="1" applyFont="1" applyAlignment="1">
      <alignment horizontal="left" vertical="center" indent="7"/>
    </xf>
    <xf numFmtId="3" fontId="39" fillId="0" borderId="19" xfId="0" applyNumberFormat="1" applyFont="1" applyBorder="1" applyAlignment="1">
      <alignment horizontal="center" vertical="center"/>
    </xf>
    <xf numFmtId="244" fontId="39" fillId="0" borderId="15" xfId="0" applyNumberFormat="1" applyFont="1" applyBorder="1" applyAlignment="1">
      <alignment horizontal="right" vertical="center"/>
    </xf>
    <xf numFmtId="244" fontId="39" fillId="0" borderId="35" xfId="0" applyNumberFormat="1" applyFont="1" applyBorder="1" applyAlignment="1">
      <alignment horizontal="right" vertical="center"/>
    </xf>
    <xf numFmtId="244" fontId="39" fillId="0" borderId="62" xfId="0" applyNumberFormat="1" applyFont="1" applyBorder="1" applyAlignment="1">
      <alignment horizontal="right" vertical="center"/>
    </xf>
    <xf numFmtId="244" fontId="39" fillId="0" borderId="44" xfId="0" applyNumberFormat="1" applyFont="1" applyBorder="1" applyAlignment="1">
      <alignment horizontal="right" vertical="center"/>
    </xf>
    <xf numFmtId="0" fontId="5" fillId="0" borderId="1" xfId="5" applyBorder="1"/>
    <xf numFmtId="267" fontId="62" fillId="2" borderId="1" xfId="6" applyNumberFormat="1" applyFont="1" applyFill="1" applyBorder="1" applyAlignment="1" applyProtection="1">
      <alignment vertical="center"/>
      <protection locked="0"/>
    </xf>
    <xf numFmtId="1" fontId="21" fillId="0" borderId="37" xfId="5" applyNumberFormat="1" applyFont="1" applyBorder="1" applyAlignment="1">
      <alignment horizontal="left" vertical="center" indent="2"/>
    </xf>
    <xf numFmtId="267" fontId="45" fillId="2" borderId="36" xfId="6" applyNumberFormat="1" applyFont="1" applyFill="1" applyBorder="1" applyAlignment="1" applyProtection="1">
      <alignment vertical="center"/>
      <protection locked="0"/>
    </xf>
    <xf numFmtId="1" fontId="68" fillId="0" borderId="25" xfId="5" applyNumberFormat="1" applyFont="1" applyBorder="1" applyAlignment="1">
      <alignment horizontal="center" vertical="center"/>
    </xf>
    <xf numFmtId="1" fontId="21" fillId="0" borderId="20" xfId="5" applyNumberFormat="1" applyFont="1" applyBorder="1" applyAlignment="1">
      <alignment horizontal="left" vertical="center" indent="2"/>
    </xf>
    <xf numFmtId="0" fontId="5" fillId="0" borderId="21" xfId="5" applyBorder="1"/>
    <xf numFmtId="265" fontId="72" fillId="0" borderId="22" xfId="6" applyNumberFormat="1" applyFont="1" applyBorder="1" applyAlignment="1">
      <alignment vertical="center"/>
    </xf>
    <xf numFmtId="1" fontId="24" fillId="0" borderId="23" xfId="5" applyNumberFormat="1" applyFont="1" applyBorder="1" applyAlignment="1">
      <alignment horizontal="left" vertical="center" indent="5"/>
    </xf>
    <xf numFmtId="1" fontId="68" fillId="0" borderId="24" xfId="5" applyNumberFormat="1" applyFont="1" applyBorder="1" applyAlignment="1">
      <alignment horizontal="center" vertical="center"/>
    </xf>
    <xf numFmtId="1" fontId="24" fillId="0" borderId="34" xfId="5" applyNumberFormat="1" applyFont="1" applyBorder="1" applyAlignment="1">
      <alignment horizontal="left" vertical="center" indent="5"/>
    </xf>
    <xf numFmtId="267" fontId="62" fillId="2" borderId="35" xfId="6" applyNumberFormat="1" applyFont="1" applyFill="1" applyBorder="1" applyAlignment="1" applyProtection="1">
      <alignment vertical="center"/>
      <protection locked="0"/>
    </xf>
    <xf numFmtId="1" fontId="68" fillId="0" borderId="3" xfId="5" applyNumberFormat="1" applyFont="1" applyBorder="1" applyAlignment="1">
      <alignment horizontal="center" vertical="center"/>
    </xf>
    <xf numFmtId="1" fontId="21" fillId="0" borderId="86" xfId="5" applyNumberFormat="1" applyFont="1" applyBorder="1" applyAlignment="1">
      <alignment horizontal="right" vertical="center" indent="2"/>
    </xf>
    <xf numFmtId="267" fontId="45" fillId="0" borderId="84" xfId="6" applyNumberFormat="1" applyFont="1" applyFill="1" applyBorder="1" applyAlignment="1" applyProtection="1">
      <alignment vertical="center"/>
    </xf>
    <xf numFmtId="265" fontId="72" fillId="0" borderId="87" xfId="6" applyNumberFormat="1" applyFont="1" applyBorder="1" applyAlignment="1">
      <alignment vertical="center"/>
    </xf>
    <xf numFmtId="1" fontId="21" fillId="0" borderId="8" xfId="5" applyNumberFormat="1" applyFont="1" applyBorder="1" applyAlignment="1">
      <alignment horizontal="left" vertical="center" indent="2"/>
    </xf>
    <xf numFmtId="0" fontId="5" fillId="0" borderId="16" xfId="5" applyBorder="1" applyAlignment="1">
      <alignment vertical="center"/>
    </xf>
    <xf numFmtId="267" fontId="21" fillId="0" borderId="10" xfId="6" applyNumberFormat="1" applyFont="1" applyFill="1" applyBorder="1" applyAlignment="1" applyProtection="1">
      <alignment vertical="center"/>
    </xf>
    <xf numFmtId="10" fontId="21" fillId="0" borderId="10" xfId="6" applyNumberFormat="1" applyFont="1" applyFill="1" applyBorder="1" applyAlignment="1">
      <alignment horizontal="center" vertical="center"/>
    </xf>
    <xf numFmtId="267" fontId="62" fillId="0" borderId="3" xfId="6" applyNumberFormat="1" applyFont="1" applyFill="1" applyBorder="1" applyAlignment="1" applyProtection="1">
      <alignment vertical="center"/>
    </xf>
    <xf numFmtId="1" fontId="40" fillId="0" borderId="22" xfId="5" applyNumberFormat="1" applyFont="1" applyBorder="1" applyAlignment="1">
      <alignment horizontal="center" vertical="center"/>
    </xf>
    <xf numFmtId="265" fontId="24" fillId="0" borderId="16" xfId="6" applyNumberFormat="1" applyFont="1" applyBorder="1" applyAlignment="1">
      <alignment vertical="center"/>
    </xf>
    <xf numFmtId="0" fontId="5" fillId="0" borderId="26" xfId="5" applyBorder="1"/>
    <xf numFmtId="0" fontId="5" fillId="0" borderId="64" xfId="5" applyBorder="1"/>
    <xf numFmtId="267" fontId="62" fillId="0" borderId="0" xfId="6" applyNumberFormat="1" applyFont="1" applyFill="1" applyBorder="1" applyAlignment="1">
      <alignment vertical="center"/>
    </xf>
    <xf numFmtId="265" fontId="72" fillId="0" borderId="68" xfId="6" applyNumberFormat="1" applyFont="1" applyBorder="1" applyAlignment="1">
      <alignment vertical="center"/>
    </xf>
    <xf numFmtId="1" fontId="18" fillId="0" borderId="56" xfId="5" applyNumberFormat="1" applyFont="1" applyBorder="1" applyAlignment="1">
      <alignment horizontal="centerContinuous" vertical="center"/>
    </xf>
    <xf numFmtId="1" fontId="24" fillId="0" borderId="26" xfId="5" applyNumberFormat="1" applyFont="1" applyBorder="1" applyAlignment="1">
      <alignment horizontal="centerContinuous"/>
    </xf>
    <xf numFmtId="1" fontId="24" fillId="0" borderId="40" xfId="5" applyNumberFormat="1" applyFont="1" applyBorder="1" applyAlignment="1">
      <alignment horizontal="centerContinuous"/>
    </xf>
    <xf numFmtId="1" fontId="24" fillId="0" borderId="8" xfId="5" applyNumberFormat="1" applyFont="1" applyBorder="1" applyAlignment="1">
      <alignment horizontal="left" vertical="center" indent="2"/>
    </xf>
    <xf numFmtId="229" fontId="21" fillId="0" borderId="5" xfId="0" applyNumberFormat="1" applyFont="1" applyBorder="1" applyAlignment="1">
      <alignment vertical="center"/>
    </xf>
    <xf numFmtId="1" fontId="24" fillId="0" borderId="5" xfId="5" applyNumberFormat="1" applyFont="1" applyBorder="1"/>
    <xf numFmtId="1" fontId="21" fillId="0" borderId="40" xfId="5" applyNumberFormat="1" applyFont="1" applyBorder="1" applyAlignment="1">
      <alignment horizontal="center" vertical="center" wrapText="1"/>
    </xf>
    <xf numFmtId="1" fontId="21" fillId="0" borderId="85" xfId="5" applyNumberFormat="1" applyFont="1" applyBorder="1" applyAlignment="1">
      <alignment horizontal="center" vertical="center"/>
    </xf>
    <xf numFmtId="229" fontId="24" fillId="0" borderId="43" xfId="0" applyNumberFormat="1" applyFont="1" applyBorder="1" applyAlignment="1">
      <alignment vertical="center"/>
    </xf>
    <xf numFmtId="266" fontId="24" fillId="0" borderId="68" xfId="3" applyNumberFormat="1" applyFont="1" applyBorder="1" applyAlignment="1">
      <alignment vertical="center"/>
    </xf>
    <xf numFmtId="229" fontId="21" fillId="0" borderId="16" xfId="0" applyNumberFormat="1" applyFont="1" applyBorder="1" applyAlignment="1">
      <alignment vertical="center"/>
    </xf>
    <xf numFmtId="1" fontId="24" fillId="0" borderId="16" xfId="5" applyNumberFormat="1" applyFont="1" applyBorder="1"/>
    <xf numFmtId="229" fontId="21" fillId="0" borderId="10" xfId="0" applyNumberFormat="1" applyFont="1" applyBorder="1" applyAlignment="1">
      <alignment vertical="center"/>
    </xf>
    <xf numFmtId="1" fontId="24" fillId="0" borderId="10" xfId="5" applyNumberFormat="1" applyFont="1" applyBorder="1"/>
    <xf numFmtId="1" fontId="18" fillId="0" borderId="8" xfId="5" applyNumberFormat="1" applyFont="1" applyBorder="1" applyAlignment="1">
      <alignment horizontal="left" vertical="center" indent="6"/>
    </xf>
    <xf numFmtId="1" fontId="47" fillId="0" borderId="56" xfId="5" applyNumberFormat="1" applyFont="1" applyBorder="1" applyAlignment="1">
      <alignment horizontal="center" vertical="center"/>
    </xf>
    <xf numFmtId="1" fontId="18" fillId="0" borderId="8" xfId="5" applyNumberFormat="1" applyFont="1" applyBorder="1" applyAlignment="1">
      <alignment horizontal="centerContinuous" vertical="center"/>
    </xf>
    <xf numFmtId="229" fontId="24" fillId="0" borderId="24" xfId="0" applyNumberFormat="1" applyFont="1" applyBorder="1" applyAlignment="1">
      <alignment vertical="center"/>
    </xf>
    <xf numFmtId="229" fontId="21" fillId="0" borderId="3" xfId="0" applyNumberFormat="1" applyFont="1" applyBorder="1" applyAlignment="1">
      <alignment vertical="center"/>
    </xf>
    <xf numFmtId="1" fontId="18" fillId="0" borderId="20" xfId="5" applyNumberFormat="1" applyFont="1" applyBorder="1" applyAlignment="1">
      <alignment horizontal="centerContinuous" vertical="center"/>
    </xf>
    <xf numFmtId="1" fontId="5" fillId="0" borderId="22" xfId="5" applyNumberFormat="1" applyBorder="1" applyAlignment="1">
      <alignment horizontal="centerContinuous" vertical="center"/>
    </xf>
    <xf numFmtId="0" fontId="5" fillId="0" borderId="26" xfId="5" applyBorder="1" applyAlignment="1">
      <alignment horizontal="centerContinuous" vertical="center"/>
    </xf>
    <xf numFmtId="1" fontId="68" fillId="0" borderId="20" xfId="5" applyNumberFormat="1" applyFont="1" applyBorder="1" applyAlignment="1">
      <alignment horizontal="left" vertical="center" indent="2"/>
    </xf>
    <xf numFmtId="1" fontId="24" fillId="0" borderId="23" xfId="5" applyNumberFormat="1" applyFont="1" applyBorder="1" applyAlignment="1">
      <alignment horizontal="left" vertical="center" indent="1"/>
    </xf>
    <xf numFmtId="0" fontId="5" fillId="0" borderId="16" xfId="5" applyBorder="1" applyAlignment="1">
      <alignment horizontal="centerContinuous" vertical="center"/>
    </xf>
    <xf numFmtId="4" fontId="21" fillId="0" borderId="10" xfId="0" applyNumberFormat="1" applyFont="1" applyBorder="1" applyAlignment="1">
      <alignment horizontal="center" vertical="center"/>
    </xf>
    <xf numFmtId="1" fontId="24" fillId="0" borderId="37" xfId="5" applyNumberFormat="1" applyFont="1" applyBorder="1" applyAlignment="1">
      <alignment horizontal="center" vertical="center"/>
    </xf>
    <xf numFmtId="268" fontId="62" fillId="2" borderId="36" xfId="6" applyNumberFormat="1" applyFont="1" applyFill="1" applyBorder="1" applyAlignment="1" applyProtection="1">
      <alignment vertical="center"/>
      <protection locked="0"/>
    </xf>
    <xf numFmtId="1" fontId="74" fillId="0" borderId="25" xfId="5" quotePrefix="1" applyNumberFormat="1" applyFont="1" applyBorder="1" applyAlignment="1">
      <alignment horizontal="center" vertical="center"/>
    </xf>
    <xf numFmtId="269" fontId="62" fillId="0" borderId="24" xfId="6" applyNumberFormat="1" applyFont="1" applyFill="1" applyBorder="1" applyAlignment="1" applyProtection="1">
      <alignment vertical="center"/>
    </xf>
    <xf numFmtId="1" fontId="18" fillId="0" borderId="34" xfId="5" applyNumberFormat="1" applyFont="1" applyBorder="1" applyAlignment="1">
      <alignment horizontal="centerContinuous" vertical="center"/>
    </xf>
    <xf numFmtId="0" fontId="75" fillId="0" borderId="64" xfId="5" applyFont="1" applyBorder="1" applyAlignment="1">
      <alignment horizontal="centerContinuous" vertical="center"/>
    </xf>
    <xf numFmtId="268" fontId="62" fillId="0" borderId="36" xfId="6" applyNumberFormat="1" applyFont="1" applyFill="1" applyBorder="1" applyAlignment="1" applyProtection="1">
      <alignment vertical="center"/>
    </xf>
    <xf numFmtId="265" fontId="18" fillId="0" borderId="16" xfId="6" applyNumberFormat="1" applyFont="1" applyBorder="1" applyAlignment="1">
      <alignment horizontal="center" vertical="center"/>
    </xf>
    <xf numFmtId="0" fontId="76" fillId="0" borderId="16" xfId="5" applyFont="1" applyBorder="1" applyAlignment="1">
      <alignment horizontal="centerContinuous" vertical="center"/>
    </xf>
    <xf numFmtId="1" fontId="22" fillId="0" borderId="16" xfId="5" applyNumberFormat="1" applyFont="1" applyBorder="1" applyAlignment="1">
      <alignment horizontal="left" vertical="center" indent="1"/>
    </xf>
    <xf numFmtId="1" fontId="77" fillId="0" borderId="0" xfId="5" applyNumberFormat="1" applyFont="1" applyAlignment="1">
      <alignment horizontal="center"/>
    </xf>
    <xf numFmtId="0" fontId="77" fillId="0" borderId="0" xfId="5" applyFont="1"/>
    <xf numFmtId="270" fontId="77" fillId="0" borderId="0" xfId="5" applyNumberFormat="1" applyFont="1"/>
    <xf numFmtId="1" fontId="78" fillId="3" borderId="36" xfId="5" applyNumberFormat="1" applyFont="1" applyFill="1" applyBorder="1" applyAlignment="1" applyProtection="1">
      <alignment horizontal="center" vertical="center"/>
      <protection locked="0"/>
    </xf>
    <xf numFmtId="10" fontId="39" fillId="0" borderId="1" xfId="6" applyNumberFormat="1" applyFont="1" applyFill="1" applyBorder="1" applyAlignment="1">
      <alignment horizontal="center" vertical="center"/>
    </xf>
    <xf numFmtId="0" fontId="39" fillId="0" borderId="4" xfId="0" applyFont="1" applyBorder="1" applyAlignment="1">
      <alignment horizontal="left" vertical="center" indent="1"/>
    </xf>
    <xf numFmtId="1" fontId="39" fillId="0" borderId="48" xfId="0" applyNumberFormat="1" applyFont="1" applyBorder="1" applyAlignment="1">
      <alignment horizontal="right" vertical="center" indent="2"/>
    </xf>
    <xf numFmtId="1" fontId="39" fillId="0" borderId="4" xfId="0" applyNumberFormat="1" applyFont="1" applyBorder="1" applyAlignment="1">
      <alignment horizontal="left" vertical="center" indent="1"/>
    </xf>
    <xf numFmtId="273" fontId="39" fillId="0" borderId="2" xfId="0" applyNumberFormat="1" applyFont="1" applyBorder="1" applyAlignment="1">
      <alignment vertical="center"/>
    </xf>
    <xf numFmtId="255" fontId="39" fillId="0" borderId="9" xfId="6" applyNumberFormat="1" applyFont="1" applyBorder="1" applyAlignment="1">
      <alignment horizontal="center" vertical="center"/>
    </xf>
    <xf numFmtId="255" fontId="39" fillId="0" borderId="46" xfId="6" applyNumberFormat="1" applyFont="1" applyBorder="1" applyAlignment="1">
      <alignment horizontal="center" vertical="center"/>
    </xf>
    <xf numFmtId="255" fontId="39" fillId="0" borderId="67" xfId="6" applyNumberFormat="1" applyFont="1" applyBorder="1" applyAlignment="1">
      <alignment horizontal="center" vertical="center"/>
    </xf>
    <xf numFmtId="255" fontId="39" fillId="0" borderId="46" xfId="6" applyNumberFormat="1" applyFont="1" applyFill="1" applyBorder="1" applyAlignment="1">
      <alignment horizontal="center" vertical="center"/>
    </xf>
    <xf numFmtId="255" fontId="39" fillId="0" borderId="70" xfId="6" applyNumberFormat="1" applyFont="1" applyFill="1" applyBorder="1" applyAlignment="1">
      <alignment horizontal="center" vertical="center"/>
    </xf>
    <xf numFmtId="3" fontId="39" fillId="0" borderId="69" xfId="0" applyNumberFormat="1" applyFont="1" applyBorder="1" applyAlignment="1">
      <alignment horizontal="center" vertical="center" wrapText="1"/>
    </xf>
    <xf numFmtId="229" fontId="44" fillId="10" borderId="11" xfId="0" applyNumberFormat="1" applyFont="1" applyFill="1" applyBorder="1" applyProtection="1"/>
    <xf numFmtId="3" fontId="23" fillId="0" borderId="30" xfId="0" applyNumberFormat="1" applyFont="1" applyBorder="1" applyAlignment="1">
      <alignment horizontal="centerContinuous" vertical="center" shrinkToFit="1"/>
    </xf>
    <xf numFmtId="4" fontId="23" fillId="0" borderId="14" xfId="6" applyNumberFormat="1" applyFont="1" applyBorder="1" applyAlignment="1" applyProtection="1">
      <alignment horizontal="center" vertical="center"/>
    </xf>
    <xf numFmtId="1" fontId="23" fillId="0" borderId="14" xfId="6" applyNumberFormat="1" applyFont="1" applyBorder="1" applyAlignment="1" applyProtection="1">
      <alignment horizontal="center" vertical="center"/>
    </xf>
    <xf numFmtId="1" fontId="23" fillId="0" borderId="17" xfId="6" applyNumberFormat="1" applyFont="1" applyBorder="1" applyAlignment="1" applyProtection="1">
      <alignment horizontal="center" vertical="center"/>
    </xf>
    <xf numFmtId="206" fontId="24" fillId="11" borderId="1" xfId="0" applyNumberFormat="1" applyFont="1" applyFill="1" applyBorder="1"/>
    <xf numFmtId="206" fontId="24" fillId="11" borderId="41" xfId="0" applyNumberFormat="1" applyFont="1" applyFill="1" applyBorder="1"/>
    <xf numFmtId="206" fontId="24" fillId="11" borderId="21" xfId="0" applyNumberFormat="1" applyFont="1" applyFill="1" applyBorder="1"/>
    <xf numFmtId="206" fontId="24" fillId="11" borderId="51" xfId="0" applyNumberFormat="1" applyFont="1" applyFill="1" applyBorder="1"/>
    <xf numFmtId="206" fontId="24" fillId="11" borderId="46" xfId="0" applyNumberFormat="1" applyFont="1" applyFill="1" applyBorder="1"/>
    <xf numFmtId="3" fontId="15" fillId="0" borderId="0" xfId="0" applyNumberFormat="1" applyFont="1"/>
    <xf numFmtId="3" fontId="21" fillId="0" borderId="18" xfId="0" applyNumberFormat="1" applyFont="1" applyBorder="1" applyAlignment="1">
      <alignment horizontal="center"/>
    </xf>
    <xf numFmtId="3" fontId="21" fillId="0" borderId="11" xfId="0" applyNumberFormat="1" applyFont="1" applyBorder="1" applyAlignment="1">
      <alignment horizontal="center"/>
    </xf>
    <xf numFmtId="3" fontId="21" fillId="0" borderId="18" xfId="0" applyNumberFormat="1" applyFont="1" applyBorder="1" applyAlignment="1">
      <alignment horizontal="left" indent="1"/>
    </xf>
    <xf numFmtId="3" fontId="21" fillId="0" borderId="11" xfId="0" applyNumberFormat="1" applyFont="1" applyBorder="1" applyAlignment="1">
      <alignment horizontal="left" indent="1"/>
    </xf>
    <xf numFmtId="3" fontId="21" fillId="0" borderId="19" xfId="0" applyNumberFormat="1" applyFont="1" applyBorder="1" applyAlignment="1">
      <alignment horizontal="left" indent="1"/>
    </xf>
    <xf numFmtId="3" fontId="23" fillId="0" borderId="16" xfId="0" applyNumberFormat="1" applyFont="1" applyBorder="1" applyAlignment="1" applyProtection="1">
      <alignment horizontal="center" vertical="center"/>
    </xf>
    <xf numFmtId="0" fontId="18" fillId="0" borderId="9" xfId="6" applyNumberFormat="1" applyFont="1" applyFill="1" applyBorder="1" applyAlignment="1" applyProtection="1">
      <alignment horizontal="center" vertical="center"/>
    </xf>
    <xf numFmtId="9" fontId="37" fillId="0" borderId="0" xfId="6" applyFont="1" applyFill="1" applyBorder="1" applyProtection="1"/>
    <xf numFmtId="238" fontId="33" fillId="0" borderId="0" xfId="0" applyNumberFormat="1" applyFont="1" applyAlignment="1" applyProtection="1">
      <alignment horizontal="right" vertical="center"/>
    </xf>
    <xf numFmtId="206" fontId="79" fillId="0" borderId="0" xfId="0" applyNumberFormat="1" applyFont="1"/>
    <xf numFmtId="9" fontId="24" fillId="0" borderId="0" xfId="6" applyFont="1" applyBorder="1" applyAlignment="1">
      <alignment horizontal="center"/>
    </xf>
    <xf numFmtId="206" fontId="24" fillId="0" borderId="47" xfId="0" applyNumberFormat="1" applyFont="1" applyBorder="1"/>
    <xf numFmtId="206" fontId="24" fillId="11" borderId="24" xfId="0" applyNumberFormat="1" applyFont="1" applyFill="1" applyBorder="1"/>
    <xf numFmtId="206" fontId="24" fillId="0" borderId="25" xfId="0" applyNumberFormat="1" applyFont="1" applyBorder="1"/>
    <xf numFmtId="206" fontId="24" fillId="0" borderId="22" xfId="0" applyNumberFormat="1" applyFont="1" applyBorder="1"/>
    <xf numFmtId="206" fontId="24" fillId="11" borderId="47" xfId="0" applyNumberFormat="1" applyFont="1" applyFill="1" applyBorder="1"/>
    <xf numFmtId="3" fontId="21" fillId="0" borderId="39" xfId="0" applyNumberFormat="1" applyFont="1" applyBorder="1" applyAlignment="1">
      <alignment horizontal="center" vertical="center" wrapText="1"/>
    </xf>
    <xf numFmtId="3" fontId="21" fillId="0" borderId="49" xfId="0" applyNumberFormat="1" applyFont="1" applyBorder="1" applyAlignment="1">
      <alignment horizontal="left" indent="1"/>
    </xf>
    <xf numFmtId="3" fontId="21" fillId="0" borderId="6" xfId="0" applyNumberFormat="1" applyFont="1" applyBorder="1" applyAlignment="1">
      <alignment horizontal="left" indent="1"/>
    </xf>
    <xf numFmtId="3" fontId="21" fillId="0" borderId="69" xfId="0" applyNumberFormat="1" applyFont="1" applyBorder="1" applyAlignment="1">
      <alignment horizontal="left" indent="1"/>
    </xf>
    <xf numFmtId="3" fontId="21" fillId="0" borderId="8" xfId="0" applyNumberFormat="1" applyFont="1" applyBorder="1" applyAlignment="1">
      <alignment horizontal="right"/>
    </xf>
    <xf numFmtId="215" fontId="24" fillId="0" borderId="20" xfId="6" applyNumberFormat="1" applyFont="1" applyFill="1" applyBorder="1" applyAlignment="1"/>
    <xf numFmtId="215" fontId="24" fillId="0" borderId="23" xfId="6" applyNumberFormat="1" applyFont="1" applyFill="1" applyBorder="1" applyAlignment="1"/>
    <xf numFmtId="215" fontId="24" fillId="0" borderId="34" xfId="6" applyNumberFormat="1" applyFont="1" applyFill="1" applyBorder="1" applyAlignment="1"/>
    <xf numFmtId="215" fontId="24" fillId="0" borderId="8" xfId="0" applyNumberFormat="1" applyFont="1" applyBorder="1"/>
    <xf numFmtId="200" fontId="22" fillId="0" borderId="38" xfId="0" applyNumberFormat="1" applyFont="1" applyBorder="1" applyAlignment="1" applyProtection="1">
      <alignment vertical="center"/>
    </xf>
    <xf numFmtId="0" fontId="22" fillId="0" borderId="8" xfId="0" applyFont="1" applyBorder="1" applyAlignment="1">
      <alignment horizontal="centerContinuous"/>
    </xf>
    <xf numFmtId="208" fontId="21" fillId="0" borderId="37" xfId="0" applyNumberFormat="1" applyFont="1" applyBorder="1" applyAlignment="1">
      <alignment horizontal="center" wrapText="1"/>
    </xf>
    <xf numFmtId="208" fontId="21" fillId="0" borderId="36" xfId="0" applyNumberFormat="1" applyFont="1" applyBorder="1" applyAlignment="1">
      <alignment horizontal="center" wrapText="1"/>
    </xf>
    <xf numFmtId="208" fontId="21" fillId="0" borderId="25" xfId="0" applyNumberFormat="1" applyFont="1" applyBorder="1" applyAlignment="1">
      <alignment horizontal="center" wrapText="1"/>
    </xf>
    <xf numFmtId="3" fontId="18" fillId="0" borderId="6" xfId="0" applyNumberFormat="1" applyFont="1" applyBorder="1" applyAlignment="1" applyProtection="1">
      <alignment horizontal="center" vertical="center" wrapText="1"/>
    </xf>
    <xf numFmtId="3" fontId="15" fillId="0" borderId="8" xfId="0" applyNumberFormat="1" applyFont="1" applyBorder="1" applyAlignment="1" applyProtection="1">
      <alignment horizontal="center" vertical="center" wrapText="1"/>
    </xf>
    <xf numFmtId="190" fontId="18" fillId="0" borderId="37" xfId="0" applyNumberFormat="1" applyFont="1" applyBorder="1" applyAlignment="1" applyProtection="1">
      <alignment vertical="center"/>
    </xf>
    <xf numFmtId="0" fontId="22" fillId="0" borderId="5" xfId="0" applyFont="1" applyBorder="1" applyProtection="1"/>
    <xf numFmtId="3" fontId="18" fillId="0" borderId="38" xfId="0" applyNumberFormat="1" applyFont="1" applyBorder="1" applyAlignment="1" applyProtection="1">
      <alignment horizontal="center" vertical="center"/>
    </xf>
    <xf numFmtId="207" fontId="22" fillId="0" borderId="45" xfId="0" applyNumberFormat="1" applyFont="1" applyBorder="1" applyAlignment="1" applyProtection="1">
      <alignment vertical="center"/>
    </xf>
    <xf numFmtId="207" fontId="22" fillId="0" borderId="46" xfId="0" applyNumberFormat="1" applyFont="1" applyBorder="1" applyAlignment="1" applyProtection="1">
      <alignment vertical="center"/>
    </xf>
    <xf numFmtId="207" fontId="22" fillId="0" borderId="47" xfId="0" applyNumberFormat="1" applyFont="1" applyBorder="1" applyAlignment="1" applyProtection="1">
      <alignment vertical="center"/>
    </xf>
    <xf numFmtId="200" fontId="22" fillId="0" borderId="70" xfId="0" applyNumberFormat="1" applyFont="1" applyBorder="1" applyAlignment="1" applyProtection="1">
      <alignment vertical="center"/>
    </xf>
    <xf numFmtId="0" fontId="80" fillId="0" borderId="89" xfId="0" applyFont="1" applyBorder="1" applyAlignment="1" applyProtection="1">
      <alignment horizontal="right" vertical="center" indent="2"/>
    </xf>
    <xf numFmtId="0" fontId="22" fillId="0" borderId="8" xfId="0" applyFont="1" applyBorder="1" applyAlignment="1">
      <alignment horizontal="center" vertical="center"/>
    </xf>
    <xf numFmtId="0" fontId="103" fillId="0" borderId="0" xfId="0" applyFont="1"/>
    <xf numFmtId="0" fontId="22" fillId="0" borderId="8" xfId="0" applyFont="1" applyBorder="1" applyAlignment="1" applyProtection="1">
      <alignment horizontal="center" vertical="center"/>
    </xf>
    <xf numFmtId="274" fontId="47" fillId="0" borderId="36" xfId="0" applyNumberFormat="1" applyFont="1" applyBorder="1" applyAlignment="1" applyProtection="1">
      <alignment horizontal="center" vertical="center" shrinkToFit="1"/>
    </xf>
    <xf numFmtId="274" fontId="47" fillId="0" borderId="25" xfId="0" applyNumberFormat="1" applyFont="1" applyBorder="1" applyAlignment="1" applyProtection="1">
      <alignment horizontal="center" vertical="center" shrinkToFit="1"/>
    </xf>
    <xf numFmtId="0" fontId="104" fillId="0" borderId="0" xfId="0" applyFont="1" applyAlignment="1">
      <alignment horizontal="center"/>
    </xf>
    <xf numFmtId="0" fontId="105" fillId="0" borderId="0" xfId="0" applyFont="1"/>
    <xf numFmtId="0" fontId="106" fillId="0" borderId="0" xfId="0" applyFont="1" applyAlignment="1">
      <alignment horizontal="center" vertical="center"/>
    </xf>
    <xf numFmtId="4" fontId="107" fillId="0" borderId="0" xfId="0" applyNumberFormat="1" applyFont="1" applyProtection="1"/>
    <xf numFmtId="0" fontId="107" fillId="0" borderId="0" xfId="0" applyFont="1" applyAlignment="1" applyProtection="1">
      <alignment horizontal="left" indent="2"/>
    </xf>
    <xf numFmtId="0" fontId="108" fillId="0" borderId="0" xfId="0" applyFont="1"/>
    <xf numFmtId="0" fontId="21" fillId="0" borderId="126" xfId="0" applyFont="1" applyBorder="1" applyAlignment="1">
      <alignment horizontal="center" vertical="center" wrapText="1"/>
    </xf>
    <xf numFmtId="0" fontId="21" fillId="0" borderId="127" xfId="0" applyFont="1" applyBorder="1" applyAlignment="1">
      <alignment horizontal="center" vertical="center" wrapText="1"/>
    </xf>
    <xf numFmtId="208" fontId="21" fillId="0" borderId="30" xfId="0" applyNumberFormat="1" applyFont="1" applyBorder="1" applyAlignment="1">
      <alignment horizontal="center" vertical="center"/>
    </xf>
    <xf numFmtId="3" fontId="24" fillId="12" borderId="6" xfId="0" applyNumberFormat="1" applyFont="1" applyFill="1" applyBorder="1" applyAlignment="1" applyProtection="1">
      <alignment horizontal="center" vertical="center"/>
      <protection locked="0"/>
    </xf>
    <xf numFmtId="216" fontId="24" fillId="2" borderId="11" xfId="0" applyNumberFormat="1" applyFont="1" applyFill="1" applyBorder="1" applyAlignment="1" applyProtection="1">
      <alignment vertical="center"/>
      <protection locked="0"/>
    </xf>
    <xf numFmtId="3" fontId="24" fillId="3" borderId="11" xfId="0" applyNumberFormat="1" applyFont="1" applyFill="1" applyBorder="1" applyAlignment="1" applyProtection="1">
      <alignment horizontal="center" vertical="center"/>
      <protection locked="0"/>
    </xf>
    <xf numFmtId="213" fontId="24" fillId="2" borderId="99" xfId="0" applyNumberFormat="1" applyFont="1" applyFill="1" applyBorder="1" applyAlignment="1" applyProtection="1">
      <alignment vertical="center"/>
      <protection locked="0"/>
    </xf>
    <xf numFmtId="213" fontId="24" fillId="2" borderId="1" xfId="0" applyNumberFormat="1" applyFont="1" applyFill="1" applyBorder="1" applyAlignment="1" applyProtection="1">
      <alignment vertical="center"/>
      <protection locked="0"/>
    </xf>
    <xf numFmtId="213" fontId="24" fillId="2" borderId="24" xfId="0" applyNumberFormat="1" applyFont="1" applyFill="1" applyBorder="1" applyAlignment="1" applyProtection="1">
      <alignment vertical="center"/>
      <protection locked="0"/>
    </xf>
    <xf numFmtId="4" fontId="21" fillId="0" borderId="128" xfId="0" applyNumberFormat="1" applyFont="1" applyBorder="1" applyAlignment="1">
      <alignment vertical="center"/>
    </xf>
    <xf numFmtId="4" fontId="21" fillId="0" borderId="129" xfId="0" applyNumberFormat="1" applyFont="1" applyBorder="1" applyAlignment="1">
      <alignment vertical="center"/>
    </xf>
    <xf numFmtId="4" fontId="21" fillId="0" borderId="130" xfId="0" applyNumberFormat="1" applyFont="1" applyBorder="1" applyAlignment="1">
      <alignment vertical="center"/>
    </xf>
    <xf numFmtId="213" fontId="21" fillId="0" borderId="131" xfId="0" applyNumberFormat="1" applyFont="1" applyBorder="1" applyAlignment="1">
      <alignment vertical="center"/>
    </xf>
    <xf numFmtId="213" fontId="21" fillId="0" borderId="132" xfId="0" applyNumberFormat="1" applyFont="1" applyBorder="1" applyAlignment="1">
      <alignment vertical="center"/>
    </xf>
    <xf numFmtId="213" fontId="21" fillId="0" borderId="133" xfId="0" applyNumberFormat="1" applyFont="1" applyBorder="1" applyAlignment="1">
      <alignment vertical="center"/>
    </xf>
    <xf numFmtId="3" fontId="24" fillId="12" borderId="11" xfId="0" applyNumberFormat="1" applyFont="1" applyFill="1" applyBorder="1" applyAlignment="1" applyProtection="1">
      <alignment horizontal="center" vertical="center"/>
      <protection locked="0"/>
    </xf>
    <xf numFmtId="3" fontId="24" fillId="12" borderId="19" xfId="0" applyNumberFormat="1" applyFont="1" applyFill="1" applyBorder="1" applyAlignment="1" applyProtection="1">
      <alignment horizontal="center" vertical="center"/>
      <protection locked="0"/>
    </xf>
    <xf numFmtId="0" fontId="109" fillId="0" borderId="0" xfId="0" quotePrefix="1" applyFont="1"/>
    <xf numFmtId="3" fontId="24" fillId="0" borderId="134" xfId="0" applyNumberFormat="1" applyFont="1" applyBorder="1" applyAlignment="1" applyProtection="1">
      <alignment horizontal="left" vertical="center" indent="1"/>
      <protection locked="0"/>
    </xf>
    <xf numFmtId="232" fontId="22" fillId="13" borderId="14" xfId="0" applyNumberFormat="1" applyFont="1" applyFill="1" applyBorder="1" applyAlignment="1" applyProtection="1">
      <alignment vertical="center"/>
      <protection locked="0"/>
    </xf>
    <xf numFmtId="243" fontId="22" fillId="14" borderId="11" xfId="4" applyNumberFormat="1" applyFont="1" applyFill="1" applyBorder="1" applyAlignment="1" applyProtection="1">
      <alignment horizontal="center" vertical="center"/>
      <protection locked="0"/>
    </xf>
    <xf numFmtId="243" fontId="22" fillId="14" borderId="14" xfId="4" applyNumberFormat="1" applyFont="1" applyFill="1" applyBorder="1" applyAlignment="1" applyProtection="1">
      <alignment horizontal="center" vertical="center"/>
      <protection locked="0"/>
    </xf>
    <xf numFmtId="10" fontId="22" fillId="14" borderId="11" xfId="0" applyNumberFormat="1" applyFont="1" applyFill="1" applyBorder="1" applyAlignment="1" applyProtection="1">
      <alignment horizontal="center" vertical="center"/>
      <protection locked="0"/>
    </xf>
    <xf numFmtId="3" fontId="22" fillId="14" borderId="11" xfId="0" applyNumberFormat="1" applyFont="1" applyFill="1" applyBorder="1" applyAlignment="1" applyProtection="1">
      <alignment horizontal="center" vertical="center"/>
      <protection locked="0"/>
    </xf>
    <xf numFmtId="165" fontId="22" fillId="14" borderId="14" xfId="4" applyFont="1" applyFill="1" applyBorder="1" applyAlignment="1" applyProtection="1">
      <alignment vertical="center"/>
      <protection locked="0"/>
    </xf>
    <xf numFmtId="165" fontId="22" fillId="14" borderId="85" xfId="4" applyFont="1" applyFill="1" applyBorder="1" applyAlignment="1" applyProtection="1">
      <alignment vertical="center"/>
      <protection locked="0"/>
    </xf>
    <xf numFmtId="0" fontId="22" fillId="0" borderId="23" xfId="0" applyFont="1" applyBorder="1" applyAlignment="1">
      <alignment horizontal="left" vertical="center" indent="2"/>
    </xf>
    <xf numFmtId="9" fontId="47" fillId="0" borderId="71" xfId="0" applyNumberFormat="1" applyFont="1" applyBorder="1" applyAlignment="1" applyProtection="1">
      <alignment horizontal="center" vertical="center"/>
    </xf>
    <xf numFmtId="9" fontId="47" fillId="0" borderId="42" xfId="0" applyNumberFormat="1" applyFont="1" applyBorder="1" applyAlignment="1" applyProtection="1">
      <alignment horizontal="center" vertical="center"/>
    </xf>
    <xf numFmtId="9" fontId="47" fillId="0" borderId="60" xfId="0" applyNumberFormat="1" applyFont="1" applyBorder="1" applyAlignment="1" applyProtection="1">
      <alignment horizontal="center" vertical="center"/>
    </xf>
    <xf numFmtId="9" fontId="47" fillId="0" borderId="44" xfId="0" applyNumberFormat="1" applyFont="1" applyBorder="1" applyAlignment="1" applyProtection="1">
      <alignment horizontal="center" vertical="center"/>
    </xf>
    <xf numFmtId="3" fontId="110" fillId="0" borderId="51" xfId="0" applyNumberFormat="1" applyFont="1" applyBorder="1" applyAlignment="1" applyProtection="1">
      <alignment horizontal="center" vertical="center"/>
    </xf>
    <xf numFmtId="3" fontId="81" fillId="0" borderId="6" xfId="0" applyNumberFormat="1" applyFont="1" applyBorder="1" applyAlignment="1" applyProtection="1">
      <alignment horizontal="center" vertical="center"/>
    </xf>
    <xf numFmtId="169" fontId="61" fillId="0" borderId="23" xfId="0" applyNumberFormat="1" applyFont="1" applyBorder="1" applyAlignment="1" applyProtection="1">
      <alignment horizontal="left" vertical="center" indent="3"/>
    </xf>
    <xf numFmtId="1" fontId="61" fillId="0" borderId="24" xfId="6" applyNumberFormat="1" applyFont="1" applyFill="1" applyBorder="1" applyAlignment="1" applyProtection="1">
      <alignment horizontal="center" vertical="center"/>
    </xf>
    <xf numFmtId="0" fontId="111" fillId="0" borderId="0" xfId="0" applyFont="1" applyAlignment="1">
      <alignment horizontal="center"/>
    </xf>
    <xf numFmtId="3" fontId="24" fillId="0" borderId="7" xfId="0" applyNumberFormat="1" applyFont="1" applyBorder="1" applyAlignment="1" applyProtection="1">
      <alignment horizontal="left" vertical="center" indent="1"/>
    </xf>
    <xf numFmtId="0" fontId="18" fillId="0" borderId="10" xfId="0" applyFont="1" applyBorder="1" applyAlignment="1">
      <alignment horizontal="center" vertical="center"/>
    </xf>
    <xf numFmtId="208" fontId="18" fillId="0" borderId="10" xfId="0" applyNumberFormat="1" applyFont="1" applyBorder="1" applyAlignment="1">
      <alignment horizontal="center" vertical="center" wrapText="1"/>
    </xf>
    <xf numFmtId="3" fontId="35" fillId="0" borderId="40" xfId="0" applyNumberFormat="1" applyFont="1" applyBorder="1" applyAlignment="1" applyProtection="1">
      <alignment horizontal="center" vertical="center" wrapText="1"/>
    </xf>
    <xf numFmtId="173" fontId="35" fillId="0" borderId="16" xfId="0" applyNumberFormat="1" applyFont="1" applyBorder="1" applyAlignment="1" applyProtection="1">
      <alignment horizontal="center" vertical="center" wrapText="1"/>
    </xf>
    <xf numFmtId="3" fontId="21" fillId="0" borderId="135" xfId="6" applyNumberFormat="1" applyFont="1" applyFill="1" applyBorder="1" applyAlignment="1" applyProtection="1">
      <alignment horizontal="center"/>
    </xf>
    <xf numFmtId="184" fontId="24" fillId="2" borderId="136" xfId="6" applyNumberFormat="1" applyFont="1" applyFill="1" applyBorder="1" applyAlignment="1" applyProtection="1">
      <alignment horizontal="center"/>
      <protection locked="0"/>
    </xf>
    <xf numFmtId="184" fontId="24" fillId="2" borderId="10" xfId="6" applyNumberFormat="1" applyFont="1" applyFill="1" applyBorder="1" applyAlignment="1" applyProtection="1">
      <alignment horizontal="center"/>
      <protection locked="0"/>
    </xf>
    <xf numFmtId="3" fontId="24" fillId="0" borderId="10" xfId="0" applyNumberFormat="1" applyFont="1" applyBorder="1" applyAlignment="1" applyProtection="1">
      <alignment horizontal="center"/>
    </xf>
    <xf numFmtId="3" fontId="22" fillId="0" borderId="30" xfId="0" applyNumberFormat="1" applyFont="1" applyBorder="1" applyAlignment="1">
      <alignment horizontal="centerContinuous" vertical="center"/>
    </xf>
    <xf numFmtId="3" fontId="39" fillId="0" borderId="27" xfId="0" applyNumberFormat="1" applyFont="1" applyBorder="1" applyAlignment="1">
      <alignment horizontal="centerContinuous" vertical="center"/>
    </xf>
    <xf numFmtId="3" fontId="39" fillId="0" borderId="40" xfId="0" applyNumberFormat="1" applyFont="1" applyBorder="1" applyAlignment="1">
      <alignment horizontal="centerContinuous" vertical="center"/>
    </xf>
    <xf numFmtId="3" fontId="39" fillId="0" borderId="66" xfId="0" applyNumberFormat="1" applyFont="1" applyBorder="1" applyAlignment="1">
      <alignment horizontal="centerContinuous" vertical="center"/>
    </xf>
    <xf numFmtId="3" fontId="39" fillId="0" borderId="26" xfId="0" applyNumberFormat="1" applyFont="1" applyBorder="1" applyAlignment="1">
      <alignment horizontal="centerContinuous" vertical="center"/>
    </xf>
    <xf numFmtId="3" fontId="39" fillId="0" borderId="29" xfId="0" applyNumberFormat="1" applyFont="1" applyBorder="1" applyAlignment="1">
      <alignment horizontal="centerContinuous" vertical="center"/>
    </xf>
    <xf numFmtId="3" fontId="22" fillId="0" borderId="17" xfId="0" applyNumberFormat="1" applyFont="1" applyBorder="1" applyAlignment="1">
      <alignment horizontal="centerContinuous" vertical="center"/>
    </xf>
    <xf numFmtId="3" fontId="39" fillId="0" borderId="87" xfId="0" applyNumberFormat="1" applyFont="1" applyBorder="1" applyAlignment="1">
      <alignment horizontal="center" vertical="center"/>
    </xf>
    <xf numFmtId="3" fontId="24" fillId="0" borderId="18" xfId="0" applyNumberFormat="1" applyFont="1" applyBorder="1" applyAlignment="1">
      <alignment horizontal="left" indent="1"/>
    </xf>
    <xf numFmtId="196" fontId="24" fillId="0" borderId="3" xfId="6" applyNumberFormat="1" applyFont="1" applyFill="1" applyBorder="1" applyProtection="1"/>
    <xf numFmtId="3" fontId="22" fillId="0" borderId="56" xfId="0" applyNumberFormat="1" applyFont="1" applyBorder="1" applyAlignment="1">
      <alignment horizontal="centerContinuous" vertical="center"/>
    </xf>
    <xf numFmtId="3" fontId="22" fillId="0" borderId="57" xfId="0" applyNumberFormat="1" applyFont="1" applyBorder="1" applyAlignment="1">
      <alignment horizontal="centerContinuous" vertical="center"/>
    </xf>
    <xf numFmtId="200" fontId="39" fillId="0" borderId="10" xfId="0" applyNumberFormat="1" applyFont="1" applyBorder="1" applyAlignment="1">
      <alignment vertical="center"/>
    </xf>
    <xf numFmtId="200" fontId="39" fillId="0" borderId="37" xfId="0" applyNumberFormat="1" applyFont="1" applyBorder="1" applyAlignment="1">
      <alignment vertical="center"/>
    </xf>
    <xf numFmtId="196" fontId="39" fillId="0" borderId="25" xfId="6" applyNumberFormat="1" applyFont="1" applyBorder="1" applyAlignment="1">
      <alignment vertical="center"/>
    </xf>
    <xf numFmtId="200" fontId="39" fillId="0" borderId="39" xfId="0" applyNumberFormat="1" applyFont="1" applyBorder="1" applyAlignment="1">
      <alignment vertical="center"/>
    </xf>
    <xf numFmtId="196" fontId="39" fillId="0" borderId="72" xfId="6" applyNumberFormat="1" applyFont="1" applyBorder="1" applyAlignment="1">
      <alignment vertical="center"/>
    </xf>
    <xf numFmtId="200" fontId="39" fillId="0" borderId="5" xfId="0" applyNumberFormat="1" applyFont="1" applyBorder="1" applyAlignment="1">
      <alignment vertical="center"/>
    </xf>
    <xf numFmtId="3" fontId="39" fillId="0" borderId="10" xfId="0" applyNumberFormat="1" applyFont="1" applyBorder="1" applyAlignment="1">
      <alignment horizontal="right" vertical="center" indent="1"/>
    </xf>
    <xf numFmtId="1" fontId="18" fillId="0" borderId="10" xfId="0" applyNumberFormat="1" applyFont="1" applyBorder="1" applyAlignment="1">
      <alignment horizontal="center" wrapText="1"/>
    </xf>
    <xf numFmtId="1" fontId="18" fillId="0" borderId="5" xfId="0" applyNumberFormat="1" applyFont="1" applyBorder="1" applyAlignment="1">
      <alignment horizontal="center" wrapText="1"/>
    </xf>
    <xf numFmtId="1" fontId="18" fillId="0" borderId="137" xfId="0" applyNumberFormat="1" applyFont="1" applyBorder="1" applyAlignment="1">
      <alignment horizontal="center" wrapText="1"/>
    </xf>
    <xf numFmtId="3" fontId="35" fillId="0" borderId="10" xfId="0" applyNumberFormat="1" applyFont="1" applyBorder="1" applyAlignment="1" applyProtection="1">
      <alignment horizontal="center" wrapText="1"/>
    </xf>
    <xf numFmtId="3" fontId="39" fillId="0" borderId="18" xfId="0" applyNumberFormat="1" applyFont="1" applyBorder="1" applyAlignment="1" applyProtection="1">
      <alignment horizontal="right" indent="1"/>
    </xf>
    <xf numFmtId="172" fontId="39" fillId="0" borderId="38" xfId="0" applyNumberFormat="1" applyFont="1" applyBorder="1" applyAlignment="1" applyProtection="1">
      <alignment horizontal="right" indent="1"/>
    </xf>
    <xf numFmtId="225" fontId="35" fillId="0" borderId="17" xfId="0" applyNumberFormat="1" applyFont="1" applyBorder="1" applyProtection="1"/>
    <xf numFmtId="3" fontId="45" fillId="0" borderId="16" xfId="0" applyNumberFormat="1" applyFont="1" applyBorder="1" applyAlignment="1" applyProtection="1">
      <alignment horizontal="center"/>
    </xf>
    <xf numFmtId="3" fontId="45" fillId="0" borderId="10" xfId="0" applyNumberFormat="1" applyFont="1" applyBorder="1" applyAlignment="1" applyProtection="1">
      <alignment horizontal="center"/>
    </xf>
    <xf numFmtId="3" fontId="39" fillId="0" borderId="18" xfId="0" applyNumberFormat="1" applyFont="1" applyBorder="1" applyAlignment="1" applyProtection="1">
      <alignment horizontal="center"/>
    </xf>
    <xf numFmtId="206" fontId="35" fillId="0" borderId="14" xfId="0" applyNumberFormat="1" applyFont="1" applyBorder="1" applyProtection="1"/>
    <xf numFmtId="3" fontId="39" fillId="0" borderId="11" xfId="0" applyNumberFormat="1" applyFont="1" applyBorder="1" applyAlignment="1" applyProtection="1">
      <alignment horizontal="center"/>
    </xf>
    <xf numFmtId="3" fontId="39" fillId="0" borderId="38" xfId="0" applyNumberFormat="1" applyFont="1" applyBorder="1" applyAlignment="1" applyProtection="1">
      <alignment horizontal="center"/>
    </xf>
    <xf numFmtId="3" fontId="18" fillId="0" borderId="10" xfId="0" applyNumberFormat="1" applyFont="1" applyBorder="1" applyAlignment="1" applyProtection="1">
      <alignment horizontal="center"/>
    </xf>
    <xf numFmtId="206" fontId="35" fillId="0" borderId="10" xfId="0" applyNumberFormat="1" applyFont="1" applyBorder="1" applyProtection="1"/>
    <xf numFmtId="206" fontId="35" fillId="0" borderId="17" xfId="0" applyNumberFormat="1" applyFont="1" applyBorder="1" applyProtection="1"/>
    <xf numFmtId="208" fontId="18" fillId="0" borderId="28" xfId="0" applyNumberFormat="1" applyFont="1" applyBorder="1" applyAlignment="1">
      <alignment horizontal="center" vertical="center" wrapText="1"/>
    </xf>
    <xf numFmtId="208" fontId="18" fillId="0" borderId="29" xfId="0" applyNumberFormat="1" applyFont="1" applyBorder="1" applyAlignment="1">
      <alignment horizontal="center" vertical="center" wrapText="1"/>
    </xf>
    <xf numFmtId="0" fontId="47" fillId="0" borderId="27" xfId="0" applyFont="1" applyBorder="1" applyAlignment="1">
      <alignment horizontal="center" vertical="center" wrapText="1"/>
    </xf>
    <xf numFmtId="209" fontId="23" fillId="0" borderId="30" xfId="0" applyNumberFormat="1" applyFont="1" applyBorder="1" applyAlignment="1">
      <alignment horizontal="center" wrapText="1"/>
    </xf>
    <xf numFmtId="3" fontId="21" fillId="0" borderId="56" xfId="0" applyNumberFormat="1" applyFont="1" applyBorder="1" applyAlignment="1" applyProtection="1">
      <alignment horizontal="center" vertical="center"/>
    </xf>
    <xf numFmtId="3" fontId="21" fillId="0" borderId="26" xfId="0" applyNumberFormat="1" applyFont="1" applyBorder="1" applyAlignment="1" applyProtection="1">
      <alignment horizontal="center" vertical="center"/>
    </xf>
    <xf numFmtId="3" fontId="23" fillId="0" borderId="30" xfId="0" applyNumberFormat="1" applyFont="1" applyBorder="1" applyAlignment="1" applyProtection="1">
      <alignment horizontal="center"/>
    </xf>
    <xf numFmtId="9" fontId="23" fillId="0" borderId="56" xfId="6" applyFont="1" applyFill="1" applyBorder="1" applyAlignment="1" applyProtection="1">
      <alignment horizontal="center" wrapText="1"/>
    </xf>
    <xf numFmtId="9" fontId="23" fillId="0" borderId="30" xfId="6" applyFont="1" applyFill="1" applyBorder="1" applyAlignment="1" applyProtection="1">
      <alignment horizontal="center" wrapText="1"/>
    </xf>
    <xf numFmtId="0" fontId="22" fillId="0" borderId="6" xfId="0" applyFont="1" applyBorder="1" applyAlignment="1" applyProtection="1">
      <alignment horizontal="left" indent="2"/>
    </xf>
    <xf numFmtId="0" fontId="22" fillId="0" borderId="9" xfId="0" applyFont="1" applyBorder="1" applyProtection="1"/>
    <xf numFmtId="0" fontId="18" fillId="0" borderId="49" xfId="0" applyFont="1" applyBorder="1" applyAlignment="1" applyProtection="1">
      <alignment horizontal="left" vertical="center" indent="1"/>
    </xf>
    <xf numFmtId="3" fontId="23" fillId="0" borderId="13" xfId="0" applyNumberFormat="1" applyFont="1" applyBorder="1" applyAlignment="1" applyProtection="1">
      <alignment horizontal="center" vertical="center"/>
    </xf>
    <xf numFmtId="9" fontId="23" fillId="0" borderId="9" xfId="6" applyFont="1" applyFill="1" applyBorder="1" applyAlignment="1" applyProtection="1">
      <alignment horizontal="center" vertical="top" wrapText="1"/>
    </xf>
    <xf numFmtId="1" fontId="18" fillId="0" borderId="13" xfId="4" applyNumberFormat="1" applyFont="1" applyFill="1" applyBorder="1" applyAlignment="1" applyProtection="1">
      <alignment horizontal="center" vertical="center"/>
    </xf>
    <xf numFmtId="1" fontId="18" fillId="0" borderId="13" xfId="6" applyNumberFormat="1" applyFont="1" applyFill="1" applyBorder="1" applyAlignment="1" applyProtection="1">
      <alignment horizontal="center" vertical="center"/>
    </xf>
    <xf numFmtId="206" fontId="18" fillId="0" borderId="17" xfId="4" applyNumberFormat="1" applyFont="1" applyFill="1" applyBorder="1" applyAlignment="1" applyProtection="1">
      <alignment horizontal="right" vertical="center"/>
    </xf>
    <xf numFmtId="206" fontId="18" fillId="0" borderId="57" xfId="4" applyNumberFormat="1" applyFont="1" applyFill="1" applyBorder="1" applyAlignment="1" applyProtection="1">
      <alignment horizontal="right" vertical="center"/>
    </xf>
    <xf numFmtId="206" fontId="18" fillId="0" borderId="64" xfId="4" applyNumberFormat="1" applyFont="1" applyFill="1" applyBorder="1" applyAlignment="1" applyProtection="1">
      <alignment horizontal="right" vertical="center"/>
    </xf>
    <xf numFmtId="0" fontId="18" fillId="0" borderId="56" xfId="0" applyFont="1" applyBorder="1" applyAlignment="1" applyProtection="1">
      <alignment horizontal="left" vertical="center" indent="1"/>
    </xf>
    <xf numFmtId="206" fontId="18" fillId="0" borderId="30" xfId="4" applyNumberFormat="1" applyFont="1" applyFill="1" applyBorder="1" applyAlignment="1" applyProtection="1">
      <alignment vertical="center"/>
    </xf>
    <xf numFmtId="206" fontId="18" fillId="0" borderId="56" xfId="4" applyNumberFormat="1" applyFont="1" applyFill="1" applyBorder="1" applyAlignment="1" applyProtection="1">
      <alignment vertical="center"/>
    </xf>
    <xf numFmtId="206" fontId="18" fillId="0" borderId="26" xfId="4" applyNumberFormat="1" applyFont="1" applyFill="1" applyBorder="1" applyAlignment="1" applyProtection="1">
      <alignment vertical="center"/>
    </xf>
    <xf numFmtId="0" fontId="22" fillId="0" borderId="57" xfId="0" applyFont="1" applyBorder="1" applyProtection="1"/>
    <xf numFmtId="3" fontId="22" fillId="0" borderId="17" xfId="0" applyNumberFormat="1" applyFont="1" applyBorder="1" applyProtection="1"/>
    <xf numFmtId="3" fontId="22" fillId="0" borderId="57" xfId="0" applyNumberFormat="1" applyFont="1" applyBorder="1" applyProtection="1"/>
    <xf numFmtId="3" fontId="22" fillId="0" borderId="64" xfId="0" applyNumberFormat="1" applyFont="1" applyBorder="1" applyProtection="1"/>
    <xf numFmtId="206" fontId="18" fillId="0" borderId="17" xfId="6" applyNumberFormat="1" applyFont="1" applyFill="1" applyBorder="1" applyAlignment="1" applyProtection="1">
      <alignment horizontal="right" vertical="center"/>
    </xf>
    <xf numFmtId="9" fontId="23" fillId="0" borderId="30" xfId="6" applyFont="1" applyFill="1" applyBorder="1" applyAlignment="1" applyProtection="1">
      <alignment horizontal="center"/>
    </xf>
    <xf numFmtId="3" fontId="16" fillId="0" borderId="26" xfId="0" applyNumberFormat="1" applyFont="1" applyBorder="1" applyAlignment="1" applyProtection="1">
      <alignment horizontal="centerContinuous" vertical="center" wrapText="1"/>
    </xf>
    <xf numFmtId="3" fontId="16" fillId="0" borderId="56" xfId="0" applyNumberFormat="1" applyFont="1" applyBorder="1" applyAlignment="1" applyProtection="1">
      <alignment horizontal="centerContinuous" vertical="center" wrapText="1"/>
    </xf>
    <xf numFmtId="3" fontId="16" fillId="0" borderId="30" xfId="0" applyNumberFormat="1" applyFont="1" applyBorder="1" applyAlignment="1" applyProtection="1">
      <alignment horizontal="centerContinuous" vertical="center" wrapText="1"/>
    </xf>
    <xf numFmtId="9" fontId="23" fillId="0" borderId="13" xfId="6" applyFont="1" applyFill="1" applyBorder="1" applyAlignment="1" applyProtection="1">
      <alignment horizontal="center" vertical="center"/>
    </xf>
    <xf numFmtId="1" fontId="49" fillId="0" borderId="13" xfId="4" applyNumberFormat="1" applyFont="1" applyFill="1" applyBorder="1" applyAlignment="1" applyProtection="1">
      <alignment horizontal="center" vertical="center"/>
    </xf>
    <xf numFmtId="9" fontId="18" fillId="0" borderId="17" xfId="6" applyFont="1" applyFill="1" applyBorder="1" applyAlignment="1" applyProtection="1">
      <alignment horizontal="left" vertical="center"/>
    </xf>
    <xf numFmtId="9" fontId="18" fillId="0" borderId="30" xfId="6" applyFont="1" applyFill="1" applyBorder="1" applyAlignment="1" applyProtection="1">
      <alignment horizontal="right" vertical="center"/>
    </xf>
    <xf numFmtId="211" fontId="18" fillId="0" borderId="30" xfId="4" applyNumberFormat="1" applyFont="1" applyFill="1" applyBorder="1" applyAlignment="1" applyProtection="1">
      <alignment vertical="center"/>
    </xf>
    <xf numFmtId="3" fontId="22" fillId="0" borderId="64" xfId="0" applyNumberFormat="1" applyFont="1" applyBorder="1" applyAlignment="1" applyProtection="1">
      <alignment horizontal="right"/>
    </xf>
    <xf numFmtId="3" fontId="22" fillId="0" borderId="57" xfId="0" applyNumberFormat="1" applyFont="1" applyBorder="1" applyAlignment="1" applyProtection="1">
      <alignment horizontal="right"/>
    </xf>
    <xf numFmtId="3" fontId="22" fillId="0" borderId="17" xfId="0" applyNumberFormat="1" applyFont="1" applyBorder="1" applyAlignment="1" applyProtection="1">
      <alignment horizontal="right"/>
    </xf>
    <xf numFmtId="9" fontId="23" fillId="0" borderId="56" xfId="6" applyFont="1" applyFill="1" applyBorder="1" applyAlignment="1" applyProtection="1">
      <alignment horizontal="center"/>
    </xf>
    <xf numFmtId="9" fontId="23" fillId="0" borderId="9" xfId="6" applyFont="1" applyFill="1" applyBorder="1" applyAlignment="1" applyProtection="1">
      <alignment horizontal="center" vertical="center"/>
    </xf>
    <xf numFmtId="9" fontId="18" fillId="0" borderId="56" xfId="6" applyFont="1" applyFill="1" applyBorder="1" applyAlignment="1" applyProtection="1">
      <alignment horizontal="right" vertical="center"/>
    </xf>
    <xf numFmtId="10" fontId="22" fillId="0" borderId="6" xfId="6" applyNumberFormat="1" applyFont="1" applyFill="1" applyBorder="1" applyAlignment="1" applyProtection="1">
      <alignment horizontal="center"/>
    </xf>
    <xf numFmtId="167" fontId="18" fillId="0" borderId="49" xfId="6" applyNumberFormat="1" applyFont="1" applyFill="1" applyBorder="1" applyAlignment="1" applyProtection="1">
      <alignment horizontal="center" vertical="center"/>
    </xf>
    <xf numFmtId="9" fontId="23" fillId="0" borderId="57" xfId="6" applyFont="1" applyFill="1" applyBorder="1" applyAlignment="1" applyProtection="1">
      <alignment horizontal="right" vertical="center"/>
    </xf>
    <xf numFmtId="3" fontId="36" fillId="0" borderId="30" xfId="0" applyNumberFormat="1" applyFont="1" applyBorder="1" applyAlignment="1" applyProtection="1">
      <alignment horizontal="centerContinuous" vertical="center" wrapText="1"/>
    </xf>
    <xf numFmtId="1" fontId="23" fillId="0" borderId="10" xfId="0" applyNumberFormat="1" applyFont="1" applyBorder="1" applyAlignment="1">
      <alignment horizontal="center" vertical="center" wrapText="1"/>
    </xf>
    <xf numFmtId="1" fontId="23" fillId="0" borderId="5" xfId="0" applyNumberFormat="1" applyFont="1" applyBorder="1" applyAlignment="1">
      <alignment horizontal="center" vertical="center" wrapText="1"/>
    </xf>
    <xf numFmtId="3" fontId="22" fillId="0" borderId="6" xfId="0" applyNumberFormat="1" applyFont="1" applyBorder="1" applyAlignment="1">
      <alignment horizontal="left" vertical="center" indent="1"/>
    </xf>
    <xf numFmtId="0" fontId="15" fillId="0" borderId="49" xfId="0" applyFont="1" applyBorder="1" applyAlignment="1" applyProtection="1">
      <alignment horizontal="center" vertical="center"/>
    </xf>
    <xf numFmtId="233" fontId="18" fillId="0" borderId="42" xfId="0" applyNumberFormat="1" applyFont="1" applyBorder="1" applyProtection="1"/>
    <xf numFmtId="233" fontId="22" fillId="0" borderId="43" xfId="0" applyNumberFormat="1" applyFont="1" applyBorder="1" applyProtection="1"/>
    <xf numFmtId="0" fontId="22" fillId="0" borderId="6" xfId="0" applyFont="1" applyBorder="1" applyAlignment="1" applyProtection="1">
      <alignment horizontal="left" vertical="center" indent="2"/>
    </xf>
    <xf numFmtId="0" fontId="22" fillId="0" borderId="15" xfId="0" applyFont="1" applyBorder="1" applyAlignment="1" applyProtection="1">
      <alignment horizontal="left" vertical="center" indent="2"/>
    </xf>
    <xf numFmtId="233" fontId="22" fillId="0" borderId="44" xfId="0" applyNumberFormat="1" applyFont="1" applyBorder="1" applyProtection="1"/>
    <xf numFmtId="0" fontId="22" fillId="0" borderId="9" xfId="0" applyFont="1" applyBorder="1" applyAlignment="1" applyProtection="1">
      <alignment vertical="center"/>
    </xf>
    <xf numFmtId="233" fontId="22" fillId="0" borderId="68" xfId="0" applyNumberFormat="1" applyFont="1" applyBorder="1" applyProtection="1"/>
    <xf numFmtId="0" fontId="50" fillId="0" borderId="6" xfId="0" applyFont="1" applyBorder="1" applyAlignment="1" applyProtection="1">
      <alignment horizontal="left" vertical="center" indent="1"/>
    </xf>
    <xf numFmtId="233" fontId="18" fillId="0" borderId="43" xfId="0" applyNumberFormat="1" applyFont="1" applyBorder="1" applyProtection="1"/>
    <xf numFmtId="0" fontId="50" fillId="0" borderId="49" xfId="0" applyFont="1" applyBorder="1" applyAlignment="1" applyProtection="1">
      <alignment horizontal="left" vertical="center" indent="1"/>
    </xf>
    <xf numFmtId="0" fontId="22" fillId="0" borderId="69" xfId="0" applyFont="1" applyBorder="1" applyAlignment="1" applyProtection="1">
      <alignment horizontal="left" vertical="center" indent="2"/>
    </xf>
    <xf numFmtId="233" fontId="22" fillId="0" borderId="70" xfId="0" applyNumberFormat="1" applyFont="1" applyBorder="1" applyProtection="1"/>
    <xf numFmtId="3" fontId="28" fillId="0" borderId="56" xfId="0" applyNumberFormat="1" applyFont="1" applyBorder="1" applyAlignment="1" applyProtection="1">
      <alignment horizontal="centerContinuous" vertical="center" wrapText="1"/>
    </xf>
    <xf numFmtId="3" fontId="36" fillId="0" borderId="138" xfId="0" applyNumberFormat="1" applyFont="1" applyBorder="1" applyAlignment="1" applyProtection="1">
      <alignment horizontal="centerContinuous" vertical="center" wrapText="1"/>
    </xf>
    <xf numFmtId="3" fontId="36" fillId="0" borderId="139" xfId="0" applyNumberFormat="1" applyFont="1" applyBorder="1" applyAlignment="1" applyProtection="1">
      <alignment horizontal="centerContinuous" vertical="center" wrapText="1"/>
    </xf>
    <xf numFmtId="0" fontId="18" fillId="0" borderId="57" xfId="0" applyFont="1" applyBorder="1" applyAlignment="1" applyProtection="1">
      <alignment horizontal="center" vertical="center"/>
    </xf>
    <xf numFmtId="233" fontId="18" fillId="0" borderId="90" xfId="0" applyNumberFormat="1" applyFont="1" applyBorder="1" applyAlignment="1" applyProtection="1">
      <alignment vertical="center"/>
    </xf>
    <xf numFmtId="0" fontId="47" fillId="0" borderId="56" xfId="0" applyFont="1" applyBorder="1" applyProtection="1"/>
    <xf numFmtId="0" fontId="22" fillId="0" borderId="57" xfId="0" applyFont="1" applyBorder="1" applyAlignment="1" applyProtection="1">
      <alignment vertical="center"/>
    </xf>
    <xf numFmtId="233" fontId="22" fillId="0" borderId="90" xfId="0" applyNumberFormat="1" applyFont="1" applyBorder="1" applyProtection="1"/>
    <xf numFmtId="3" fontId="22" fillId="0" borderId="137" xfId="0" applyNumberFormat="1" applyFont="1" applyBorder="1" applyProtection="1"/>
    <xf numFmtId="234" fontId="18" fillId="0" borderId="39" xfId="4" applyNumberFormat="1" applyFont="1" applyFill="1" applyBorder="1" applyAlignment="1" applyProtection="1">
      <alignment horizontal="right" vertical="center"/>
    </xf>
    <xf numFmtId="234" fontId="18" fillId="0" borderId="36" xfId="4" applyNumberFormat="1" applyFont="1" applyFill="1" applyBorder="1" applyAlignment="1" applyProtection="1">
      <alignment horizontal="right" vertical="center"/>
    </xf>
    <xf numFmtId="234" fontId="18" fillId="0" borderId="25" xfId="4" applyNumberFormat="1" applyFont="1" applyFill="1" applyBorder="1" applyAlignment="1" applyProtection="1">
      <alignment horizontal="right" vertical="center"/>
    </xf>
    <xf numFmtId="0" fontId="22" fillId="0" borderId="8" xfId="0" applyFont="1" applyBorder="1" applyAlignment="1" applyProtection="1">
      <alignment horizontal="left" vertical="center" indent="2"/>
    </xf>
    <xf numFmtId="0" fontId="22" fillId="0" borderId="5" xfId="0" applyFont="1" applyBorder="1" applyAlignment="1" applyProtection="1">
      <alignment vertical="center"/>
    </xf>
    <xf numFmtId="234" fontId="22" fillId="0" borderId="5" xfId="4" applyNumberFormat="1" applyFont="1" applyFill="1" applyBorder="1" applyAlignment="1" applyProtection="1">
      <alignment vertical="center"/>
    </xf>
    <xf numFmtId="234" fontId="22" fillId="0" borderId="16" xfId="4" applyNumberFormat="1" applyFont="1" applyFill="1" applyBorder="1" applyAlignment="1" applyProtection="1">
      <alignment vertical="center"/>
    </xf>
    <xf numFmtId="0" fontId="30" fillId="0" borderId="140" xfId="0" applyFont="1" applyBorder="1" applyAlignment="1" applyProtection="1">
      <alignment horizontal="centerContinuous" vertical="center" shrinkToFit="1"/>
    </xf>
    <xf numFmtId="9" fontId="22" fillId="0" borderId="26" xfId="6" applyFont="1" applyFill="1" applyBorder="1" applyAlignment="1" applyProtection="1">
      <alignment horizontal="centerContinuous" vertical="center" shrinkToFit="1"/>
    </xf>
    <xf numFmtId="9" fontId="22" fillId="0" borderId="140" xfId="6" applyFont="1" applyFill="1" applyBorder="1" applyAlignment="1" applyProtection="1">
      <alignment horizontal="centerContinuous" vertical="center" shrinkToFit="1"/>
    </xf>
    <xf numFmtId="9" fontId="22" fillId="0" borderId="141" xfId="6" applyFont="1" applyFill="1" applyBorder="1" applyAlignment="1" applyProtection="1">
      <alignment horizontal="centerContinuous" vertical="center" shrinkToFit="1"/>
    </xf>
    <xf numFmtId="9" fontId="22" fillId="0" borderId="40" xfId="6" applyFont="1" applyFill="1" applyBorder="1" applyAlignment="1" applyProtection="1">
      <alignment horizontal="centerContinuous" vertical="center" shrinkToFit="1"/>
    </xf>
    <xf numFmtId="232" fontId="22" fillId="13" borderId="85" xfId="0" applyNumberFormat="1" applyFont="1" applyFill="1" applyBorder="1" applyAlignment="1" applyProtection="1">
      <alignment vertical="center"/>
      <protection locked="0"/>
    </xf>
    <xf numFmtId="232" fontId="22" fillId="0" borderId="43" xfId="0" applyNumberFormat="1" applyFont="1" applyBorder="1" applyAlignment="1" applyProtection="1">
      <alignment vertical="center"/>
    </xf>
    <xf numFmtId="0" fontId="22" fillId="0" borderId="6" xfId="0" applyFont="1" applyBorder="1" applyAlignment="1" applyProtection="1">
      <alignment horizontal="left" vertical="center" indent="1"/>
    </xf>
    <xf numFmtId="232" fontId="22" fillId="0" borderId="70" xfId="0" applyNumberFormat="1" applyFont="1" applyBorder="1" applyAlignment="1" applyProtection="1">
      <alignment vertical="center"/>
    </xf>
    <xf numFmtId="232" fontId="22" fillId="2" borderId="43" xfId="0" applyNumberFormat="1" applyFont="1" applyFill="1" applyBorder="1" applyAlignment="1" applyProtection="1">
      <alignment vertical="center"/>
      <protection locked="0"/>
    </xf>
    <xf numFmtId="232" fontId="22" fillId="0" borderId="85" xfId="0" applyNumberFormat="1" applyFont="1" applyBorder="1" applyAlignment="1" applyProtection="1">
      <alignment vertical="center"/>
    </xf>
    <xf numFmtId="0" fontId="22" fillId="0" borderId="15" xfId="0" applyFont="1" applyBorder="1" applyAlignment="1" applyProtection="1">
      <alignment horizontal="left" vertical="center" indent="1"/>
    </xf>
    <xf numFmtId="232" fontId="22" fillId="0" borderId="44" xfId="0" applyNumberFormat="1" applyFont="1" applyBorder="1" applyAlignment="1" applyProtection="1">
      <alignment vertical="center"/>
    </xf>
    <xf numFmtId="0" fontId="18" fillId="0" borderId="8" xfId="0" applyFont="1" applyBorder="1" applyAlignment="1" applyProtection="1">
      <alignment horizontal="left" vertical="center" indent="1"/>
    </xf>
    <xf numFmtId="211" fontId="18" fillId="0" borderId="10" xfId="4" applyNumberFormat="1" applyFont="1" applyFill="1" applyBorder="1" applyAlignment="1" applyProtection="1">
      <alignment horizontal="right" vertical="center"/>
    </xf>
    <xf numFmtId="0" fontId="22" fillId="0" borderId="56" xfId="0" applyFont="1" applyBorder="1" applyProtection="1"/>
    <xf numFmtId="3" fontId="22" fillId="0" borderId="26" xfId="0" applyNumberFormat="1" applyFont="1" applyBorder="1" applyProtection="1"/>
    <xf numFmtId="0" fontId="22" fillId="0" borderId="26" xfId="0" applyFont="1" applyBorder="1" applyProtection="1"/>
    <xf numFmtId="0" fontId="22" fillId="0" borderId="40" xfId="0" applyFont="1" applyBorder="1" applyProtection="1"/>
    <xf numFmtId="0" fontId="18" fillId="0" borderId="18" xfId="0" applyFont="1" applyBorder="1" applyAlignment="1" applyProtection="1">
      <alignment horizontal="left" vertical="center" indent="1"/>
    </xf>
    <xf numFmtId="9" fontId="22" fillId="0" borderId="68" xfId="6" applyFont="1" applyFill="1" applyBorder="1" applyProtection="1"/>
    <xf numFmtId="0" fontId="35" fillId="0" borderId="22" xfId="0" applyFont="1" applyBorder="1" applyAlignment="1">
      <alignment horizontal="center" vertical="center" wrapText="1"/>
    </xf>
    <xf numFmtId="0" fontId="22" fillId="0" borderId="14" xfId="0" applyFont="1" applyBorder="1" applyAlignment="1" applyProtection="1">
      <alignment horizontal="left" vertical="center" indent="2"/>
      <protection locked="0"/>
    </xf>
    <xf numFmtId="247" fontId="22" fillId="0" borderId="4" xfId="6" applyNumberFormat="1" applyFont="1" applyBorder="1" applyAlignment="1">
      <alignment horizontal="center" vertical="center"/>
    </xf>
    <xf numFmtId="0" fontId="22" fillId="0" borderId="11" xfId="0" applyFont="1" applyBorder="1" applyAlignment="1" applyProtection="1">
      <alignment horizontal="left" vertical="center" indent="2"/>
      <protection locked="0"/>
    </xf>
    <xf numFmtId="247" fontId="22" fillId="0" borderId="24" xfId="6" applyNumberFormat="1" applyFont="1" applyBorder="1" applyAlignment="1">
      <alignment horizontal="center" vertical="center"/>
    </xf>
    <xf numFmtId="247" fontId="22" fillId="0" borderId="3" xfId="6" applyNumberFormat="1" applyFont="1" applyBorder="1" applyAlignment="1">
      <alignment horizontal="center" vertical="center"/>
    </xf>
    <xf numFmtId="0" fontId="22" fillId="0" borderId="38" xfId="0" applyFont="1" applyBorder="1" applyAlignment="1" applyProtection="1">
      <alignment horizontal="left" vertical="center" indent="2"/>
      <protection locked="0"/>
    </xf>
    <xf numFmtId="247" fontId="22" fillId="0" borderId="68" xfId="6" applyNumberFormat="1" applyFont="1" applyBorder="1" applyAlignment="1">
      <alignment horizontal="center" vertical="center"/>
    </xf>
    <xf numFmtId="0" fontId="22" fillId="0" borderId="19" xfId="0" applyFont="1" applyBorder="1" applyAlignment="1" applyProtection="1">
      <alignment horizontal="left" vertical="center" indent="2"/>
    </xf>
    <xf numFmtId="0" fontId="22" fillId="0" borderId="14" xfId="0" applyFont="1" applyBorder="1" applyAlignment="1" applyProtection="1">
      <alignment horizontal="left" vertical="center" indent="2"/>
    </xf>
    <xf numFmtId="9" fontId="22" fillId="0" borderId="68" xfId="6" applyFont="1" applyFill="1" applyBorder="1" applyAlignment="1" applyProtection="1">
      <alignment vertical="center"/>
    </xf>
    <xf numFmtId="0" fontId="18" fillId="0" borderId="10" xfId="0" applyFont="1" applyBorder="1" applyAlignment="1" applyProtection="1">
      <alignment horizontal="left" vertical="center" indent="1"/>
    </xf>
    <xf numFmtId="0" fontId="18" fillId="0" borderId="10" xfId="0" applyFont="1" applyBorder="1" applyAlignment="1" applyProtection="1">
      <alignment horizontal="left" indent="1"/>
    </xf>
    <xf numFmtId="190" fontId="18" fillId="0" borderId="10" xfId="4" applyNumberFormat="1" applyFont="1" applyFill="1" applyBorder="1" applyAlignment="1" applyProtection="1">
      <alignment horizontal="right" vertical="center"/>
    </xf>
    <xf numFmtId="9" fontId="22" fillId="0" borderId="57" xfId="6" applyFont="1" applyFill="1" applyBorder="1" applyAlignment="1" applyProtection="1">
      <alignment vertical="center"/>
    </xf>
    <xf numFmtId="9" fontId="22" fillId="0" borderId="64" xfId="6" applyFont="1" applyFill="1" applyBorder="1" applyAlignment="1" applyProtection="1">
      <alignment vertical="center"/>
    </xf>
    <xf numFmtId="9" fontId="22" fillId="0" borderId="90" xfId="6" applyFont="1" applyFill="1" applyBorder="1" applyAlignment="1" applyProtection="1">
      <alignment vertical="center"/>
    </xf>
    <xf numFmtId="0" fontId="28" fillId="0" borderId="56" xfId="0" applyFont="1" applyBorder="1" applyAlignment="1" applyProtection="1">
      <alignment horizontal="centerContinuous" vertical="center" shrinkToFit="1"/>
    </xf>
    <xf numFmtId="0" fontId="27" fillId="0" borderId="10" xfId="0" applyFont="1" applyBorder="1" applyAlignment="1" applyProtection="1">
      <alignment horizontal="center" vertical="center" wrapText="1"/>
    </xf>
    <xf numFmtId="3" fontId="18" fillId="0" borderId="10" xfId="0" applyNumberFormat="1" applyFont="1" applyBorder="1" applyAlignment="1" applyProtection="1">
      <alignment horizontal="center" wrapText="1"/>
    </xf>
    <xf numFmtId="9" fontId="22" fillId="0" borderId="56" xfId="6" applyFont="1" applyFill="1" applyBorder="1" applyProtection="1"/>
    <xf numFmtId="9" fontId="22" fillId="0" borderId="26" xfId="6" applyFont="1" applyFill="1" applyBorder="1" applyProtection="1"/>
    <xf numFmtId="9" fontId="22" fillId="0" borderId="40" xfId="6" applyFont="1" applyFill="1" applyBorder="1" applyProtection="1"/>
    <xf numFmtId="0" fontId="23" fillId="0" borderId="56" xfId="0" applyFont="1" applyBorder="1" applyAlignment="1" applyProtection="1">
      <alignment horizontal="center" vertical="center"/>
    </xf>
    <xf numFmtId="232" fontId="22" fillId="2" borderId="70" xfId="0" applyNumberFormat="1" applyFont="1" applyFill="1" applyBorder="1" applyAlignment="1" applyProtection="1">
      <alignment vertical="center"/>
      <protection locked="0"/>
    </xf>
    <xf numFmtId="0" fontId="18" fillId="0" borderId="8" xfId="0" applyFont="1" applyBorder="1" applyAlignment="1" applyProtection="1">
      <alignment horizontal="left" indent="1"/>
    </xf>
    <xf numFmtId="232" fontId="18" fillId="0" borderId="16" xfId="0" applyNumberFormat="1" applyFont="1" applyBorder="1" applyAlignment="1" applyProtection="1">
      <alignment horizontal="center" wrapText="1"/>
    </xf>
    <xf numFmtId="0" fontId="23" fillId="0" borderId="49" xfId="0" applyFont="1" applyBorder="1" applyAlignment="1" applyProtection="1">
      <alignment horizontal="center" vertical="center"/>
    </xf>
    <xf numFmtId="232" fontId="18" fillId="0" borderId="68" xfId="0" applyNumberFormat="1" applyFont="1" applyBorder="1" applyAlignment="1" applyProtection="1">
      <alignment horizontal="center" wrapText="1"/>
    </xf>
    <xf numFmtId="0" fontId="18" fillId="0" borderId="8" xfId="0" applyFont="1" applyBorder="1" applyAlignment="1" applyProtection="1">
      <alignment horizontal="right" vertical="center" indent="2"/>
    </xf>
    <xf numFmtId="232" fontId="18" fillId="0" borderId="10" xfId="0" applyNumberFormat="1" applyFont="1" applyBorder="1" applyAlignment="1" applyProtection="1">
      <alignment vertical="center"/>
    </xf>
    <xf numFmtId="232" fontId="18" fillId="0" borderId="16" xfId="0" applyNumberFormat="1" applyFont="1" applyBorder="1" applyAlignment="1" applyProtection="1">
      <alignment vertical="center"/>
    </xf>
    <xf numFmtId="3" fontId="18" fillId="0" borderId="17" xfId="0" applyNumberFormat="1" applyFont="1" applyBorder="1" applyAlignment="1" applyProtection="1">
      <alignment horizontal="center" vertical="center" wrapText="1"/>
    </xf>
    <xf numFmtId="3" fontId="18" fillId="0" borderId="90" xfId="0" applyNumberFormat="1" applyFont="1" applyBorder="1" applyAlignment="1" applyProtection="1">
      <alignment horizontal="center" vertical="center" wrapText="1"/>
    </xf>
    <xf numFmtId="0" fontId="28" fillId="0" borderId="8" xfId="0" applyFont="1" applyBorder="1" applyAlignment="1" applyProtection="1">
      <alignment horizontal="centerContinuous" vertical="center" shrinkToFit="1"/>
    </xf>
    <xf numFmtId="0" fontId="28" fillId="0" borderId="5" xfId="0" applyFont="1" applyBorder="1" applyAlignment="1" applyProtection="1">
      <alignment horizontal="centerContinuous" vertical="center" shrinkToFit="1"/>
    </xf>
    <xf numFmtId="0" fontId="30" fillId="0" borderId="76" xfId="0" applyFont="1" applyBorder="1" applyAlignment="1" applyProtection="1">
      <alignment horizontal="centerContinuous" vertical="center" shrinkToFit="1"/>
    </xf>
    <xf numFmtId="9" fontId="22" fillId="0" borderId="5" xfId="6" applyFont="1" applyFill="1" applyBorder="1" applyAlignment="1" applyProtection="1">
      <alignment horizontal="centerContinuous" vertical="center" shrinkToFit="1"/>
    </xf>
    <xf numFmtId="9" fontId="22" fillId="0" borderId="76" xfId="6" applyFont="1" applyFill="1" applyBorder="1" applyAlignment="1" applyProtection="1">
      <alignment horizontal="centerContinuous" vertical="center" shrinkToFit="1"/>
    </xf>
    <xf numFmtId="9" fontId="22" fillId="0" borderId="16" xfId="6" applyFont="1" applyFill="1" applyBorder="1" applyAlignment="1" applyProtection="1">
      <alignment horizontal="centerContinuous" vertical="center" shrinkToFit="1"/>
    </xf>
    <xf numFmtId="0" fontId="48" fillId="0" borderId="56" xfId="0" applyFont="1" applyBorder="1" applyAlignment="1" applyProtection="1">
      <alignment horizontal="centerContinuous" vertical="center" shrinkToFit="1"/>
    </xf>
    <xf numFmtId="3" fontId="22" fillId="0" borderId="26" xfId="0" applyNumberFormat="1" applyFont="1" applyBorder="1" applyAlignment="1" applyProtection="1">
      <alignment horizontal="centerContinuous" shrinkToFit="1"/>
    </xf>
    <xf numFmtId="0" fontId="22" fillId="0" borderId="56" xfId="0" applyFont="1" applyBorder="1" applyAlignment="1" applyProtection="1">
      <alignment horizontal="centerContinuous" vertical="center" shrinkToFit="1"/>
    </xf>
    <xf numFmtId="0" fontId="22" fillId="0" borderId="49" xfId="0" applyFont="1" applyBorder="1" applyAlignment="1" applyProtection="1">
      <alignment horizontal="centerContinuous" vertical="center" shrinkToFit="1"/>
    </xf>
    <xf numFmtId="3" fontId="109" fillId="0" borderId="58" xfId="0" applyNumberFormat="1" applyFont="1" applyBorder="1" applyAlignment="1" applyProtection="1">
      <alignment horizontal="center"/>
      <protection locked="0"/>
    </xf>
    <xf numFmtId="3" fontId="112" fillId="0" borderId="0" xfId="0" applyNumberFormat="1" applyFont="1" applyAlignment="1">
      <alignment horizontal="center"/>
    </xf>
    <xf numFmtId="190" fontId="18" fillId="0" borderId="51" xfId="0" applyNumberFormat="1" applyFont="1" applyBorder="1" applyAlignment="1" applyProtection="1">
      <alignment vertical="center"/>
    </xf>
    <xf numFmtId="200" fontId="24" fillId="0" borderId="6" xfId="0" applyNumberFormat="1" applyFont="1" applyBorder="1" applyProtection="1">
      <protection locked="0"/>
    </xf>
    <xf numFmtId="200" fontId="24" fillId="0" borderId="11" xfId="0" applyNumberFormat="1" applyFont="1" applyBorder="1" applyProtection="1">
      <protection locked="0"/>
    </xf>
    <xf numFmtId="0" fontId="22" fillId="0" borderId="9" xfId="0" applyFont="1" applyBorder="1" applyAlignment="1">
      <alignment horizontal="right"/>
    </xf>
    <xf numFmtId="182" fontId="22" fillId="0" borderId="68" xfId="4" applyNumberFormat="1" applyFont="1" applyBorder="1" applyProtection="1">
      <protection locked="0"/>
    </xf>
    <xf numFmtId="165" fontId="22" fillId="0" borderId="68" xfId="0" applyNumberFormat="1" applyFont="1" applyBorder="1" applyProtection="1">
      <protection locked="0"/>
    </xf>
    <xf numFmtId="0" fontId="111" fillId="0" borderId="0" xfId="0" applyFont="1" applyAlignment="1">
      <alignment horizontal="left" indent="1"/>
    </xf>
    <xf numFmtId="188" fontId="111" fillId="0" borderId="68" xfId="4" applyNumberFormat="1" applyFont="1" applyBorder="1" applyProtection="1">
      <protection locked="0"/>
    </xf>
    <xf numFmtId="183" fontId="22" fillId="0" borderId="68" xfId="4" applyNumberFormat="1" applyFont="1" applyFill="1" applyBorder="1" applyProtection="1">
      <protection locked="0"/>
    </xf>
    <xf numFmtId="170" fontId="22" fillId="0" borderId="68" xfId="4" applyNumberFormat="1" applyFont="1" applyBorder="1" applyProtection="1">
      <protection locked="0"/>
    </xf>
    <xf numFmtId="183" fontId="22" fillId="0" borderId="68" xfId="4" applyNumberFormat="1" applyFont="1" applyBorder="1" applyProtection="1">
      <protection locked="0"/>
    </xf>
    <xf numFmtId="188" fontId="22" fillId="0" borderId="68" xfId="4" applyNumberFormat="1" applyFont="1" applyBorder="1" applyProtection="1">
      <protection locked="0"/>
    </xf>
    <xf numFmtId="165" fontId="22" fillId="11" borderId="68" xfId="0" applyNumberFormat="1" applyFont="1" applyFill="1" applyBorder="1" applyProtection="1"/>
    <xf numFmtId="170" fontId="22" fillId="0" borderId="68" xfId="4" applyNumberFormat="1" applyFont="1" applyFill="1" applyBorder="1" applyProtection="1">
      <protection locked="0"/>
    </xf>
    <xf numFmtId="170" fontId="22" fillId="11" borderId="68" xfId="4" applyNumberFormat="1" applyFont="1" applyFill="1" applyBorder="1"/>
    <xf numFmtId="170" fontId="22" fillId="0" borderId="68" xfId="4" applyNumberFormat="1" applyFont="1" applyBorder="1" applyAlignment="1" applyProtection="1">
      <protection locked="0"/>
    </xf>
    <xf numFmtId="275" fontId="22" fillId="0" borderId="18" xfId="0" applyNumberFormat="1" applyFont="1" applyBorder="1" applyAlignment="1" applyProtection="1">
      <alignment vertical="center"/>
      <protection locked="0"/>
    </xf>
    <xf numFmtId="275" fontId="22" fillId="0" borderId="11" xfId="0" applyNumberFormat="1" applyFont="1" applyBorder="1" applyAlignment="1" applyProtection="1">
      <alignment vertical="center"/>
      <protection locked="0"/>
    </xf>
    <xf numFmtId="275" fontId="22" fillId="0" borderId="18" xfId="0" applyNumberFormat="1" applyFont="1" applyBorder="1" applyAlignment="1" applyProtection="1">
      <alignment vertical="center"/>
    </xf>
    <xf numFmtId="165" fontId="22" fillId="0" borderId="0" xfId="0" applyNumberFormat="1" applyFont="1" applyProtection="1"/>
    <xf numFmtId="276" fontId="22" fillId="0" borderId="11" xfId="0" applyNumberFormat="1" applyFont="1" applyBorder="1" applyAlignment="1" applyProtection="1">
      <alignment vertical="center"/>
      <protection locked="0"/>
    </xf>
    <xf numFmtId="3" fontId="22" fillId="0" borderId="15" xfId="0" applyNumberFormat="1" applyFont="1" applyBorder="1" applyAlignment="1" applyProtection="1">
      <alignment horizontal="left" vertical="center" indent="3"/>
    </xf>
    <xf numFmtId="275" fontId="22" fillId="0" borderId="19" xfId="0" applyNumberFormat="1" applyFont="1" applyBorder="1" applyAlignment="1" applyProtection="1">
      <alignment vertical="center"/>
      <protection locked="0"/>
    </xf>
    <xf numFmtId="3" fontId="22" fillId="0" borderId="8" xfId="0" applyNumberFormat="1" applyFont="1" applyBorder="1" applyAlignment="1" applyProtection="1">
      <alignment horizontal="left" vertical="center" indent="3"/>
    </xf>
    <xf numFmtId="275" fontId="22" fillId="11" borderId="10" xfId="0" applyNumberFormat="1" applyFont="1" applyFill="1" applyBorder="1" applyAlignment="1" applyProtection="1">
      <alignment horizontal="center" vertical="center"/>
      <protection locked="0"/>
    </xf>
    <xf numFmtId="275" fontId="22" fillId="11" borderId="19" xfId="0" applyNumberFormat="1" applyFont="1" applyFill="1" applyBorder="1" applyAlignment="1">
      <alignment vertical="center"/>
    </xf>
    <xf numFmtId="0" fontId="28" fillId="0" borderId="0" xfId="0" applyFont="1" applyAlignment="1" applyProtection="1">
      <alignment horizontal="center"/>
    </xf>
    <xf numFmtId="0" fontId="112" fillId="0" borderId="0" xfId="0" applyFont="1" applyAlignment="1">
      <alignment horizontal="center"/>
    </xf>
    <xf numFmtId="3" fontId="109" fillId="0" borderId="0" xfId="0" applyNumberFormat="1" applyFont="1" applyAlignment="1">
      <alignment horizontal="center"/>
    </xf>
    <xf numFmtId="0" fontId="111" fillId="0" borderId="0" xfId="0" applyFont="1"/>
    <xf numFmtId="0" fontId="68" fillId="0" borderId="69" xfId="0" applyFont="1" applyBorder="1" applyAlignment="1" applyProtection="1">
      <alignment horizontal="left" indent="4"/>
      <protection locked="0"/>
    </xf>
    <xf numFmtId="230" fontId="24" fillId="0" borderId="4" xfId="6" applyNumberFormat="1" applyFont="1" applyFill="1" applyBorder="1" applyAlignment="1">
      <alignment horizontal="center"/>
    </xf>
    <xf numFmtId="230" fontId="24" fillId="0" borderId="24" xfId="6" applyNumberFormat="1" applyFont="1" applyFill="1" applyBorder="1" applyAlignment="1">
      <alignment horizontal="center"/>
    </xf>
    <xf numFmtId="10" fontId="24" fillId="0" borderId="3" xfId="6" applyNumberFormat="1" applyFont="1" applyFill="1" applyBorder="1" applyAlignment="1">
      <alignment horizontal="center"/>
    </xf>
    <xf numFmtId="0" fontId="24" fillId="0" borderId="69" xfId="0" applyFont="1" applyBorder="1" applyAlignment="1" applyProtection="1">
      <alignment horizontal="left" indent="3"/>
    </xf>
    <xf numFmtId="0" fontId="68" fillId="0" borderId="69" xfId="0" applyFont="1" applyBorder="1" applyAlignment="1" applyProtection="1">
      <alignment horizontal="left" indent="3"/>
    </xf>
    <xf numFmtId="200" fontId="68" fillId="0" borderId="9" xfId="0" applyNumberFormat="1" applyFont="1" applyBorder="1" applyProtection="1"/>
    <xf numFmtId="206" fontId="68" fillId="0" borderId="24" xfId="0" applyNumberFormat="1" applyFont="1" applyBorder="1" applyAlignment="1" applyProtection="1">
      <alignment horizontal="right"/>
    </xf>
    <xf numFmtId="3" fontId="68" fillId="2" borderId="1" xfId="0" applyNumberFormat="1" applyFont="1" applyFill="1" applyBorder="1" applyAlignment="1" applyProtection="1">
      <alignment horizontal="center"/>
      <protection locked="0"/>
    </xf>
    <xf numFmtId="213" fontId="24" fillId="1" borderId="38" xfId="0" applyNumberFormat="1" applyFont="1" applyFill="1" applyBorder="1" applyAlignment="1" applyProtection="1">
      <alignment horizontal="right"/>
    </xf>
    <xf numFmtId="0" fontId="68" fillId="0" borderId="69" xfId="0" applyFont="1" applyBorder="1" applyAlignment="1" applyProtection="1">
      <alignment horizontal="left" indent="4"/>
    </xf>
    <xf numFmtId="206" fontId="24" fillId="0" borderId="69" xfId="0" applyNumberFormat="1" applyFont="1" applyBorder="1" applyProtection="1"/>
    <xf numFmtId="9" fontId="21" fillId="1" borderId="23" xfId="6" applyFont="1" applyFill="1" applyBorder="1" applyAlignment="1" applyProtection="1">
      <alignment horizontal="right"/>
    </xf>
    <xf numFmtId="0" fontId="24" fillId="0" borderId="7" xfId="0" applyFont="1" applyBorder="1" applyAlignment="1" applyProtection="1">
      <alignment horizontal="left" indent="3"/>
      <protection locked="0"/>
    </xf>
    <xf numFmtId="0" fontId="24" fillId="0" borderId="6" xfId="0" applyFont="1" applyBorder="1" applyAlignment="1" applyProtection="1">
      <alignment horizontal="left" indent="3"/>
      <protection locked="0"/>
    </xf>
    <xf numFmtId="0" fontId="24" fillId="0" borderId="7" xfId="0" applyFont="1" applyBorder="1" applyAlignment="1" applyProtection="1">
      <alignment horizontal="left" indent="2"/>
      <protection locked="0"/>
    </xf>
    <xf numFmtId="0" fontId="24" fillId="0" borderId="6" xfId="0" applyFont="1" applyBorder="1" applyAlignment="1" applyProtection="1">
      <alignment horizontal="left" indent="2"/>
      <protection locked="0"/>
    </xf>
    <xf numFmtId="0" fontId="68" fillId="0" borderId="15" xfId="0" applyFont="1" applyBorder="1" applyAlignment="1" applyProtection="1">
      <alignment horizontal="left" indent="2"/>
      <protection locked="0"/>
    </xf>
    <xf numFmtId="0" fontId="24" fillId="0" borderId="69" xfId="0" applyFont="1" applyBorder="1" applyAlignment="1" applyProtection="1">
      <alignment horizontal="left" indent="3"/>
      <protection locked="0"/>
    </xf>
    <xf numFmtId="3" fontId="42" fillId="0" borderId="9" xfId="0" applyNumberFormat="1" applyFont="1" applyBorder="1" applyAlignment="1" applyProtection="1">
      <alignment horizontal="right" vertical="center"/>
    </xf>
    <xf numFmtId="3" fontId="68" fillId="0" borderId="9" xfId="0" applyNumberFormat="1" applyFont="1" applyBorder="1" applyAlignment="1" applyProtection="1">
      <alignment horizontal="left" vertical="center" indent="1"/>
    </xf>
    <xf numFmtId="0" fontId="42" fillId="0" borderId="19" xfId="0" applyFont="1" applyBorder="1" applyAlignment="1" applyProtection="1">
      <alignment horizontal="left" vertical="center" indent="2"/>
      <protection locked="0"/>
    </xf>
    <xf numFmtId="0" fontId="42" fillId="0" borderId="19" xfId="0" applyFont="1" applyBorder="1" applyAlignment="1" applyProtection="1">
      <alignment horizontal="left" vertical="center" indent="2"/>
    </xf>
    <xf numFmtId="0" fontId="42" fillId="0" borderId="38" xfId="0" applyFont="1" applyBorder="1" applyAlignment="1" applyProtection="1">
      <alignment horizontal="left" vertical="center" indent="2"/>
    </xf>
    <xf numFmtId="0" fontId="42" fillId="0" borderId="11" xfId="0" applyFont="1" applyBorder="1" applyAlignment="1" applyProtection="1">
      <alignment horizontal="left" vertical="center" indent="2"/>
    </xf>
    <xf numFmtId="0" fontId="42" fillId="0" borderId="6" xfId="0" applyFont="1" applyBorder="1" applyAlignment="1" applyProtection="1">
      <alignment horizontal="left" vertical="center" indent="2"/>
    </xf>
    <xf numFmtId="0" fontId="42" fillId="0" borderId="69" xfId="0" applyFont="1" applyBorder="1" applyAlignment="1" applyProtection="1">
      <alignment horizontal="left" vertical="center" indent="2"/>
    </xf>
    <xf numFmtId="0" fontId="42" fillId="0" borderId="15" xfId="0" applyFont="1" applyBorder="1" applyAlignment="1" applyProtection="1">
      <alignment horizontal="left" vertical="center" indent="2"/>
    </xf>
    <xf numFmtId="0" fontId="48" fillId="0" borderId="26" xfId="0" applyFont="1" applyBorder="1" applyAlignment="1" applyProtection="1">
      <alignment horizontal="centerContinuous" vertical="center" shrinkToFit="1"/>
    </xf>
    <xf numFmtId="0" fontId="22" fillId="0" borderId="26" xfId="0" applyFont="1" applyBorder="1" applyAlignment="1" applyProtection="1">
      <alignment horizontal="centerContinuous" vertical="center" shrinkToFit="1"/>
    </xf>
    <xf numFmtId="0" fontId="22" fillId="0" borderId="12" xfId="0" applyFont="1" applyBorder="1" applyAlignment="1" applyProtection="1">
      <alignment horizontal="left" vertical="center" indent="2"/>
    </xf>
    <xf numFmtId="0" fontId="22" fillId="0" borderId="62" xfId="0" applyFont="1" applyBorder="1" applyAlignment="1" applyProtection="1">
      <alignment horizontal="left" vertical="center" indent="2"/>
    </xf>
    <xf numFmtId="0" fontId="22" fillId="0" borderId="5" xfId="0" applyFont="1" applyBorder="1" applyAlignment="1" applyProtection="1">
      <alignment horizontal="left" vertical="center" indent="2"/>
    </xf>
    <xf numFmtId="0" fontId="22" fillId="0" borderId="61" xfId="0" applyFont="1" applyBorder="1" applyAlignment="1" applyProtection="1">
      <alignment horizontal="centerContinuous" vertical="center" shrinkToFit="1"/>
    </xf>
    <xf numFmtId="3" fontId="22" fillId="0" borderId="12" xfId="0" applyNumberFormat="1" applyFont="1" applyBorder="1" applyAlignment="1" applyProtection="1">
      <alignment horizontal="left" vertical="center" indent="1"/>
    </xf>
    <xf numFmtId="0" fontId="22" fillId="0" borderId="67" xfId="0" applyFont="1" applyBorder="1" applyAlignment="1" applyProtection="1">
      <alignment horizontal="left" vertical="center" indent="1"/>
    </xf>
    <xf numFmtId="0" fontId="22" fillId="0" borderId="12" xfId="0" applyFont="1" applyBorder="1" applyAlignment="1" applyProtection="1">
      <alignment horizontal="left" vertical="center" indent="1"/>
    </xf>
    <xf numFmtId="0" fontId="22" fillId="0" borderId="62" xfId="0" applyFont="1" applyBorder="1" applyAlignment="1" applyProtection="1">
      <alignment horizontal="left" vertical="center" indent="1"/>
    </xf>
    <xf numFmtId="0" fontId="18" fillId="0" borderId="5" xfId="0" applyFont="1" applyBorder="1" applyAlignment="1" applyProtection="1">
      <alignment horizontal="left" vertical="center" indent="1"/>
    </xf>
    <xf numFmtId="3" fontId="22" fillId="0" borderId="61" xfId="0" applyNumberFormat="1" applyFont="1" applyBorder="1" applyAlignment="1" applyProtection="1">
      <alignment horizontal="left" vertical="center" indent="4"/>
    </xf>
    <xf numFmtId="3" fontId="22" fillId="0" borderId="12" xfId="0" applyNumberFormat="1" applyFont="1" applyBorder="1" applyAlignment="1" applyProtection="1">
      <alignment horizontal="left" vertical="center" indent="4"/>
    </xf>
    <xf numFmtId="3" fontId="15" fillId="0" borderId="0" xfId="0" applyNumberFormat="1" applyFont="1" applyAlignment="1" applyProtection="1">
      <alignment horizontal="centerContinuous" vertical="center"/>
    </xf>
    <xf numFmtId="3" fontId="22" fillId="0" borderId="62" xfId="0" applyNumberFormat="1" applyFont="1" applyBorder="1" applyAlignment="1" applyProtection="1">
      <alignment horizontal="left" vertical="center" indent="4"/>
    </xf>
    <xf numFmtId="10" fontId="22" fillId="0" borderId="11" xfId="6" applyNumberFormat="1" applyFont="1" applyFill="1" applyBorder="1" applyAlignment="1" applyProtection="1">
      <alignment horizontal="center" vertical="center"/>
    </xf>
    <xf numFmtId="3" fontId="113" fillId="0" borderId="0" xfId="0" applyNumberFormat="1" applyFont="1" applyAlignment="1">
      <alignment horizontal="center"/>
    </xf>
    <xf numFmtId="208" fontId="18" fillId="0" borderId="142" xfId="0" applyNumberFormat="1" applyFont="1" applyBorder="1" applyAlignment="1">
      <alignment horizontal="center" vertical="center" wrapText="1"/>
    </xf>
    <xf numFmtId="208" fontId="18" fillId="0" borderId="40" xfId="0" applyNumberFormat="1" applyFont="1" applyBorder="1" applyAlignment="1">
      <alignment horizontal="center" vertical="center" wrapText="1"/>
    </xf>
    <xf numFmtId="188" fontId="22" fillId="0" borderId="68" xfId="4" applyNumberFormat="1" applyFont="1" applyBorder="1" applyProtection="1"/>
    <xf numFmtId="0" fontId="22" fillId="0" borderId="1" xfId="0" applyFont="1" applyBorder="1" applyAlignment="1">
      <alignment horizontal="center" vertical="center"/>
    </xf>
    <xf numFmtId="276" fontId="22" fillId="0" borderId="38" xfId="0" applyNumberFormat="1" applyFont="1" applyBorder="1" applyAlignment="1" applyProtection="1">
      <alignment vertical="center"/>
      <protection locked="0"/>
    </xf>
    <xf numFmtId="275" fontId="22" fillId="0" borderId="11" xfId="0" applyNumberFormat="1" applyFont="1" applyBorder="1" applyAlignment="1" applyProtection="1">
      <alignment vertical="center"/>
    </xf>
    <xf numFmtId="0" fontId="18" fillId="0" borderId="0" xfId="0" applyFont="1" applyAlignment="1">
      <alignment horizontal="left" indent="1"/>
    </xf>
    <xf numFmtId="0" fontId="29" fillId="0" borderId="0" xfId="0" applyFont="1" applyAlignment="1" applyProtection="1">
      <alignment horizontal="center"/>
    </xf>
    <xf numFmtId="0" fontId="37" fillId="0" borderId="0" xfId="0" applyFont="1" applyAlignment="1">
      <alignment horizontal="left" vertical="center" indent="1"/>
    </xf>
    <xf numFmtId="0" fontId="22" fillId="0" borderId="34" xfId="0" applyFont="1" applyBorder="1" applyAlignment="1" applyProtection="1">
      <alignment horizontal="center" vertical="center"/>
    </xf>
    <xf numFmtId="278" fontId="47" fillId="2" borderId="35" xfId="4" applyNumberFormat="1" applyFont="1" applyFill="1" applyBorder="1" applyAlignment="1" applyProtection="1">
      <alignment horizontal="center" vertical="center"/>
      <protection locked="0"/>
    </xf>
    <xf numFmtId="165" fontId="47" fillId="2" borderId="35" xfId="4" applyFont="1" applyFill="1" applyBorder="1" applyAlignment="1" applyProtection="1">
      <alignment horizontal="center" vertical="center"/>
      <protection locked="0"/>
    </xf>
    <xf numFmtId="165" fontId="47" fillId="2" borderId="3" xfId="4" applyFont="1" applyFill="1" applyBorder="1" applyAlignment="1" applyProtection="1">
      <alignment horizontal="center" vertical="center"/>
      <protection locked="0"/>
    </xf>
    <xf numFmtId="270" fontId="5" fillId="0" borderId="0" xfId="5" applyNumberFormat="1"/>
    <xf numFmtId="0" fontId="18" fillId="0" borderId="8" xfId="0" applyFont="1" applyBorder="1" applyAlignment="1">
      <alignment horizontal="centerContinuous"/>
    </xf>
    <xf numFmtId="3" fontId="22" fillId="0" borderId="23" xfId="0" applyNumberFormat="1" applyFont="1" applyBorder="1" applyAlignment="1" applyProtection="1">
      <alignment horizontal="left" vertical="center" indent="3"/>
    </xf>
    <xf numFmtId="3" fontId="22" fillId="0" borderId="34" xfId="0" applyNumberFormat="1" applyFont="1" applyBorder="1" applyAlignment="1" applyProtection="1">
      <alignment horizontal="left" vertical="center" indent="3"/>
    </xf>
    <xf numFmtId="3" fontId="22" fillId="0" borderId="20" xfId="0" applyNumberFormat="1" applyFont="1" applyBorder="1" applyAlignment="1" applyProtection="1">
      <alignment horizontal="left" vertical="center" indent="3"/>
    </xf>
    <xf numFmtId="279" fontId="22" fillId="0" borderId="10" xfId="0" applyNumberFormat="1" applyFont="1" applyBorder="1" applyAlignment="1" applyProtection="1">
      <alignment vertical="center"/>
      <protection locked="0"/>
    </xf>
    <xf numFmtId="0" fontId="22" fillId="0" borderId="10" xfId="0" applyFont="1" applyBorder="1" applyAlignment="1">
      <alignment horizontal="left" indent="3"/>
    </xf>
    <xf numFmtId="275" fontId="22" fillId="0" borderId="42" xfId="0" applyNumberFormat="1" applyFont="1" applyBorder="1" applyAlignment="1" applyProtection="1">
      <alignment vertical="center"/>
      <protection locked="0"/>
    </xf>
    <xf numFmtId="275" fontId="22" fillId="0" borderId="42" xfId="0" applyNumberFormat="1" applyFont="1" applyBorder="1" applyAlignment="1" applyProtection="1">
      <alignment vertical="center"/>
    </xf>
    <xf numFmtId="276" fontId="22" fillId="0" borderId="43" xfId="0" applyNumberFormat="1" applyFont="1" applyBorder="1" applyAlignment="1" applyProtection="1">
      <alignment vertical="center"/>
      <protection locked="0"/>
    </xf>
    <xf numFmtId="275" fontId="22" fillId="0" borderId="44" xfId="0" applyNumberFormat="1" applyFont="1" applyBorder="1" applyAlignment="1" applyProtection="1">
      <alignment vertical="center"/>
      <protection locked="0"/>
    </xf>
    <xf numFmtId="3" fontId="22" fillId="0" borderId="37" xfId="0" applyNumberFormat="1" applyFont="1" applyBorder="1" applyAlignment="1" applyProtection="1">
      <alignment horizontal="left" vertical="center" indent="3"/>
    </xf>
    <xf numFmtId="0" fontId="22" fillId="0" borderId="36" xfId="0" applyFont="1" applyBorder="1"/>
    <xf numFmtId="275" fontId="22" fillId="0" borderId="16" xfId="0" applyNumberFormat="1" applyFont="1" applyBorder="1" applyAlignment="1" applyProtection="1">
      <alignment vertical="center"/>
      <protection locked="0"/>
    </xf>
    <xf numFmtId="0" fontId="22" fillId="0" borderId="61" xfId="0" applyFont="1" applyBorder="1"/>
    <xf numFmtId="0" fontId="22" fillId="0" borderId="62" xfId="0" applyFont="1" applyBorder="1"/>
    <xf numFmtId="3" fontId="50" fillId="0" borderId="9" xfId="0" applyNumberFormat="1" applyFont="1" applyBorder="1" applyAlignment="1" applyProtection="1">
      <alignment horizontal="centerContinuous" vertical="center"/>
    </xf>
    <xf numFmtId="0" fontId="50" fillId="0" borderId="0" xfId="0" applyFont="1" applyAlignment="1">
      <alignment horizontal="centerContinuous"/>
    </xf>
    <xf numFmtId="0" fontId="50" fillId="0" borderId="68" xfId="0" applyFont="1" applyBorder="1" applyAlignment="1">
      <alignment horizontal="centerContinuous"/>
    </xf>
    <xf numFmtId="0" fontId="22" fillId="0" borderId="24" xfId="0" applyFont="1" applyBorder="1" applyAlignment="1" applyProtection="1">
      <alignment horizontal="center" vertical="center"/>
      <protection locked="0"/>
    </xf>
    <xf numFmtId="0" fontId="22" fillId="0" borderId="34" xfId="0" applyFont="1" applyBorder="1" applyAlignment="1">
      <alignment horizontal="left" vertical="center" indent="2"/>
    </xf>
    <xf numFmtId="0" fontId="22" fillId="0" borderId="35" xfId="0" applyFont="1" applyBorder="1" applyAlignment="1">
      <alignment horizontal="center" vertical="center"/>
    </xf>
    <xf numFmtId="0" fontId="22" fillId="0" borderId="3" xfId="0" applyFont="1" applyBorder="1" applyAlignment="1" applyProtection="1">
      <alignment horizontal="center" vertical="center"/>
      <protection locked="0"/>
    </xf>
    <xf numFmtId="165" fontId="22" fillId="0" borderId="22" xfId="0" applyNumberFormat="1" applyFont="1" applyBorder="1" applyProtection="1">
      <protection locked="0"/>
    </xf>
    <xf numFmtId="165" fontId="22" fillId="0" borderId="24" xfId="0" applyNumberFormat="1" applyFont="1" applyBorder="1" applyProtection="1">
      <protection locked="0"/>
    </xf>
    <xf numFmtId="277" fontId="22" fillId="0" borderId="24" xfId="0" applyNumberFormat="1" applyFont="1" applyBorder="1" applyProtection="1"/>
    <xf numFmtId="277" fontId="22" fillId="0" borderId="3" xfId="0" applyNumberFormat="1" applyFont="1" applyBorder="1" applyProtection="1"/>
    <xf numFmtId="0" fontId="22" fillId="0" borderId="71" xfId="0" applyFont="1" applyBorder="1"/>
    <xf numFmtId="0" fontId="22" fillId="0" borderId="50" xfId="0" applyFont="1" applyBorder="1"/>
    <xf numFmtId="0" fontId="22" fillId="0" borderId="60" xfId="0" applyFont="1" applyBorder="1"/>
    <xf numFmtId="9" fontId="22" fillId="0" borderId="35" xfId="6" applyFont="1" applyBorder="1" applyAlignment="1" applyProtection="1">
      <alignment horizontal="center" vertical="center"/>
    </xf>
    <xf numFmtId="9" fontId="22" fillId="0" borderId="1" xfId="6" applyFont="1" applyFill="1" applyBorder="1" applyAlignment="1" applyProtection="1">
      <alignment horizontal="center" vertical="center"/>
    </xf>
    <xf numFmtId="188" fontId="22" fillId="0" borderId="68" xfId="4" applyNumberFormat="1" applyFont="1" applyFill="1" applyBorder="1" applyProtection="1">
      <protection locked="0"/>
    </xf>
    <xf numFmtId="0" fontId="114" fillId="0" borderId="0" xfId="0" applyFont="1" applyAlignment="1">
      <alignment horizontal="center"/>
    </xf>
    <xf numFmtId="200" fontId="68" fillId="2" borderId="69" xfId="0" applyNumberFormat="1" applyFont="1" applyFill="1" applyBorder="1" applyProtection="1"/>
    <xf numFmtId="200" fontId="68" fillId="0" borderId="19" xfId="0" applyNumberFormat="1" applyFont="1" applyBorder="1" applyProtection="1"/>
    <xf numFmtId="200" fontId="42" fillId="0" borderId="11" xfId="0" applyNumberFormat="1" applyFont="1" applyBorder="1" applyAlignment="1" applyProtection="1">
      <alignment vertical="center"/>
    </xf>
    <xf numFmtId="200" fontId="42" fillId="0" borderId="38" xfId="0" applyNumberFormat="1" applyFont="1" applyBorder="1" applyAlignment="1" applyProtection="1">
      <alignment vertical="center"/>
    </xf>
    <xf numFmtId="200" fontId="42" fillId="0" borderId="19" xfId="0" applyNumberFormat="1" applyFont="1" applyBorder="1" applyAlignment="1" applyProtection="1">
      <alignment vertical="center"/>
    </xf>
    <xf numFmtId="232" fontId="42" fillId="0" borderId="19" xfId="0" applyNumberFormat="1" applyFont="1" applyBorder="1" applyAlignment="1" applyProtection="1">
      <alignment vertical="center"/>
    </xf>
    <xf numFmtId="237" fontId="32" fillId="0" borderId="0" xfId="4" applyNumberFormat="1" applyFont="1" applyFill="1" applyBorder="1" applyAlignment="1" applyProtection="1">
      <alignment vertical="center"/>
    </xf>
    <xf numFmtId="3" fontId="22" fillId="0" borderId="9" xfId="0" applyNumberFormat="1" applyFont="1" applyBorder="1" applyAlignment="1" applyProtection="1">
      <alignment horizontal="center"/>
    </xf>
    <xf numFmtId="2" fontId="21" fillId="0" borderId="84" xfId="0" applyNumberFormat="1" applyFont="1" applyBorder="1" applyAlignment="1">
      <alignment horizontal="center"/>
    </xf>
    <xf numFmtId="0" fontId="114" fillId="0" borderId="0" xfId="0" applyFont="1" applyAlignment="1">
      <alignment horizontal="left" indent="2"/>
    </xf>
    <xf numFmtId="200" fontId="24" fillId="0" borderId="9" xfId="0" applyNumberFormat="1" applyFont="1" applyBorder="1" applyProtection="1">
      <protection locked="0"/>
    </xf>
    <xf numFmtId="200" fontId="24" fillId="0" borderId="15" xfId="0" applyNumberFormat="1" applyFont="1" applyBorder="1"/>
    <xf numFmtId="200" fontId="24" fillId="0" borderId="19" xfId="0" applyNumberFormat="1" applyFont="1" applyBorder="1"/>
    <xf numFmtId="232" fontId="22" fillId="14" borderId="11" xfId="0" applyNumberFormat="1" applyFont="1" applyFill="1" applyBorder="1" applyAlignment="1" applyProtection="1">
      <alignment vertical="center"/>
      <protection locked="0"/>
    </xf>
    <xf numFmtId="232" fontId="22" fillId="14" borderId="38" xfId="0" applyNumberFormat="1" applyFont="1" applyFill="1" applyBorder="1" applyAlignment="1" applyProtection="1">
      <alignment vertical="center"/>
      <protection locked="0"/>
    </xf>
    <xf numFmtId="232" fontId="22" fillId="14" borderId="70" xfId="0" applyNumberFormat="1" applyFont="1" applyFill="1" applyBorder="1" applyAlignment="1" applyProtection="1">
      <alignment vertical="center"/>
      <protection locked="0"/>
    </xf>
    <xf numFmtId="200" fontId="22" fillId="14" borderId="14" xfId="0" applyNumberFormat="1" applyFont="1" applyFill="1" applyBorder="1" applyAlignment="1" applyProtection="1">
      <alignment vertical="center"/>
      <protection locked="0"/>
    </xf>
    <xf numFmtId="200" fontId="22" fillId="14" borderId="11" xfId="0" applyNumberFormat="1" applyFont="1" applyFill="1" applyBorder="1" applyAlignment="1" applyProtection="1">
      <alignment vertical="center"/>
      <protection locked="0"/>
    </xf>
    <xf numFmtId="206" fontId="22" fillId="14" borderId="7" xfId="0" applyNumberFormat="1" applyFont="1" applyFill="1" applyBorder="1" applyAlignment="1" applyProtection="1">
      <alignment vertical="center"/>
      <protection locked="0"/>
    </xf>
    <xf numFmtId="206" fontId="22" fillId="14" borderId="6" xfId="0" applyNumberFormat="1" applyFont="1" applyFill="1" applyBorder="1" applyAlignment="1" applyProtection="1">
      <alignment vertical="center"/>
      <protection locked="0"/>
    </xf>
    <xf numFmtId="206" fontId="22" fillId="14" borderId="15" xfId="0" applyNumberFormat="1" applyFont="1" applyFill="1" applyBorder="1" applyAlignment="1" applyProtection="1">
      <alignment vertical="center"/>
      <protection locked="0"/>
    </xf>
    <xf numFmtId="262" fontId="18" fillId="14" borderId="14" xfId="6" applyNumberFormat="1" applyFont="1" applyFill="1" applyBorder="1" applyAlignment="1" applyProtection="1">
      <alignment horizontal="center" vertical="center"/>
      <protection locked="0"/>
    </xf>
    <xf numFmtId="262" fontId="18" fillId="14" borderId="11" xfId="6" applyNumberFormat="1" applyFont="1" applyFill="1" applyBorder="1" applyAlignment="1" applyProtection="1">
      <alignment horizontal="center" vertical="center"/>
      <protection locked="0"/>
    </xf>
    <xf numFmtId="262" fontId="18" fillId="14" borderId="19" xfId="6" applyNumberFormat="1" applyFont="1" applyFill="1" applyBorder="1" applyAlignment="1" applyProtection="1">
      <alignment horizontal="center" vertical="center"/>
      <protection locked="0"/>
    </xf>
    <xf numFmtId="213" fontId="24" fillId="14" borderId="7" xfId="0" applyNumberFormat="1" applyFont="1" applyFill="1" applyBorder="1" applyProtection="1">
      <protection locked="0"/>
    </xf>
    <xf numFmtId="213" fontId="24" fillId="14" borderId="14" xfId="0" applyNumberFormat="1" applyFont="1" applyFill="1" applyBorder="1" applyProtection="1">
      <protection locked="0"/>
    </xf>
    <xf numFmtId="206" fontId="24" fillId="14" borderId="7" xfId="0" applyNumberFormat="1" applyFont="1" applyFill="1" applyBorder="1" applyProtection="1">
      <protection locked="0"/>
    </xf>
    <xf numFmtId="206" fontId="24" fillId="14" borderId="14" xfId="0" applyNumberFormat="1" applyFont="1" applyFill="1" applyBorder="1" applyProtection="1">
      <protection locked="0"/>
    </xf>
    <xf numFmtId="206" fontId="24" fillId="14" borderId="6" xfId="0" applyNumberFormat="1" applyFont="1" applyFill="1" applyBorder="1" applyProtection="1">
      <protection locked="0"/>
    </xf>
    <xf numFmtId="206" fontId="24" fillId="14" borderId="11" xfId="0" applyNumberFormat="1" applyFont="1" applyFill="1" applyBorder="1" applyProtection="1">
      <protection locked="0"/>
    </xf>
    <xf numFmtId="206" fontId="24" fillId="14" borderId="69" xfId="0" applyNumberFormat="1" applyFont="1" applyFill="1" applyBorder="1" applyProtection="1">
      <protection locked="0"/>
    </xf>
    <xf numFmtId="206" fontId="24" fillId="14" borderId="38" xfId="0" applyNumberFormat="1" applyFont="1" applyFill="1" applyBorder="1" applyProtection="1">
      <protection locked="0"/>
    </xf>
    <xf numFmtId="200" fontId="24" fillId="14" borderId="11" xfId="0" applyNumberFormat="1" applyFont="1" applyFill="1" applyBorder="1" applyProtection="1">
      <protection locked="0"/>
    </xf>
    <xf numFmtId="232" fontId="22" fillId="0" borderId="11" xfId="0" applyNumberFormat="1" applyFont="1" applyBorder="1" applyAlignment="1" applyProtection="1">
      <alignment horizontal="center" vertical="center"/>
    </xf>
    <xf numFmtId="165" fontId="22" fillId="0" borderId="14" xfId="4" applyFont="1" applyFill="1" applyBorder="1" applyAlignment="1" applyProtection="1">
      <alignment vertical="center"/>
    </xf>
    <xf numFmtId="10" fontId="22" fillId="0" borderId="11" xfId="0" applyNumberFormat="1" applyFont="1" applyBorder="1" applyAlignment="1" applyProtection="1">
      <alignment horizontal="center" vertical="center"/>
    </xf>
    <xf numFmtId="165" fontId="22" fillId="0" borderId="11" xfId="4" applyFont="1" applyFill="1" applyBorder="1" applyAlignment="1" applyProtection="1">
      <alignment vertical="center"/>
    </xf>
    <xf numFmtId="3" fontId="22" fillId="0" borderId="11" xfId="0" applyNumberFormat="1" applyFont="1" applyBorder="1" applyAlignment="1" applyProtection="1">
      <alignment horizontal="center" vertical="center"/>
    </xf>
    <xf numFmtId="3" fontId="111" fillId="0" borderId="0" xfId="0" applyNumberFormat="1" applyFont="1" applyAlignment="1" applyProtection="1">
      <alignment horizontal="right"/>
    </xf>
    <xf numFmtId="0" fontId="115" fillId="0" borderId="0" xfId="0" applyFont="1" applyAlignment="1" applyProtection="1">
      <alignment horizontal="right"/>
    </xf>
    <xf numFmtId="219" fontId="23" fillId="0" borderId="34" xfId="0" applyNumberFormat="1" applyFont="1" applyBorder="1" applyAlignment="1" applyProtection="1">
      <alignment horizontal="right" vertical="center"/>
    </xf>
    <xf numFmtId="0" fontId="116" fillId="0" borderId="0" xfId="0" quotePrefix="1" applyFont="1"/>
    <xf numFmtId="232" fontId="22" fillId="14" borderId="43" xfId="0" applyNumberFormat="1" applyFont="1" applyFill="1" applyBorder="1" applyAlignment="1" applyProtection="1">
      <alignment vertical="center"/>
      <protection locked="0"/>
    </xf>
    <xf numFmtId="0" fontId="47" fillId="0" borderId="37" xfId="0" applyFont="1" applyBorder="1" applyAlignment="1">
      <alignment horizontal="left" indent="3"/>
    </xf>
    <xf numFmtId="0" fontId="22" fillId="0" borderId="16" xfId="0" applyFont="1" applyBorder="1" applyAlignment="1">
      <alignment horizontal="right" vertical="center" indent="2"/>
    </xf>
    <xf numFmtId="0" fontId="18" fillId="0" borderId="49" xfId="0" applyFont="1" applyBorder="1" applyAlignment="1">
      <alignment horizontal="center" vertical="center"/>
    </xf>
    <xf numFmtId="0" fontId="18" fillId="0" borderId="21" xfId="0" applyFont="1" applyBorder="1" applyAlignment="1">
      <alignment horizontal="center" vertical="center"/>
    </xf>
    <xf numFmtId="0" fontId="24" fillId="0" borderId="0" xfId="0" applyFont="1" applyAlignment="1">
      <alignment vertical="center"/>
    </xf>
    <xf numFmtId="9" fontId="47" fillId="15" borderId="1" xfId="0" applyNumberFormat="1" applyFont="1" applyFill="1" applyBorder="1" applyAlignment="1" applyProtection="1">
      <alignment horizontal="center"/>
      <protection locked="0"/>
    </xf>
    <xf numFmtId="3" fontId="111" fillId="0" borderId="0" xfId="0" applyNumberFormat="1" applyFont="1" applyAlignment="1">
      <alignment horizontal="center"/>
    </xf>
    <xf numFmtId="0" fontId="117" fillId="0" borderId="0" xfId="0" applyFont="1" applyAlignment="1">
      <alignment horizontal="center"/>
    </xf>
    <xf numFmtId="0" fontId="35" fillId="0" borderId="49" xfId="0" applyFont="1" applyBorder="1" applyAlignment="1">
      <alignment horizontal="center" vertical="center" shrinkToFit="1"/>
    </xf>
    <xf numFmtId="0" fontId="35" fillId="0" borderId="18" xfId="0" applyFont="1" applyBorder="1" applyAlignment="1" applyProtection="1">
      <alignment horizontal="center" vertical="center" wrapText="1"/>
    </xf>
    <xf numFmtId="0" fontId="57" fillId="0" borderId="0" xfId="0" applyFont="1" applyAlignment="1" applyProtection="1">
      <alignment horizontal="left" indent="2"/>
    </xf>
    <xf numFmtId="0" fontId="18" fillId="0" borderId="10" xfId="0" applyFont="1" applyBorder="1" applyAlignment="1" applyProtection="1">
      <alignment horizontal="left" vertical="center" indent="2"/>
    </xf>
    <xf numFmtId="0" fontId="118" fillId="0" borderId="0" xfId="0" applyFont="1" applyProtection="1"/>
    <xf numFmtId="281" fontId="15" fillId="0" borderId="0" xfId="0" applyNumberFormat="1" applyFont="1" applyAlignment="1" applyProtection="1">
      <alignment horizontal="right" vertical="center"/>
    </xf>
    <xf numFmtId="282" fontId="22" fillId="0" borderId="19" xfId="0" applyNumberFormat="1" applyFont="1" applyBorder="1" applyAlignment="1" applyProtection="1">
      <alignment horizontal="center"/>
      <protection locked="0"/>
    </xf>
    <xf numFmtId="282" fontId="22" fillId="0" borderId="19" xfId="0" applyNumberFormat="1" applyFont="1" applyBorder="1" applyAlignment="1" applyProtection="1">
      <alignment horizontal="center" vertical="center"/>
    </xf>
    <xf numFmtId="282" fontId="22" fillId="16" borderId="19" xfId="0" applyNumberFormat="1" applyFont="1" applyFill="1" applyBorder="1" applyAlignment="1" applyProtection="1">
      <alignment horizontal="center" vertical="center"/>
      <protection locked="0"/>
    </xf>
    <xf numFmtId="283" fontId="22" fillId="0" borderId="18" xfId="0" applyNumberFormat="1" applyFont="1" applyBorder="1" applyAlignment="1" applyProtection="1">
      <alignment horizontal="right" vertical="center"/>
    </xf>
    <xf numFmtId="283" fontId="22" fillId="0" borderId="61" xfId="0" applyNumberFormat="1" applyFont="1" applyBorder="1" applyAlignment="1" applyProtection="1">
      <alignment horizontal="right" vertical="center"/>
    </xf>
    <xf numFmtId="0" fontId="15" fillId="0" borderId="8" xfId="0" applyFont="1" applyBorder="1" applyAlignment="1">
      <alignment horizontal="centerContinuous" vertical="center" wrapText="1"/>
    </xf>
    <xf numFmtId="0" fontId="22" fillId="0" borderId="69" xfId="0" applyFont="1" applyBorder="1" applyAlignment="1">
      <alignment horizontal="left" vertical="center" indent="1"/>
    </xf>
    <xf numFmtId="0" fontId="23" fillId="0" borderId="10" xfId="0" applyFont="1" applyBorder="1" applyAlignment="1">
      <alignment horizontal="center" vertical="center" wrapText="1"/>
    </xf>
    <xf numFmtId="0" fontId="23" fillId="0" borderId="8" xfId="0" applyFont="1" applyBorder="1" applyAlignment="1">
      <alignment horizontal="center" vertical="center" wrapText="1"/>
    </xf>
    <xf numFmtId="280" fontId="27" fillId="0" borderId="0" xfId="0" applyNumberFormat="1" applyFont="1" applyAlignment="1">
      <alignment horizontal="center"/>
    </xf>
    <xf numFmtId="3" fontId="39" fillId="0" borderId="49" xfId="0" applyNumberFormat="1" applyFont="1" applyBorder="1" applyAlignment="1">
      <alignment horizontal="left" indent="1"/>
    </xf>
    <xf numFmtId="3" fontId="39" fillId="0" borderId="15" xfId="0" applyNumberFormat="1" applyFont="1" applyBorder="1" applyAlignment="1">
      <alignment horizontal="left" indent="1"/>
    </xf>
    <xf numFmtId="3" fontId="22" fillId="0" borderId="8" xfId="0" applyNumberFormat="1" applyFont="1" applyBorder="1" applyAlignment="1">
      <alignment horizontal="left" indent="1"/>
    </xf>
    <xf numFmtId="3" fontId="111" fillId="0" borderId="0" xfId="0" applyNumberFormat="1" applyFont="1"/>
    <xf numFmtId="0" fontId="18" fillId="0" borderId="8" xfId="0" applyFont="1" applyBorder="1" applyAlignment="1">
      <alignment horizontal="right" indent="1"/>
    </xf>
    <xf numFmtId="3" fontId="21" fillId="0" borderId="143" xfId="0" applyNumberFormat="1" applyFont="1" applyBorder="1" applyAlignment="1" applyProtection="1">
      <alignment horizontal="right" vertical="center" indent="1"/>
    </xf>
    <xf numFmtId="0" fontId="24" fillId="0" borderId="16" xfId="0" applyFont="1" applyBorder="1" applyAlignment="1">
      <alignment horizontal="right" indent="1"/>
    </xf>
    <xf numFmtId="284" fontId="35" fillId="0" borderId="16" xfId="0" applyNumberFormat="1" applyFont="1" applyBorder="1" applyAlignment="1" applyProtection="1">
      <alignment horizontal="center" vertical="center"/>
    </xf>
    <xf numFmtId="3" fontId="27" fillId="0" borderId="0" xfId="0" applyNumberFormat="1" applyFont="1" applyAlignment="1">
      <alignment vertical="center"/>
    </xf>
    <xf numFmtId="3" fontId="21" fillId="0" borderId="10" xfId="0" applyNumberFormat="1" applyFont="1" applyBorder="1" applyAlignment="1" applyProtection="1">
      <alignment horizontal="left" indent="1"/>
    </xf>
    <xf numFmtId="285" fontId="36" fillId="0" borderId="0" xfId="0" applyNumberFormat="1" applyFont="1" applyAlignment="1" applyProtection="1">
      <alignment horizontal="center"/>
    </xf>
    <xf numFmtId="3" fontId="21" fillId="0" borderId="18" xfId="0" applyNumberFormat="1" applyFont="1" applyBorder="1" applyAlignment="1">
      <alignment horizontal="left" vertical="center" indent="1"/>
    </xf>
    <xf numFmtId="3" fontId="21" fillId="0" borderId="11" xfId="0" applyNumberFormat="1" applyFont="1" applyBorder="1" applyAlignment="1">
      <alignment horizontal="left" vertical="center" indent="1"/>
    </xf>
    <xf numFmtId="3" fontId="21" fillId="0" borderId="19" xfId="0" applyNumberFormat="1" applyFont="1" applyBorder="1" applyAlignment="1">
      <alignment horizontal="left" vertical="center" indent="1"/>
    </xf>
    <xf numFmtId="3" fontId="21" fillId="0" borderId="19" xfId="0" applyNumberFormat="1" applyFont="1" applyBorder="1" applyAlignment="1">
      <alignment horizontal="left" vertical="center"/>
    </xf>
    <xf numFmtId="3" fontId="21" fillId="0" borderId="10" xfId="0" applyNumberFormat="1" applyFont="1" applyBorder="1" applyAlignment="1">
      <alignment horizontal="center" vertical="center"/>
    </xf>
    <xf numFmtId="3" fontId="109" fillId="0" borderId="0" xfId="0" applyNumberFormat="1" applyFont="1"/>
    <xf numFmtId="286" fontId="47" fillId="0" borderId="37" xfId="0" applyNumberFormat="1" applyFont="1" applyBorder="1" applyAlignment="1">
      <alignment horizontal="left" indent="3"/>
    </xf>
    <xf numFmtId="166" fontId="22" fillId="0" borderId="0" xfId="3" applyFont="1" applyProtection="1"/>
    <xf numFmtId="0" fontId="22" fillId="0" borderId="144" xfId="0" applyFont="1" applyBorder="1" applyAlignment="1">
      <alignment horizontal="center" vertical="center"/>
    </xf>
    <xf numFmtId="0" fontId="22" fillId="0" borderId="142" xfId="0" applyFont="1" applyBorder="1" applyAlignment="1">
      <alignment horizontal="center" vertical="center"/>
    </xf>
    <xf numFmtId="0" fontId="22" fillId="0" borderId="27" xfId="0" applyFont="1" applyBorder="1" applyAlignment="1">
      <alignment horizontal="center" vertical="center"/>
    </xf>
    <xf numFmtId="0" fontId="22" fillId="0" borderId="28" xfId="0" applyFont="1" applyBorder="1" applyAlignment="1">
      <alignment horizontal="center" vertical="center"/>
    </xf>
    <xf numFmtId="0" fontId="22" fillId="0" borderId="145" xfId="0" applyFont="1" applyBorder="1" applyAlignment="1">
      <alignment horizontal="center" vertical="center"/>
    </xf>
    <xf numFmtId="0" fontId="24" fillId="0" borderId="50" xfId="0" applyFont="1" applyBorder="1" applyAlignment="1">
      <alignment horizontal="right" vertical="center" indent="1"/>
    </xf>
    <xf numFmtId="0" fontId="23" fillId="0" borderId="5" xfId="0" applyFont="1" applyBorder="1" applyAlignment="1">
      <alignment horizontal="right" vertical="center" indent="1"/>
    </xf>
    <xf numFmtId="0" fontId="23" fillId="0" borderId="61" xfId="0" applyFont="1" applyBorder="1" applyAlignment="1">
      <alignment horizontal="right" vertical="center" indent="1"/>
    </xf>
    <xf numFmtId="0" fontId="21" fillId="0" borderId="146" xfId="0" applyFont="1" applyBorder="1" applyAlignment="1">
      <alignment horizontal="right" vertical="center" indent="1"/>
    </xf>
    <xf numFmtId="3" fontId="39" fillId="0" borderId="11" xfId="0" applyNumberFormat="1" applyFont="1" applyBorder="1" applyAlignment="1">
      <alignment horizontal="center"/>
    </xf>
    <xf numFmtId="285" fontId="36" fillId="0" borderId="0" xfId="0" applyNumberFormat="1" applyFont="1" applyAlignment="1">
      <alignment horizontal="center"/>
    </xf>
    <xf numFmtId="3" fontId="23" fillId="0" borderId="10" xfId="0" applyNumberFormat="1" applyFont="1" applyBorder="1" applyAlignment="1" applyProtection="1">
      <alignment horizontal="right" indent="1"/>
    </xf>
    <xf numFmtId="3" fontId="23" fillId="0" borderId="10" xfId="0" applyNumberFormat="1" applyFont="1" applyBorder="1" applyAlignment="1" applyProtection="1">
      <alignment horizontal="right" indent="2"/>
    </xf>
    <xf numFmtId="0" fontId="23" fillId="0" borderId="10" xfId="0" applyFont="1" applyBorder="1" applyAlignment="1">
      <alignment horizontal="right" indent="1"/>
    </xf>
    <xf numFmtId="287" fontId="39" fillId="0" borderId="11" xfId="0" applyNumberFormat="1" applyFont="1" applyBorder="1" applyAlignment="1" applyProtection="1">
      <alignment horizontal="right" indent="1"/>
    </xf>
    <xf numFmtId="287" fontId="39" fillId="0" borderId="38" xfId="0" applyNumberFormat="1" applyFont="1" applyBorder="1" applyAlignment="1" applyProtection="1">
      <alignment horizontal="right" indent="1"/>
    </xf>
    <xf numFmtId="3" fontId="18" fillId="0" borderId="19" xfId="0" applyNumberFormat="1" applyFont="1" applyBorder="1" applyAlignment="1" applyProtection="1">
      <alignment horizontal="center"/>
    </xf>
    <xf numFmtId="3" fontId="23" fillId="0" borderId="147" xfId="0" applyNumberFormat="1" applyFont="1" applyBorder="1" applyAlignment="1">
      <alignment horizontal="right" indent="1"/>
    </xf>
    <xf numFmtId="3" fontId="23" fillId="0" borderId="148" xfId="0" applyNumberFormat="1" applyFont="1" applyBorder="1" applyAlignment="1">
      <alignment horizontal="right" indent="1"/>
    </xf>
    <xf numFmtId="3" fontId="39" fillId="0" borderId="149" xfId="0" applyNumberFormat="1" applyFont="1" applyBorder="1" applyAlignment="1">
      <alignment horizontal="left" indent="1"/>
    </xf>
    <xf numFmtId="3" fontId="39" fillId="0" borderId="150" xfId="0" applyNumberFormat="1" applyFont="1" applyBorder="1" applyAlignment="1">
      <alignment horizontal="left" indent="1"/>
    </xf>
    <xf numFmtId="3" fontId="39" fillId="0" borderId="151" xfId="0" applyNumberFormat="1" applyFont="1" applyBorder="1" applyAlignment="1">
      <alignment horizontal="left" indent="1"/>
    </xf>
    <xf numFmtId="3" fontId="39" fillId="0" borderId="6" xfId="0" applyNumberFormat="1" applyFont="1" applyBorder="1" applyAlignment="1">
      <alignment horizontal="left" indent="1"/>
    </xf>
    <xf numFmtId="0" fontId="22" fillId="0" borderId="41" xfId="0" applyFont="1" applyBorder="1"/>
    <xf numFmtId="0" fontId="22" fillId="0" borderId="51" xfId="0" applyFont="1" applyBorder="1"/>
    <xf numFmtId="3" fontId="21" fillId="0" borderId="63" xfId="0" applyNumberFormat="1" applyFont="1" applyBorder="1"/>
    <xf numFmtId="3" fontId="21" fillId="0" borderId="56" xfId="0" applyNumberFormat="1" applyFont="1" applyBorder="1"/>
    <xf numFmtId="3" fontId="21" fillId="0" borderId="66" xfId="0" applyNumberFormat="1" applyFont="1" applyBorder="1" applyAlignment="1">
      <alignment horizontal="center"/>
    </xf>
    <xf numFmtId="281" fontId="36" fillId="0" borderId="0" xfId="0" applyNumberFormat="1" applyFont="1" applyAlignment="1">
      <alignment horizontal="center"/>
    </xf>
    <xf numFmtId="3" fontId="21" fillId="0" borderId="8" xfId="0" applyNumberFormat="1" applyFont="1" applyBorder="1" applyAlignment="1">
      <alignment horizontal="center" vertical="center" wrapText="1"/>
    </xf>
    <xf numFmtId="3" fontId="84" fillId="0" borderId="8" xfId="0" applyNumberFormat="1" applyFont="1" applyBorder="1" applyAlignment="1" applyProtection="1">
      <alignment horizontal="right" indent="1"/>
    </xf>
    <xf numFmtId="0" fontId="15" fillId="0" borderId="57" xfId="0" applyFont="1" applyBorder="1" applyAlignment="1" applyProtection="1">
      <alignment horizontal="right" vertical="center" indent="1"/>
    </xf>
    <xf numFmtId="0" fontId="18" fillId="0" borderId="57" xfId="0" applyFont="1" applyBorder="1" applyAlignment="1" applyProtection="1">
      <alignment horizontal="right" vertical="center" indent="1"/>
    </xf>
    <xf numFmtId="3" fontId="68" fillId="0" borderId="6" xfId="0" applyNumberFormat="1" applyFont="1" applyBorder="1" applyAlignment="1" applyProtection="1">
      <alignment horizontal="left" indent="1"/>
    </xf>
    <xf numFmtId="0" fontId="40" fillId="0" borderId="56" xfId="0" applyFont="1" applyBorder="1" applyAlignment="1">
      <alignment horizontal="left" indent="1"/>
    </xf>
    <xf numFmtId="227" fontId="39" fillId="0" borderId="41" xfId="0" applyNumberFormat="1" applyFont="1" applyBorder="1" applyAlignment="1" applyProtection="1">
      <alignment vertical="center"/>
    </xf>
    <xf numFmtId="227" fontId="39" fillId="0" borderId="61" xfId="0" applyNumberFormat="1" applyFont="1" applyBorder="1" applyAlignment="1" applyProtection="1">
      <alignment vertical="center"/>
    </xf>
    <xf numFmtId="227" fontId="23" fillId="0" borderId="18" xfId="0" applyNumberFormat="1" applyFont="1" applyBorder="1" applyAlignment="1" applyProtection="1">
      <alignment vertical="center"/>
    </xf>
    <xf numFmtId="227" fontId="39" fillId="0" borderId="54" xfId="0" applyNumberFormat="1" applyFont="1" applyBorder="1" applyAlignment="1" applyProtection="1">
      <alignment vertical="center"/>
    </xf>
    <xf numFmtId="227" fontId="39" fillId="0" borderId="77" xfId="0" applyNumberFormat="1" applyFont="1" applyBorder="1" applyAlignment="1" applyProtection="1">
      <alignment vertical="center"/>
    </xf>
    <xf numFmtId="227" fontId="23" fillId="0" borderId="11" xfId="0" applyNumberFormat="1" applyFont="1" applyBorder="1" applyAlignment="1" applyProtection="1">
      <alignment vertical="center"/>
    </xf>
    <xf numFmtId="227" fontId="23" fillId="0" borderId="63" xfId="0" applyNumberFormat="1" applyFont="1" applyBorder="1" applyAlignment="1" applyProtection="1">
      <alignment vertical="center"/>
    </xf>
    <xf numFmtId="227" fontId="23" fillId="0" borderId="62" xfId="0" applyNumberFormat="1" applyFont="1" applyBorder="1" applyAlignment="1" applyProtection="1">
      <alignment vertical="center"/>
    </xf>
    <xf numFmtId="227" fontId="23" fillId="0" borderId="19" xfId="0" applyNumberFormat="1" applyFont="1" applyBorder="1" applyAlignment="1" applyProtection="1">
      <alignment vertical="center"/>
    </xf>
    <xf numFmtId="227" fontId="39" fillId="0" borderId="54" xfId="0" quotePrefix="1" applyNumberFormat="1" applyFont="1" applyBorder="1" applyAlignment="1" applyProtection="1">
      <alignment vertical="center"/>
    </xf>
    <xf numFmtId="3" fontId="23" fillId="0" borderId="56" xfId="0" applyNumberFormat="1" applyFont="1" applyBorder="1" applyAlignment="1" applyProtection="1">
      <alignment horizontal="center" vertical="center"/>
    </xf>
    <xf numFmtId="0" fontId="85" fillId="0" borderId="26" xfId="0" quotePrefix="1" applyFont="1" applyBorder="1" applyAlignment="1">
      <alignment vertical="center"/>
    </xf>
    <xf numFmtId="0" fontId="18" fillId="0" borderId="61" xfId="0" applyFont="1" applyBorder="1" applyAlignment="1">
      <alignment horizontal="right" vertical="center" indent="1"/>
    </xf>
    <xf numFmtId="0" fontId="22" fillId="0" borderId="64" xfId="0" applyFont="1" applyBorder="1" applyAlignment="1">
      <alignment horizontal="right" vertical="center" indent="1"/>
    </xf>
    <xf numFmtId="0" fontId="23" fillId="0" borderId="62" xfId="0" applyFont="1" applyBorder="1" applyAlignment="1">
      <alignment horizontal="right" vertical="center" indent="1"/>
    </xf>
    <xf numFmtId="0" fontId="18" fillId="0" borderId="5" xfId="0" applyFont="1" applyBorder="1" applyAlignment="1">
      <alignment horizontal="right" indent="1"/>
    </xf>
    <xf numFmtId="281" fontId="36" fillId="0" borderId="0" xfId="0" applyNumberFormat="1" applyFont="1" applyAlignment="1">
      <alignment horizontal="right"/>
    </xf>
    <xf numFmtId="0" fontId="23" fillId="0" borderId="26" xfId="0" applyFont="1" applyBorder="1" applyAlignment="1">
      <alignment horizontal="right" vertical="center" indent="1"/>
    </xf>
    <xf numFmtId="0" fontId="22" fillId="0" borderId="62" xfId="0" applyFont="1" applyBorder="1" applyAlignment="1">
      <alignment horizontal="right" vertical="center" indent="1"/>
    </xf>
    <xf numFmtId="206" fontId="24" fillId="0" borderId="20" xfId="0" applyNumberFormat="1" applyFont="1" applyBorder="1" applyAlignment="1">
      <alignment vertical="center"/>
    </xf>
    <xf numFmtId="217" fontId="24" fillId="0" borderId="71" xfId="6" applyNumberFormat="1" applyFont="1" applyBorder="1" applyAlignment="1">
      <alignment vertical="center"/>
    </xf>
    <xf numFmtId="201" fontId="24" fillId="0" borderId="71" xfId="6" applyNumberFormat="1" applyFont="1" applyBorder="1" applyAlignment="1">
      <alignment vertical="center"/>
    </xf>
    <xf numFmtId="217" fontId="24" fillId="0" borderId="18" xfId="6" applyNumberFormat="1" applyFont="1" applyBorder="1" applyAlignment="1">
      <alignment vertical="center"/>
    </xf>
    <xf numFmtId="206" fontId="24" fillId="0" borderId="23" xfId="0" applyNumberFormat="1" applyFont="1" applyBorder="1" applyAlignment="1">
      <alignment vertical="center"/>
    </xf>
    <xf numFmtId="217" fontId="24" fillId="0" borderId="50" xfId="6" applyNumberFormat="1" applyFont="1" applyBorder="1" applyAlignment="1">
      <alignment vertical="center"/>
    </xf>
    <xf numFmtId="201" fontId="24" fillId="0" borderId="50" xfId="6" applyNumberFormat="1" applyFont="1" applyBorder="1" applyAlignment="1">
      <alignment vertical="center"/>
    </xf>
    <xf numFmtId="217" fontId="24" fillId="0" borderId="11" xfId="6" applyNumberFormat="1" applyFont="1" applyBorder="1" applyAlignment="1">
      <alignment vertical="center"/>
    </xf>
    <xf numFmtId="206" fontId="24" fillId="0" borderId="34" xfId="0" applyNumberFormat="1" applyFont="1" applyBorder="1" applyAlignment="1">
      <alignment vertical="center"/>
    </xf>
    <xf numFmtId="3" fontId="24" fillId="0" borderId="49" xfId="0" applyNumberFormat="1" applyFont="1" applyBorder="1" applyAlignment="1">
      <alignment horizontal="left" vertical="center" indent="1"/>
    </xf>
    <xf numFmtId="3" fontId="24" fillId="0" borderId="6" xfId="0" applyNumberFormat="1" applyFont="1" applyBorder="1" applyAlignment="1">
      <alignment horizontal="left" vertical="center" indent="1"/>
    </xf>
    <xf numFmtId="3" fontId="23" fillId="0" borderId="37" xfId="0" applyNumberFormat="1" applyFont="1" applyBorder="1" applyAlignment="1">
      <alignment horizontal="center" vertical="center"/>
    </xf>
    <xf numFmtId="3" fontId="23" fillId="0" borderId="39" xfId="0" applyNumberFormat="1" applyFont="1" applyBorder="1" applyAlignment="1">
      <alignment horizontal="center" vertical="center"/>
    </xf>
    <xf numFmtId="3" fontId="23" fillId="0" borderId="8" xfId="0" applyNumberFormat="1" applyFont="1" applyBorder="1" applyAlignment="1">
      <alignment horizontal="center" vertical="center"/>
    </xf>
    <xf numFmtId="3" fontId="23" fillId="0" borderId="72" xfId="0" applyNumberFormat="1" applyFont="1" applyBorder="1" applyAlignment="1">
      <alignment horizontal="center" vertical="center"/>
    </xf>
    <xf numFmtId="3" fontId="23" fillId="0" borderId="25" xfId="0" applyNumberFormat="1" applyFont="1" applyBorder="1" applyAlignment="1">
      <alignment horizontal="center" vertical="center"/>
    </xf>
    <xf numFmtId="255" fontId="39" fillId="0" borderId="34" xfId="6" applyNumberFormat="1" applyFont="1" applyBorder="1" applyAlignment="1">
      <alignment horizontal="center" vertical="center"/>
    </xf>
    <xf numFmtId="3" fontId="39" fillId="0" borderId="7" xfId="0" applyNumberFormat="1" applyFont="1" applyBorder="1" applyAlignment="1">
      <alignment horizontal="center" vertical="center"/>
    </xf>
    <xf numFmtId="0" fontId="5" fillId="0" borderId="0" xfId="5" applyAlignment="1">
      <alignment horizontal="center"/>
    </xf>
    <xf numFmtId="288" fontId="21" fillId="0" borderId="10" xfId="5" applyNumberFormat="1" applyFont="1" applyBorder="1" applyAlignment="1">
      <alignment horizontal="center" vertical="center"/>
    </xf>
    <xf numFmtId="0" fontId="39" fillId="0" borderId="15" xfId="0" applyFont="1" applyBorder="1" applyAlignment="1">
      <alignment horizontal="right" vertical="center" indent="2"/>
    </xf>
    <xf numFmtId="0" fontId="21" fillId="0" borderId="37" xfId="0" applyFont="1" applyBorder="1" applyAlignment="1">
      <alignment horizontal="center" vertical="center" wrapText="1"/>
    </xf>
    <xf numFmtId="0" fontId="39" fillId="0" borderId="8" xfId="0" applyFont="1" applyBorder="1" applyAlignment="1">
      <alignment horizontal="right" vertical="center" indent="1"/>
    </xf>
    <xf numFmtId="0" fontId="39" fillId="0" borderId="8" xfId="0" applyFont="1" applyBorder="1" applyAlignment="1">
      <alignment horizontal="right" vertical="center" indent="2"/>
    </xf>
    <xf numFmtId="0" fontId="39" fillId="0" borderId="18" xfId="0" applyFont="1" applyBorder="1" applyAlignment="1">
      <alignment horizontal="right" vertical="center" indent="2"/>
    </xf>
    <xf numFmtId="0" fontId="39" fillId="0" borderId="11" xfId="0" applyFont="1" applyBorder="1" applyAlignment="1">
      <alignment horizontal="right" vertical="center" indent="2"/>
    </xf>
    <xf numFmtId="0" fontId="39" fillId="0" borderId="19" xfId="0" applyFont="1" applyBorder="1" applyAlignment="1">
      <alignment horizontal="right" vertical="center" indent="2"/>
    </xf>
    <xf numFmtId="0" fontId="39" fillId="0" borderId="25" xfId="0" applyFont="1" applyBorder="1" applyAlignment="1">
      <alignment horizontal="center"/>
    </xf>
    <xf numFmtId="0" fontId="39" fillId="0" borderId="32" xfId="0" applyFont="1" applyBorder="1" applyAlignment="1">
      <alignment horizontal="center"/>
    </xf>
    <xf numFmtId="0" fontId="107" fillId="0" borderId="0" xfId="0" applyFont="1"/>
    <xf numFmtId="289" fontId="22" fillId="0" borderId="36" xfId="0" applyNumberFormat="1" applyFont="1" applyBorder="1" applyAlignment="1" applyProtection="1">
      <alignment horizontal="center" vertical="center"/>
      <protection locked="0"/>
    </xf>
    <xf numFmtId="289" fontId="22" fillId="0" borderId="25" xfId="0" applyNumberFormat="1" applyFont="1" applyBorder="1" applyAlignment="1" applyProtection="1">
      <alignment horizontal="center" vertical="center"/>
      <protection locked="0"/>
    </xf>
    <xf numFmtId="0" fontId="22" fillId="0" borderId="10" xfId="0" applyFont="1" applyBorder="1" applyAlignment="1">
      <alignment horizontal="left" vertical="center"/>
    </xf>
    <xf numFmtId="0" fontId="15" fillId="0" borderId="16" xfId="0" applyFont="1" applyBorder="1" applyAlignment="1">
      <alignment horizontal="center" vertical="center"/>
    </xf>
    <xf numFmtId="0" fontId="22" fillId="0" borderId="5" xfId="0" applyFont="1" applyBorder="1" applyAlignment="1">
      <alignment horizontal="right" vertical="center" indent="1"/>
    </xf>
    <xf numFmtId="0" fontId="39" fillId="0" borderId="22" xfId="0" applyFont="1" applyBorder="1" applyAlignment="1">
      <alignment horizontal="right" vertical="center" indent="1"/>
    </xf>
    <xf numFmtId="0" fontId="39" fillId="0" borderId="87" xfId="0" applyFont="1" applyBorder="1" applyAlignment="1">
      <alignment horizontal="right" vertical="center" indent="1"/>
    </xf>
    <xf numFmtId="0" fontId="21" fillId="0" borderId="25" xfId="0" applyFont="1" applyBorder="1" applyAlignment="1">
      <alignment horizontal="center" vertical="center" wrapText="1"/>
    </xf>
    <xf numFmtId="3" fontId="57" fillId="0" borderId="0" xfId="0" applyNumberFormat="1" applyFont="1" applyAlignment="1" applyProtection="1">
      <alignment horizontal="center"/>
    </xf>
    <xf numFmtId="2" fontId="24" fillId="0" borderId="0" xfId="0" applyNumberFormat="1" applyFont="1" applyAlignment="1">
      <alignment horizontal="right" vertical="center"/>
    </xf>
    <xf numFmtId="3" fontId="63" fillId="0" borderId="125" xfId="0" applyNumberFormat="1" applyFont="1" applyBorder="1" applyAlignment="1">
      <alignment horizontal="left" vertical="center" indent="1"/>
    </xf>
    <xf numFmtId="3" fontId="63" fillId="0" borderId="125" xfId="0" applyNumberFormat="1" applyFont="1" applyBorder="1" applyAlignment="1">
      <alignment horizontal="center" vertical="center"/>
    </xf>
    <xf numFmtId="180" fontId="63" fillId="0" borderId="125" xfId="0" applyNumberFormat="1" applyFont="1" applyBorder="1" applyAlignment="1">
      <alignment horizontal="center" vertical="center"/>
    </xf>
    <xf numFmtId="2" fontId="57" fillId="0" borderId="0" xfId="0" quotePrefix="1" applyNumberFormat="1" applyFont="1" applyAlignment="1">
      <alignment horizontal="right" vertical="center"/>
    </xf>
    <xf numFmtId="2" fontId="63" fillId="0" borderId="0" xfId="0" applyNumberFormat="1" applyFont="1" applyAlignment="1">
      <alignment horizontal="center" vertical="center"/>
    </xf>
    <xf numFmtId="0" fontId="63" fillId="0" borderId="125" xfId="0" applyFont="1" applyBorder="1" applyAlignment="1">
      <alignment horizontal="center" vertical="center"/>
    </xf>
    <xf numFmtId="271" fontId="63" fillId="0" borderId="125" xfId="0" applyNumberFormat="1" applyFont="1" applyBorder="1" applyAlignment="1">
      <alignment horizontal="center" vertical="center"/>
    </xf>
    <xf numFmtId="253" fontId="22" fillId="0" borderId="0" xfId="0" applyNumberFormat="1" applyFont="1"/>
    <xf numFmtId="251" fontId="63" fillId="0" borderId="125" xfId="6" applyNumberFormat="1" applyFont="1" applyFill="1" applyBorder="1" applyAlignment="1">
      <alignment horizontal="center" vertical="center"/>
    </xf>
    <xf numFmtId="272" fontId="63" fillId="0" borderId="125" xfId="0" applyNumberFormat="1" applyFont="1" applyBorder="1" applyAlignment="1">
      <alignment horizontal="center" vertical="center"/>
    </xf>
    <xf numFmtId="0" fontId="32" fillId="0" borderId="0" xfId="0" applyFont="1"/>
    <xf numFmtId="9" fontId="32" fillId="0" borderId="0" xfId="6" applyFont="1" applyFill="1" applyAlignment="1">
      <alignment horizontal="center"/>
    </xf>
    <xf numFmtId="0" fontId="22" fillId="0" borderId="0" xfId="0" applyFont="1" applyAlignment="1">
      <alignment horizontal="centerContinuous" vertical="center" wrapText="1"/>
    </xf>
    <xf numFmtId="0" fontId="61" fillId="0" borderId="10" xfId="0" applyFont="1" applyBorder="1" applyAlignment="1">
      <alignment horizontal="left" vertical="center" indent="2"/>
    </xf>
    <xf numFmtId="290" fontId="21" fillId="0" borderId="35" xfId="6" applyNumberFormat="1" applyFont="1" applyBorder="1" applyAlignment="1">
      <alignment horizontal="center"/>
    </xf>
    <xf numFmtId="290" fontId="39" fillId="0" borderId="36" xfId="0" applyNumberFormat="1" applyFont="1" applyBorder="1" applyAlignment="1">
      <alignment horizontal="center"/>
    </xf>
    <xf numFmtId="290" fontId="23" fillId="0" borderId="36" xfId="0" applyNumberFormat="1" applyFont="1" applyBorder="1" applyAlignment="1">
      <alignment horizontal="center"/>
    </xf>
    <xf numFmtId="0" fontId="108" fillId="0" borderId="0" xfId="0" applyFont="1" applyAlignment="1">
      <alignment horizontal="left" indent="1"/>
    </xf>
    <xf numFmtId="0" fontId="109" fillId="0" borderId="0" xfId="0" applyFont="1" applyAlignment="1">
      <alignment horizontal="center" vertical="center"/>
    </xf>
    <xf numFmtId="179" fontId="53" fillId="0" borderId="0" xfId="0" applyNumberFormat="1" applyFont="1" applyAlignment="1">
      <alignment horizontal="left" indent="2"/>
    </xf>
    <xf numFmtId="179" fontId="37" fillId="0" borderId="0" xfId="0" applyNumberFormat="1" applyFont="1" applyAlignment="1">
      <alignment horizontal="left" indent="2"/>
    </xf>
    <xf numFmtId="179" fontId="57" fillId="0" borderId="0" xfId="0" applyNumberFormat="1" applyFont="1" applyAlignment="1">
      <alignment horizontal="left" indent="2"/>
    </xf>
    <xf numFmtId="263" fontId="57" fillId="0" borderId="0" xfId="0" applyNumberFormat="1" applyFont="1" applyAlignment="1">
      <alignment horizontal="center" vertical="center" wrapText="1"/>
    </xf>
    <xf numFmtId="263" fontId="34" fillId="0" borderId="0" xfId="0" applyNumberFormat="1" applyFont="1" applyAlignment="1">
      <alignment horizontal="center" vertical="center"/>
    </xf>
    <xf numFmtId="263" fontId="21" fillId="0" borderId="0" xfId="0" applyNumberFormat="1" applyFont="1" applyAlignment="1">
      <alignment vertical="center"/>
    </xf>
    <xf numFmtId="179" fontId="21" fillId="0" borderId="0" xfId="0" applyNumberFormat="1" applyFont="1"/>
    <xf numFmtId="9" fontId="32" fillId="0" borderId="0" xfId="0" applyNumberFormat="1" applyFont="1"/>
    <xf numFmtId="0" fontId="18" fillId="0" borderId="18" xfId="0" applyFont="1" applyBorder="1" applyAlignment="1">
      <alignment horizontal="center"/>
    </xf>
    <xf numFmtId="0" fontId="22" fillId="0" borderId="11" xfId="0" applyFont="1" applyBorder="1" applyAlignment="1">
      <alignment horizontal="center" vertical="center"/>
    </xf>
    <xf numFmtId="10" fontId="22" fillId="0" borderId="11" xfId="6" applyNumberFormat="1" applyFont="1" applyBorder="1" applyAlignment="1">
      <alignment horizontal="center"/>
    </xf>
    <xf numFmtId="10" fontId="22" fillId="0" borderId="19" xfId="6" applyNumberFormat="1" applyFont="1" applyBorder="1" applyAlignment="1">
      <alignment horizontal="center"/>
    </xf>
    <xf numFmtId="3" fontId="22" fillId="0" borderId="7" xfId="0" applyNumberFormat="1" applyFont="1" applyBorder="1" applyAlignment="1" applyProtection="1">
      <alignment horizontal="left" vertical="center" indent="4"/>
    </xf>
    <xf numFmtId="3" fontId="22" fillId="0" borderId="77" xfId="0" applyNumberFormat="1" applyFont="1" applyBorder="1" applyAlignment="1" applyProtection="1">
      <alignment horizontal="left" vertical="center" indent="4"/>
    </xf>
    <xf numFmtId="3" fontId="22" fillId="0" borderId="85" xfId="0" applyNumberFormat="1" applyFont="1" applyBorder="1" applyAlignment="1" applyProtection="1">
      <alignment horizontal="left" vertical="center" indent="4"/>
    </xf>
    <xf numFmtId="0" fontId="50" fillId="0" borderId="0" xfId="0" applyFont="1" applyAlignment="1">
      <alignment horizontal="center" vertical="center"/>
    </xf>
    <xf numFmtId="3" fontId="81" fillId="0" borderId="10" xfId="0" applyNumberFormat="1" applyFont="1" applyBorder="1" applyAlignment="1">
      <alignment horizontal="center" wrapText="1"/>
    </xf>
    <xf numFmtId="167" fontId="24" fillId="0" borderId="18" xfId="6" applyNumberFormat="1" applyFont="1" applyBorder="1" applyAlignment="1" applyProtection="1">
      <alignment horizontal="center"/>
      <protection locked="0"/>
    </xf>
    <xf numFmtId="167" fontId="24" fillId="0" borderId="11" xfId="6" applyNumberFormat="1" applyFont="1" applyBorder="1" applyAlignment="1" applyProtection="1">
      <alignment horizontal="center"/>
      <protection locked="0"/>
    </xf>
    <xf numFmtId="167" fontId="24" fillId="0" borderId="19" xfId="6" applyNumberFormat="1" applyFont="1" applyBorder="1" applyAlignment="1" applyProtection="1">
      <alignment horizontal="center"/>
      <protection locked="0"/>
    </xf>
    <xf numFmtId="0" fontId="112" fillId="0" borderId="0" xfId="0" applyFont="1" applyAlignment="1">
      <alignment horizontal="center" vertical="center"/>
    </xf>
    <xf numFmtId="0" fontId="119" fillId="0" borderId="0" xfId="0" applyFont="1" applyAlignment="1">
      <alignment horizontal="center"/>
    </xf>
    <xf numFmtId="0" fontId="49" fillId="0" borderId="10" xfId="0" applyFont="1" applyBorder="1" applyAlignment="1">
      <alignment horizontal="center" vertical="center"/>
    </xf>
    <xf numFmtId="3" fontId="18" fillId="0" borderId="49" xfId="0" applyNumberFormat="1" applyFont="1" applyBorder="1" applyAlignment="1">
      <alignment horizontal="left" vertical="center"/>
    </xf>
    <xf numFmtId="202" fontId="21" fillId="17" borderId="41" xfId="0" applyNumberFormat="1" applyFont="1" applyFill="1" applyBorder="1" applyAlignment="1">
      <alignment vertical="center"/>
    </xf>
    <xf numFmtId="202" fontId="23" fillId="2" borderId="2" xfId="0" applyNumberFormat="1" applyFont="1" applyFill="1" applyBorder="1" applyAlignment="1">
      <alignment vertical="center"/>
    </xf>
    <xf numFmtId="202" fontId="23" fillId="0" borderId="2" xfId="0" applyNumberFormat="1" applyFont="1" applyBorder="1" applyAlignment="1">
      <alignment vertical="center"/>
    </xf>
    <xf numFmtId="3" fontId="18" fillId="0" borderId="34" xfId="0" applyNumberFormat="1" applyFont="1" applyBorder="1" applyAlignment="1">
      <alignment horizontal="left" vertical="center"/>
    </xf>
    <xf numFmtId="0" fontId="22" fillId="0" borderId="35" xfId="0" applyFont="1" applyBorder="1" applyAlignment="1">
      <alignment vertical="center"/>
    </xf>
    <xf numFmtId="190" fontId="23" fillId="2" borderId="35" xfId="0" applyNumberFormat="1" applyFont="1" applyFill="1" applyBorder="1" applyAlignment="1">
      <alignment vertical="center"/>
    </xf>
    <xf numFmtId="190" fontId="23" fillId="0" borderId="35" xfId="0" applyNumberFormat="1" applyFont="1" applyBorder="1" applyAlignment="1">
      <alignment vertical="center"/>
    </xf>
    <xf numFmtId="190" fontId="23" fillId="0" borderId="3" xfId="0" applyNumberFormat="1" applyFont="1" applyBorder="1" applyAlignment="1">
      <alignment vertical="center"/>
    </xf>
    <xf numFmtId="3" fontId="18" fillId="0" borderId="8" xfId="0" applyNumberFormat="1" applyFont="1" applyBorder="1" applyAlignment="1">
      <alignment horizontal="left" vertical="center"/>
    </xf>
    <xf numFmtId="0" fontId="22" fillId="0" borderId="39" xfId="0" applyFont="1" applyBorder="1" applyAlignment="1">
      <alignment vertical="center"/>
    </xf>
    <xf numFmtId="190" fontId="23" fillId="2" borderId="36" xfId="0" applyNumberFormat="1" applyFont="1" applyFill="1" applyBorder="1" applyAlignment="1">
      <alignment vertical="center"/>
    </xf>
    <xf numFmtId="190" fontId="23" fillId="0" borderId="36" xfId="0" applyNumberFormat="1" applyFont="1" applyBorder="1" applyAlignment="1">
      <alignment vertical="center"/>
    </xf>
    <xf numFmtId="273" fontId="23" fillId="0" borderId="25" xfId="0" applyNumberFormat="1" applyFont="1" applyBorder="1" applyAlignment="1">
      <alignment vertical="center"/>
    </xf>
    <xf numFmtId="3" fontId="21" fillId="0" borderId="41" xfId="0" applyNumberFormat="1" applyFont="1" applyBorder="1" applyAlignment="1">
      <alignment vertical="center"/>
    </xf>
    <xf numFmtId="190" fontId="23" fillId="0" borderId="25" xfId="0" applyNumberFormat="1" applyFont="1" applyBorder="1" applyAlignment="1">
      <alignment vertical="center"/>
    </xf>
    <xf numFmtId="190" fontId="23" fillId="18" borderId="36" xfId="0" applyNumberFormat="1" applyFont="1" applyFill="1" applyBorder="1" applyAlignment="1">
      <alignment vertical="center"/>
    </xf>
    <xf numFmtId="202" fontId="23" fillId="18" borderId="2" xfId="0" applyNumberFormat="1" applyFont="1" applyFill="1" applyBorder="1" applyAlignment="1">
      <alignment vertical="center"/>
    </xf>
    <xf numFmtId="0" fontId="22" fillId="0" borderId="37" xfId="0" applyFont="1" applyBorder="1"/>
    <xf numFmtId="0" fontId="21" fillId="0" borderId="72" xfId="0" applyFont="1" applyBorder="1" applyAlignment="1">
      <alignment horizontal="right" indent="1"/>
    </xf>
    <xf numFmtId="189" fontId="24" fillId="0" borderId="68" xfId="0" applyNumberFormat="1" applyFont="1" applyBorder="1"/>
    <xf numFmtId="236" fontId="24" fillId="0" borderId="68" xfId="0" applyNumberFormat="1" applyFont="1" applyBorder="1"/>
    <xf numFmtId="190" fontId="24" fillId="0" borderId="33" xfId="0" applyNumberFormat="1" applyFont="1" applyBorder="1"/>
    <xf numFmtId="229" fontId="24" fillId="0" borderId="33" xfId="0" applyNumberFormat="1" applyFont="1" applyBorder="1"/>
    <xf numFmtId="3" fontId="22" fillId="0" borderId="38" xfId="0" applyNumberFormat="1" applyFont="1" applyBorder="1"/>
    <xf numFmtId="190" fontId="21" fillId="0" borderId="23" xfId="0" applyNumberFormat="1" applyFont="1" applyBorder="1" applyAlignment="1">
      <alignment vertical="center"/>
    </xf>
    <xf numFmtId="189" fontId="21" fillId="0" borderId="43" xfId="0" applyNumberFormat="1" applyFont="1" applyBorder="1" applyAlignment="1">
      <alignment vertical="center"/>
    </xf>
    <xf numFmtId="236" fontId="21" fillId="0" borderId="43" xfId="0" applyNumberFormat="1" applyFont="1" applyBorder="1" applyAlignment="1">
      <alignment vertical="center"/>
    </xf>
    <xf numFmtId="3" fontId="22" fillId="0" borderId="57" xfId="0" applyNumberFormat="1" applyFont="1" applyBorder="1" applyAlignment="1">
      <alignment horizontal="left" indent="2"/>
    </xf>
    <xf numFmtId="190" fontId="24" fillId="0" borderId="86" xfId="0" applyNumberFormat="1" applyFont="1" applyBorder="1"/>
    <xf numFmtId="189" fontId="24" fillId="0" borderId="90" xfId="0" applyNumberFormat="1" applyFont="1" applyBorder="1"/>
    <xf numFmtId="229" fontId="24" fillId="0" borderId="86" xfId="0" applyNumberFormat="1" applyFont="1" applyBorder="1"/>
    <xf numFmtId="236" fontId="24" fillId="0" borderId="90" xfId="0" applyNumberFormat="1" applyFont="1" applyBorder="1"/>
    <xf numFmtId="3" fontId="22" fillId="0" borderId="33" xfId="0" applyNumberFormat="1" applyFont="1" applyBorder="1" applyAlignment="1">
      <alignment horizontal="center"/>
    </xf>
    <xf numFmtId="3" fontId="22" fillId="0" borderId="31" xfId="0" applyNumberFormat="1" applyFont="1" applyBorder="1" applyAlignment="1">
      <alignment horizontal="center"/>
    </xf>
    <xf numFmtId="3" fontId="22" fillId="0" borderId="32" xfId="0" applyNumberFormat="1" applyFont="1" applyBorder="1" applyAlignment="1">
      <alignment horizontal="center"/>
    </xf>
    <xf numFmtId="3" fontId="22" fillId="0" borderId="13" xfId="0" applyNumberFormat="1" applyFont="1" applyBorder="1" applyAlignment="1">
      <alignment horizontal="left" indent="2"/>
    </xf>
    <xf numFmtId="3" fontId="50" fillId="0" borderId="0" xfId="0" applyNumberFormat="1" applyFont="1" applyAlignment="1">
      <alignment horizontal="centerContinuous"/>
    </xf>
    <xf numFmtId="3" fontId="39" fillId="0" borderId="38" xfId="0" applyNumberFormat="1" applyFont="1" applyBorder="1" applyAlignment="1">
      <alignment horizontal="left" vertical="center" indent="1"/>
    </xf>
    <xf numFmtId="3" fontId="39" fillId="0" borderId="13" xfId="0" applyNumberFormat="1" applyFont="1" applyBorder="1" applyAlignment="1">
      <alignment horizontal="center" vertical="center" wrapText="1"/>
    </xf>
    <xf numFmtId="255" fontId="39" fillId="0" borderId="33" xfId="6" applyNumberFormat="1" applyFont="1" applyFill="1" applyBorder="1" applyAlignment="1">
      <alignment horizontal="center" vertical="center"/>
    </xf>
    <xf numFmtId="255" fontId="39" fillId="0" borderId="31" xfId="6" applyNumberFormat="1" applyFont="1" applyFill="1" applyBorder="1" applyAlignment="1">
      <alignment horizontal="center" vertical="center"/>
    </xf>
    <xf numFmtId="255" fontId="39" fillId="0" borderId="59" xfId="6" applyNumberFormat="1" applyFont="1" applyFill="1" applyBorder="1" applyAlignment="1">
      <alignment horizontal="center" vertical="center"/>
    </xf>
    <xf numFmtId="255" fontId="39" fillId="0" borderId="68" xfId="6" applyNumberFormat="1" applyFont="1" applyFill="1" applyBorder="1" applyAlignment="1">
      <alignment horizontal="center" vertical="center"/>
    </xf>
    <xf numFmtId="3" fontId="39" fillId="0" borderId="19" xfId="0" applyNumberFormat="1" applyFont="1" applyBorder="1" applyAlignment="1">
      <alignment horizontal="center" vertical="center" wrapText="1"/>
    </xf>
    <xf numFmtId="1" fontId="0" fillId="0" borderId="0" xfId="0" applyNumberFormat="1" applyAlignment="1">
      <alignment horizontal="right" vertical="center"/>
    </xf>
    <xf numFmtId="3" fontId="0" fillId="0" borderId="0" xfId="0" applyNumberFormat="1" applyAlignment="1">
      <alignment vertical="center"/>
    </xf>
    <xf numFmtId="0" fontId="86" fillId="0" borderId="0" xfId="0" applyFont="1" applyAlignment="1">
      <alignment horizontal="right"/>
    </xf>
    <xf numFmtId="0" fontId="86" fillId="0" borderId="0" xfId="0" applyFont="1" applyAlignment="1">
      <alignment horizontal="center"/>
    </xf>
    <xf numFmtId="0" fontId="87" fillId="0" borderId="0" xfId="0" applyFont="1" applyAlignment="1">
      <alignment horizontal="center"/>
    </xf>
    <xf numFmtId="291" fontId="22" fillId="0" borderId="22" xfId="6" applyNumberFormat="1" applyFont="1" applyBorder="1" applyAlignment="1" applyProtection="1">
      <alignment vertical="center"/>
    </xf>
    <xf numFmtId="291" fontId="22" fillId="0" borderId="24" xfId="6" applyNumberFormat="1" applyFont="1" applyBorder="1" applyAlignment="1" applyProtection="1">
      <alignment vertical="center"/>
    </xf>
    <xf numFmtId="291" fontId="18" fillId="0" borderId="4" xfId="6" applyNumberFormat="1" applyFont="1" applyBorder="1" applyAlignment="1" applyProtection="1">
      <alignment vertical="center"/>
    </xf>
    <xf numFmtId="291" fontId="18" fillId="0" borderId="32" xfId="6" applyNumberFormat="1" applyFont="1" applyBorder="1" applyAlignment="1" applyProtection="1">
      <alignment vertical="center"/>
    </xf>
    <xf numFmtId="291" fontId="22" fillId="0" borderId="47" xfId="6" applyNumberFormat="1" applyFont="1" applyBorder="1" applyAlignment="1" applyProtection="1">
      <alignment vertical="center"/>
    </xf>
    <xf numFmtId="291" fontId="18" fillId="0" borderId="3" xfId="6" applyNumberFormat="1" applyFont="1" applyBorder="1" applyAlignment="1" applyProtection="1">
      <alignment vertical="center"/>
    </xf>
    <xf numFmtId="291" fontId="18" fillId="0" borderId="25" xfId="6" applyNumberFormat="1" applyFont="1" applyBorder="1" applyAlignment="1" applyProtection="1">
      <alignment vertical="center"/>
    </xf>
    <xf numFmtId="291" fontId="18" fillId="0" borderId="24" xfId="6" applyNumberFormat="1" applyFont="1" applyBorder="1" applyAlignment="1" applyProtection="1">
      <alignment vertical="center"/>
    </xf>
    <xf numFmtId="291" fontId="18" fillId="0" borderId="47" xfId="6" applyNumberFormat="1" applyFont="1" applyBorder="1" applyAlignment="1" applyProtection="1">
      <alignment vertical="center"/>
    </xf>
    <xf numFmtId="291" fontId="18" fillId="0" borderId="4" xfId="0" applyNumberFormat="1" applyFont="1" applyBorder="1" applyAlignment="1" applyProtection="1">
      <alignment vertical="center"/>
    </xf>
    <xf numFmtId="291" fontId="22" fillId="0" borderId="47" xfId="0" applyNumberFormat="1" applyFont="1" applyBorder="1" applyAlignment="1" applyProtection="1">
      <alignment vertical="center"/>
    </xf>
    <xf numFmtId="292" fontId="39" fillId="0" borderId="18" xfId="0" applyNumberFormat="1" applyFont="1" applyBorder="1" applyAlignment="1">
      <alignment vertical="center"/>
    </xf>
    <xf numFmtId="292" fontId="39" fillId="0" borderId="61" xfId="0" applyNumberFormat="1" applyFont="1" applyBorder="1" applyAlignment="1">
      <alignment vertical="center"/>
    </xf>
    <xf numFmtId="292" fontId="39" fillId="0" borderId="19" xfId="0" applyNumberFormat="1" applyFont="1" applyBorder="1" applyAlignment="1">
      <alignment vertical="center"/>
    </xf>
    <xf numFmtId="292" fontId="39" fillId="0" borderId="62" xfId="0" applyNumberFormat="1" applyFont="1" applyBorder="1" applyAlignment="1">
      <alignment vertical="center"/>
    </xf>
    <xf numFmtId="292" fontId="18" fillId="0" borderId="30" xfId="0" applyNumberFormat="1" applyFont="1" applyBorder="1" applyAlignment="1">
      <alignment vertical="center"/>
    </xf>
    <xf numFmtId="292" fontId="18" fillId="0" borderId="26" xfId="0" applyNumberFormat="1" applyFont="1" applyBorder="1" applyAlignment="1">
      <alignment vertical="center"/>
    </xf>
    <xf numFmtId="292" fontId="42" fillId="0" borderId="19" xfId="0" applyNumberFormat="1" applyFont="1" applyBorder="1" applyAlignment="1">
      <alignment vertical="center"/>
    </xf>
    <xf numFmtId="292" fontId="42" fillId="0" borderId="62" xfId="0" applyNumberFormat="1" applyFont="1" applyBorder="1" applyAlignment="1">
      <alignment vertical="center"/>
    </xf>
    <xf numFmtId="293" fontId="39" fillId="0" borderId="6" xfId="0" applyNumberFormat="1" applyFont="1" applyBorder="1" applyAlignment="1">
      <alignment horizontal="right" vertical="center" indent="2"/>
    </xf>
    <xf numFmtId="293" fontId="39" fillId="0" borderId="1" xfId="0" applyNumberFormat="1" applyFont="1" applyBorder="1" applyAlignment="1">
      <alignment horizontal="right" vertical="center" indent="2"/>
    </xf>
    <xf numFmtId="293" fontId="39" fillId="0" borderId="12" xfId="0" applyNumberFormat="1" applyFont="1" applyBorder="1" applyAlignment="1">
      <alignment horizontal="right" vertical="center" indent="2"/>
    </xf>
    <xf numFmtId="293" fontId="39" fillId="0" borderId="43" xfId="0" applyNumberFormat="1" applyFont="1" applyBorder="1" applyAlignment="1">
      <alignment horizontal="right" vertical="center" indent="2"/>
    </xf>
    <xf numFmtId="294" fontId="39" fillId="0" borderId="6" xfId="0" applyNumberFormat="1" applyFont="1" applyBorder="1" applyAlignment="1">
      <alignment horizontal="right" vertical="center"/>
    </xf>
    <xf numFmtId="294" fontId="39" fillId="0" borderId="1" xfId="0" applyNumberFormat="1" applyFont="1" applyBorder="1" applyAlignment="1">
      <alignment horizontal="right" vertical="center"/>
    </xf>
    <xf numFmtId="294" fontId="39" fillId="0" borderId="12" xfId="0" applyNumberFormat="1" applyFont="1" applyBorder="1" applyAlignment="1">
      <alignment horizontal="right" vertical="center"/>
    </xf>
    <xf numFmtId="294" fontId="39" fillId="0" borderId="43" xfId="0" applyNumberFormat="1" applyFont="1" applyBorder="1" applyAlignment="1">
      <alignment horizontal="right" vertical="center"/>
    </xf>
    <xf numFmtId="3" fontId="39" fillId="0" borderId="8" xfId="0" applyNumberFormat="1" applyFont="1" applyBorder="1" applyAlignment="1">
      <alignment horizontal="left" vertical="center" indent="1"/>
    </xf>
    <xf numFmtId="252" fontId="39" fillId="0" borderId="39" xfId="0" applyNumberFormat="1" applyFont="1" applyBorder="1" applyAlignment="1">
      <alignment horizontal="center" vertical="center"/>
    </xf>
    <xf numFmtId="0" fontId="39" fillId="0" borderId="10" xfId="0" applyFont="1" applyBorder="1" applyAlignment="1">
      <alignment horizontal="center" vertical="center"/>
    </xf>
    <xf numFmtId="295" fontId="22" fillId="0" borderId="39" xfId="6" applyNumberFormat="1" applyFont="1" applyBorder="1" applyAlignment="1">
      <alignment horizontal="center" vertical="center"/>
    </xf>
    <xf numFmtId="295" fontId="22" fillId="0" borderId="36" xfId="0" applyNumberFormat="1" applyFont="1" applyBorder="1" applyAlignment="1">
      <alignment horizontal="center" vertical="center"/>
    </xf>
    <xf numFmtId="295" fontId="22" fillId="0" borderId="25" xfId="0" applyNumberFormat="1" applyFont="1" applyBorder="1" applyAlignment="1">
      <alignment horizontal="center" vertical="center"/>
    </xf>
    <xf numFmtId="295" fontId="22" fillId="0" borderId="63" xfId="6" applyNumberFormat="1" applyFont="1" applyBorder="1" applyAlignment="1">
      <alignment horizontal="center" vertical="center"/>
    </xf>
    <xf numFmtId="295" fontId="22" fillId="0" borderId="35" xfId="6" applyNumberFormat="1" applyFont="1" applyBorder="1" applyAlignment="1">
      <alignment horizontal="center" vertical="center"/>
    </xf>
    <xf numFmtId="295" fontId="22" fillId="0" borderId="3" xfId="6" applyNumberFormat="1" applyFont="1" applyBorder="1" applyAlignment="1">
      <alignment horizontal="center" vertical="center"/>
    </xf>
    <xf numFmtId="0" fontId="18" fillId="0" borderId="9" xfId="0" applyFont="1" applyBorder="1" applyAlignment="1">
      <alignment horizontal="left" vertical="center" indent="1"/>
    </xf>
    <xf numFmtId="3" fontId="18" fillId="0" borderId="16" xfId="0" applyNumberFormat="1" applyFont="1" applyBorder="1" applyAlignment="1" applyProtection="1">
      <alignment horizontal="center" vertical="center" shrinkToFit="1"/>
    </xf>
    <xf numFmtId="208" fontId="22" fillId="0" borderId="18" xfId="0" applyNumberFormat="1" applyFont="1" applyBorder="1" applyAlignment="1">
      <alignment horizontal="left" indent="1"/>
    </xf>
    <xf numFmtId="208" fontId="22" fillId="0" borderId="11" xfId="0" applyNumberFormat="1" applyFont="1" applyBorder="1" applyAlignment="1">
      <alignment horizontal="left" indent="1"/>
    </xf>
    <xf numFmtId="208" fontId="22" fillId="0" borderId="19" xfId="0" applyNumberFormat="1" applyFont="1" applyBorder="1" applyAlignment="1">
      <alignment horizontal="left" indent="1"/>
    </xf>
    <xf numFmtId="3" fontId="50" fillId="0" borderId="0" xfId="0" applyNumberFormat="1" applyFont="1" applyAlignment="1">
      <alignment horizontal="left"/>
    </xf>
    <xf numFmtId="190" fontId="24" fillId="0" borderId="23" xfId="0" applyNumberFormat="1" applyFont="1" applyBorder="1"/>
    <xf numFmtId="189" fontId="24" fillId="0" borderId="43" xfId="0" applyNumberFormat="1" applyFont="1" applyBorder="1"/>
    <xf numFmtId="229" fontId="24" fillId="0" borderId="23" xfId="0" applyNumberFormat="1" applyFont="1" applyBorder="1"/>
    <xf numFmtId="236" fontId="24" fillId="0" borderId="43" xfId="0" applyNumberFormat="1" applyFont="1" applyBorder="1"/>
    <xf numFmtId="229" fontId="21" fillId="0" borderId="23" xfId="0" applyNumberFormat="1" applyFont="1" applyBorder="1" applyAlignment="1">
      <alignment vertical="center"/>
    </xf>
    <xf numFmtId="181" fontId="22" fillId="0" borderId="20" xfId="6" applyNumberFormat="1" applyFont="1" applyFill="1" applyBorder="1" applyAlignment="1" applyProtection="1">
      <alignment horizontal="center" vertical="center"/>
    </xf>
    <xf numFmtId="181" fontId="22" fillId="2" borderId="21" xfId="6" applyNumberFormat="1" applyFont="1" applyFill="1" applyBorder="1" applyAlignment="1" applyProtection="1">
      <alignment horizontal="center" vertical="center"/>
      <protection locked="0"/>
    </xf>
    <xf numFmtId="181" fontId="22" fillId="2" borderId="22" xfId="6" applyNumberFormat="1" applyFont="1" applyFill="1" applyBorder="1" applyAlignment="1" applyProtection="1">
      <alignment horizontal="center" vertical="center"/>
      <protection locked="0"/>
    </xf>
    <xf numFmtId="181" fontId="22" fillId="0" borderId="48" xfId="6" applyNumberFormat="1" applyFont="1" applyFill="1" applyBorder="1" applyAlignment="1" applyProtection="1">
      <alignment horizontal="center" vertical="center"/>
    </xf>
    <xf numFmtId="181" fontId="22" fillId="2" borderId="2" xfId="6" applyNumberFormat="1" applyFont="1" applyFill="1" applyBorder="1" applyAlignment="1" applyProtection="1">
      <alignment horizontal="center" vertical="center"/>
      <protection locked="0"/>
    </xf>
    <xf numFmtId="181" fontId="22" fillId="2" borderId="4" xfId="6" applyNumberFormat="1" applyFont="1" applyFill="1" applyBorder="1" applyAlignment="1" applyProtection="1">
      <alignment horizontal="center" vertical="center"/>
      <protection locked="0"/>
    </xf>
    <xf numFmtId="181" fontId="22" fillId="0" borderId="86" xfId="6" applyNumberFormat="1" applyFont="1" applyFill="1" applyBorder="1" applyAlignment="1" applyProtection="1">
      <alignment horizontal="center" vertical="center"/>
    </xf>
    <xf numFmtId="181" fontId="22" fillId="2" borderId="84" xfId="6" applyNumberFormat="1" applyFont="1" applyFill="1" applyBorder="1" applyAlignment="1" applyProtection="1">
      <alignment horizontal="center" vertical="center"/>
      <protection locked="0"/>
    </xf>
    <xf numFmtId="181" fontId="22" fillId="2" borderId="87" xfId="6" applyNumberFormat="1" applyFont="1" applyFill="1" applyBorder="1" applyAlignment="1" applyProtection="1">
      <alignment horizontal="center" vertical="center"/>
      <protection locked="0"/>
    </xf>
    <xf numFmtId="294" fontId="24" fillId="0" borderId="20" xfId="0" applyNumberFormat="1" applyFont="1" applyBorder="1" applyProtection="1"/>
    <xf numFmtId="294" fontId="24" fillId="0" borderId="23" xfId="0" applyNumberFormat="1" applyFont="1" applyBorder="1" applyProtection="1"/>
    <xf numFmtId="294" fontId="24" fillId="0" borderId="34" xfId="0" applyNumberFormat="1" applyFont="1" applyBorder="1" applyProtection="1"/>
    <xf numFmtId="294" fontId="24" fillId="0" borderId="41" xfId="0" applyNumberFormat="1" applyFont="1" applyBorder="1" applyProtection="1"/>
    <xf numFmtId="294" fontId="24" fillId="0" borderId="51" xfId="0" applyNumberFormat="1" applyFont="1" applyBorder="1" applyProtection="1"/>
    <xf numFmtId="294" fontId="24" fillId="0" borderId="63" xfId="0" applyNumberFormat="1" applyFont="1" applyBorder="1" applyProtection="1"/>
    <xf numFmtId="294" fontId="24" fillId="0" borderId="61" xfId="0" applyNumberFormat="1" applyFont="1" applyBorder="1" applyProtection="1"/>
    <xf numFmtId="294" fontId="24" fillId="0" borderId="12" xfId="0" applyNumberFormat="1" applyFont="1" applyBorder="1" applyProtection="1"/>
    <xf numFmtId="294" fontId="24" fillId="0" borderId="62" xfId="0" applyNumberFormat="1" applyFont="1" applyBorder="1" applyProtection="1"/>
    <xf numFmtId="294" fontId="24" fillId="0" borderId="67" xfId="0" applyNumberFormat="1" applyFont="1" applyBorder="1" applyProtection="1"/>
    <xf numFmtId="294" fontId="24" fillId="0" borderId="45" xfId="0" applyNumberFormat="1" applyFont="1" applyBorder="1" applyProtection="1"/>
    <xf numFmtId="294" fontId="24" fillId="0" borderId="52" xfId="0" applyNumberFormat="1" applyFont="1" applyBorder="1" applyProtection="1"/>
    <xf numFmtId="294" fontId="24" fillId="0" borderId="18" xfId="0" applyNumberFormat="1" applyFont="1" applyBorder="1" applyProtection="1"/>
    <xf numFmtId="294" fontId="24" fillId="0" borderId="11" xfId="0" applyNumberFormat="1" applyFont="1" applyBorder="1" applyProtection="1"/>
    <xf numFmtId="294" fontId="24" fillId="0" borderId="38" xfId="0" applyNumberFormat="1" applyFont="1" applyBorder="1" applyProtection="1"/>
    <xf numFmtId="296" fontId="18" fillId="0" borderId="3" xfId="6" applyNumberFormat="1" applyFont="1" applyBorder="1" applyAlignment="1" applyProtection="1">
      <alignment vertical="center"/>
    </xf>
    <xf numFmtId="292" fontId="24" fillId="0" borderId="14" xfId="0" applyNumberFormat="1" applyFont="1" applyBorder="1"/>
    <xf numFmtId="292" fontId="24" fillId="0" borderId="77" xfId="0" applyNumberFormat="1" applyFont="1" applyBorder="1"/>
    <xf numFmtId="292" fontId="24" fillId="0" borderId="11" xfId="0" applyNumberFormat="1" applyFont="1" applyBorder="1"/>
    <xf numFmtId="292" fontId="24" fillId="0" borderId="12" xfId="0" applyNumberFormat="1" applyFont="1" applyBorder="1"/>
    <xf numFmtId="297" fontId="39" fillId="0" borderId="48" xfId="0" applyNumberFormat="1" applyFont="1" applyBorder="1" applyAlignment="1">
      <alignment vertical="center"/>
    </xf>
    <xf numFmtId="297" fontId="39" fillId="0" borderId="2" xfId="0" applyNumberFormat="1" applyFont="1" applyBorder="1" applyAlignment="1">
      <alignment vertical="center"/>
    </xf>
    <xf numFmtId="297" fontId="39" fillId="0" borderId="4" xfId="0" applyNumberFormat="1" applyFont="1" applyBorder="1" applyAlignment="1">
      <alignment vertical="center"/>
    </xf>
    <xf numFmtId="297" fontId="39" fillId="0" borderId="23" xfId="0" applyNumberFormat="1" applyFont="1" applyBorder="1" applyAlignment="1">
      <alignment vertical="center"/>
    </xf>
    <xf numFmtId="297" fontId="39" fillId="0" borderId="1" xfId="0" applyNumberFormat="1" applyFont="1" applyBorder="1" applyAlignment="1">
      <alignment vertical="center"/>
    </xf>
    <xf numFmtId="297" fontId="39" fillId="0" borderId="24" xfId="0" applyNumberFormat="1" applyFont="1" applyBorder="1" applyAlignment="1">
      <alignment vertical="center"/>
    </xf>
    <xf numFmtId="297" fontId="39" fillId="0" borderId="34" xfId="0" applyNumberFormat="1" applyFont="1" applyBorder="1" applyAlignment="1">
      <alignment vertical="center"/>
    </xf>
    <xf numFmtId="297" fontId="39" fillId="0" borderId="35" xfId="0" applyNumberFormat="1" applyFont="1" applyBorder="1" applyAlignment="1">
      <alignment vertical="center"/>
    </xf>
    <xf numFmtId="297" fontId="39" fillId="0" borderId="3" xfId="0" applyNumberFormat="1" applyFont="1" applyBorder="1" applyAlignment="1">
      <alignment vertical="center"/>
    </xf>
    <xf numFmtId="297" fontId="39" fillId="0" borderId="20" xfId="0" applyNumberFormat="1" applyFont="1" applyBorder="1" applyAlignment="1">
      <alignment vertical="center"/>
    </xf>
    <xf numFmtId="297" fontId="22" fillId="0" borderId="1" xfId="0" applyNumberFormat="1" applyFont="1" applyBorder="1"/>
    <xf numFmtId="297" fontId="22" fillId="0" borderId="24" xfId="0" applyNumberFormat="1" applyFont="1" applyBorder="1"/>
    <xf numFmtId="297" fontId="39" fillId="0" borderId="11" xfId="0" applyNumberFormat="1" applyFont="1" applyBorder="1"/>
    <xf numFmtId="297" fontId="39" fillId="0" borderId="12" xfId="0" applyNumberFormat="1" applyFont="1" applyBorder="1"/>
    <xf numFmtId="297" fontId="39" fillId="0" borderId="6" xfId="0" applyNumberFormat="1" applyFont="1" applyBorder="1"/>
    <xf numFmtId="297" fontId="39" fillId="0" borderId="98" xfId="0" applyNumberFormat="1" applyFont="1" applyBorder="1"/>
    <xf numFmtId="297" fontId="39" fillId="0" borderId="11" xfId="3" applyNumberFormat="1" applyFont="1" applyBorder="1"/>
    <xf numFmtId="297" fontId="39" fillId="0" borderId="6" xfId="3" applyNumberFormat="1" applyFont="1" applyBorder="1"/>
    <xf numFmtId="297" fontId="39" fillId="0" borderId="98" xfId="3" applyNumberFormat="1" applyFont="1" applyBorder="1"/>
    <xf numFmtId="297" fontId="39" fillId="0" borderId="12" xfId="3" applyNumberFormat="1" applyFont="1" applyBorder="1"/>
    <xf numFmtId="297" fontId="39" fillId="0" borderId="11" xfId="3" applyNumberFormat="1" applyFont="1" applyFill="1" applyBorder="1"/>
    <xf numFmtId="297" fontId="39" fillId="0" borderId="98" xfId="3" applyNumberFormat="1" applyFont="1" applyFill="1" applyBorder="1"/>
    <xf numFmtId="297" fontId="39" fillId="0" borderId="14" xfId="0" applyNumberFormat="1" applyFont="1" applyBorder="1"/>
    <xf numFmtId="297" fontId="39" fillId="0" borderId="77" xfId="0" applyNumberFormat="1" applyFont="1" applyBorder="1"/>
    <xf numFmtId="297" fontId="39" fillId="0" borderId="7" xfId="0" applyNumberFormat="1" applyFont="1" applyBorder="1"/>
    <xf numFmtId="297" fontId="39" fillId="0" borderId="152" xfId="0" applyNumberFormat="1" applyFont="1" applyBorder="1"/>
    <xf numFmtId="297" fontId="39" fillId="0" borderId="153" xfId="0" applyNumberFormat="1" applyFont="1" applyBorder="1"/>
    <xf numFmtId="297" fontId="39" fillId="0" borderId="154" xfId="0" applyNumberFormat="1" applyFont="1" applyBorder="1"/>
    <xf numFmtId="297" fontId="39" fillId="0" borderId="155" xfId="0" applyNumberFormat="1" applyFont="1" applyBorder="1"/>
    <xf numFmtId="297" fontId="39" fillId="0" borderId="156" xfId="0" applyNumberFormat="1" applyFont="1" applyBorder="1"/>
    <xf numFmtId="297" fontId="23" fillId="0" borderId="11" xfId="0" applyNumberFormat="1" applyFont="1" applyBorder="1"/>
    <xf numFmtId="297" fontId="23" fillId="0" borderId="12" xfId="0" applyNumberFormat="1" applyFont="1" applyBorder="1"/>
    <xf numFmtId="297" fontId="23" fillId="0" borderId="6" xfId="0" applyNumberFormat="1" applyFont="1" applyBorder="1"/>
    <xf numFmtId="297" fontId="23" fillId="0" borderId="98" xfId="0" applyNumberFormat="1" applyFont="1" applyBorder="1"/>
    <xf numFmtId="297" fontId="23" fillId="0" borderId="19" xfId="0" applyNumberFormat="1" applyFont="1" applyBorder="1"/>
    <xf numFmtId="297" fontId="23" fillId="0" borderId="62" xfId="0" applyNumberFormat="1" applyFont="1" applyBorder="1"/>
    <xf numFmtId="297" fontId="23" fillId="0" borderId="15" xfId="0" applyNumberFormat="1" applyFont="1" applyBorder="1"/>
    <xf numFmtId="297" fontId="23" fillId="0" borderId="157" xfId="0" applyNumberFormat="1" applyFont="1" applyBorder="1"/>
    <xf numFmtId="0" fontId="23" fillId="0" borderId="56" xfId="0" applyFont="1" applyBorder="1" applyAlignment="1">
      <alignment horizontal="center" vertical="center" wrapText="1"/>
    </xf>
    <xf numFmtId="280" fontId="18" fillId="0" borderId="28" xfId="0" applyNumberFormat="1" applyFont="1" applyBorder="1" applyAlignment="1">
      <alignment horizontal="center" vertical="center" wrapText="1"/>
    </xf>
    <xf numFmtId="280" fontId="18" fillId="0" borderId="142" xfId="0" applyNumberFormat="1" applyFont="1" applyBorder="1" applyAlignment="1">
      <alignment horizontal="center" vertical="center" wrapText="1"/>
    </xf>
    <xf numFmtId="280" fontId="18" fillId="0" borderId="40" xfId="0" applyNumberFormat="1" applyFont="1" applyBorder="1" applyAlignment="1">
      <alignment horizontal="center" vertical="center" wrapText="1"/>
    </xf>
    <xf numFmtId="280" fontId="21" fillId="0" borderId="49" xfId="0" applyNumberFormat="1" applyFont="1" applyBorder="1" applyAlignment="1">
      <alignment horizontal="center" shrinkToFit="1"/>
    </xf>
    <xf numFmtId="280" fontId="21" fillId="0" borderId="18" xfId="0" applyNumberFormat="1" applyFont="1" applyBorder="1" applyAlignment="1">
      <alignment horizontal="center" shrinkToFit="1"/>
    </xf>
    <xf numFmtId="0" fontId="21" fillId="0" borderId="10" xfId="0" applyFont="1" applyBorder="1" applyAlignment="1">
      <alignment horizontal="center" wrapText="1"/>
    </xf>
    <xf numFmtId="0" fontId="18" fillId="0" borderId="10" xfId="0" applyFont="1" applyBorder="1" applyAlignment="1">
      <alignment horizontal="center" vertical="center" wrapText="1"/>
    </xf>
    <xf numFmtId="281" fontId="27" fillId="0" borderId="0" xfId="0" applyNumberFormat="1" applyFont="1" applyAlignment="1">
      <alignment horizontal="center"/>
    </xf>
    <xf numFmtId="1" fontId="15" fillId="0" borderId="0" xfId="0" applyNumberFormat="1" applyFont="1"/>
    <xf numFmtId="1" fontId="15" fillId="0" borderId="0" xfId="0" applyNumberFormat="1" applyFont="1" applyAlignment="1">
      <alignment horizontal="center"/>
    </xf>
    <xf numFmtId="3" fontId="23" fillId="0" borderId="39" xfId="0" applyNumberFormat="1" applyFont="1" applyBorder="1" applyAlignment="1">
      <alignment horizontal="center" vertical="center" wrapText="1"/>
    </xf>
    <xf numFmtId="3" fontId="23" fillId="0" borderId="36" xfId="0" applyNumberFormat="1" applyFont="1" applyBorder="1" applyAlignment="1">
      <alignment horizontal="center" vertical="center" wrapText="1"/>
    </xf>
    <xf numFmtId="3" fontId="23" fillId="0" borderId="25" xfId="0" applyNumberFormat="1" applyFont="1" applyBorder="1" applyAlignment="1">
      <alignment horizontal="center" vertical="center" wrapText="1"/>
    </xf>
    <xf numFmtId="3" fontId="23" fillId="0" borderId="39" xfId="0" applyNumberFormat="1" applyFont="1" applyBorder="1" applyAlignment="1">
      <alignment horizontal="center" vertical="center" wrapText="1" shrinkToFit="1"/>
    </xf>
    <xf numFmtId="3" fontId="23" fillId="0" borderId="36" xfId="0" applyNumberFormat="1" applyFont="1" applyBorder="1" applyAlignment="1">
      <alignment horizontal="center" vertical="center" wrapText="1" shrinkToFit="1"/>
    </xf>
    <xf numFmtId="3" fontId="23" fillId="0" borderId="25" xfId="0" applyNumberFormat="1" applyFont="1" applyBorder="1" applyAlignment="1">
      <alignment horizontal="center" vertical="center" wrapText="1" shrinkToFit="1"/>
    </xf>
    <xf numFmtId="208" fontId="18" fillId="0" borderId="126" xfId="0" applyNumberFormat="1" applyFont="1" applyBorder="1" applyAlignment="1">
      <alignment horizontal="center" vertical="center" wrapText="1"/>
    </xf>
    <xf numFmtId="208" fontId="18" fillId="0" borderId="92" xfId="0" applyNumberFormat="1" applyFont="1" applyBorder="1" applyAlignment="1">
      <alignment horizontal="center" vertical="center" wrapText="1"/>
    </xf>
    <xf numFmtId="208" fontId="18" fillId="0" borderId="127" xfId="0" applyNumberFormat="1" applyFont="1" applyBorder="1" applyAlignment="1">
      <alignment horizontal="center" vertical="center" wrapText="1"/>
    </xf>
    <xf numFmtId="208" fontId="18" fillId="0" borderId="158" xfId="0" applyNumberFormat="1" applyFont="1" applyBorder="1" applyAlignment="1">
      <alignment horizontal="center" vertical="center" wrapText="1"/>
    </xf>
    <xf numFmtId="280" fontId="49" fillId="0" borderId="0" xfId="4" applyNumberFormat="1" applyFont="1" applyFill="1" applyBorder="1" applyAlignment="1" applyProtection="1">
      <alignment horizontal="center" vertical="center"/>
    </xf>
    <xf numFmtId="280" fontId="49" fillId="0" borderId="9" xfId="4" applyNumberFormat="1" applyFont="1" applyFill="1" applyBorder="1" applyAlignment="1" applyProtection="1">
      <alignment horizontal="center" vertical="center"/>
    </xf>
    <xf numFmtId="280" fontId="49" fillId="0" borderId="13" xfId="4" applyNumberFormat="1" applyFont="1" applyFill="1" applyBorder="1" applyAlignment="1" applyProtection="1">
      <alignment horizontal="center" vertical="center"/>
    </xf>
    <xf numFmtId="210" fontId="36" fillId="0" borderId="0" xfId="0" applyNumberFormat="1" applyFont="1" applyAlignment="1">
      <alignment horizontal="left"/>
    </xf>
    <xf numFmtId="1" fontId="27" fillId="0" borderId="0" xfId="0" applyNumberFormat="1" applyFont="1" applyAlignment="1" applyProtection="1">
      <alignment horizontal="left"/>
    </xf>
    <xf numFmtId="208" fontId="23" fillId="0" borderId="18" xfId="0" applyNumberFormat="1" applyFont="1" applyBorder="1" applyAlignment="1">
      <alignment horizontal="center" vertical="center" wrapText="1"/>
    </xf>
    <xf numFmtId="208" fontId="23" fillId="0" borderId="61" xfId="0" applyNumberFormat="1" applyFont="1" applyBorder="1" applyAlignment="1">
      <alignment horizontal="center" vertical="center" wrapText="1"/>
    </xf>
    <xf numFmtId="1" fontId="36" fillId="0" borderId="0" xfId="0" applyNumberFormat="1" applyFont="1" applyAlignment="1">
      <alignment horizontal="right"/>
    </xf>
    <xf numFmtId="280" fontId="23" fillId="2" borderId="36" xfId="0" applyNumberFormat="1" applyFont="1" applyFill="1" applyBorder="1" applyAlignment="1">
      <alignment horizontal="centerContinuous" vertical="center"/>
    </xf>
    <xf numFmtId="280" fontId="23" fillId="2" borderId="5" xfId="0" applyNumberFormat="1" applyFont="1" applyFill="1" applyBorder="1" applyAlignment="1">
      <alignment horizontal="centerContinuous" vertical="center"/>
    </xf>
    <xf numFmtId="280" fontId="23" fillId="2" borderId="16" xfId="0" applyNumberFormat="1" applyFont="1" applyFill="1" applyBorder="1" applyAlignment="1">
      <alignment horizontal="centerContinuous" vertical="center"/>
    </xf>
    <xf numFmtId="0" fontId="35" fillId="0" borderId="37" xfId="0" applyFont="1" applyBorder="1" applyAlignment="1">
      <alignment horizontal="center" vertical="center"/>
    </xf>
    <xf numFmtId="0" fontId="35" fillId="0" borderId="36" xfId="0" applyFont="1" applyBorder="1" applyAlignment="1">
      <alignment horizontal="center" vertical="center"/>
    </xf>
    <xf numFmtId="0" fontId="35" fillId="0" borderId="25" xfId="0" applyFont="1" applyBorder="1" applyAlignment="1">
      <alignment horizontal="center" vertical="center"/>
    </xf>
    <xf numFmtId="208" fontId="62" fillId="0" borderId="11" xfId="0" applyNumberFormat="1" applyFont="1" applyBorder="1" applyAlignment="1">
      <alignment horizontal="center"/>
    </xf>
    <xf numFmtId="208" fontId="62" fillId="0" borderId="19" xfId="0" applyNumberFormat="1" applyFont="1" applyBorder="1" applyAlignment="1">
      <alignment horizontal="center"/>
    </xf>
    <xf numFmtId="0" fontId="39" fillId="0" borderId="18" xfId="0" applyFont="1" applyBorder="1" applyAlignment="1">
      <alignment horizontal="right" indent="1"/>
    </xf>
    <xf numFmtId="299" fontId="39" fillId="0" borderId="10" xfId="0" applyNumberFormat="1" applyFont="1" applyBorder="1" applyAlignment="1">
      <alignment horizontal="center" vertical="center"/>
    </xf>
    <xf numFmtId="1" fontId="18" fillId="0" borderId="35" xfId="0" applyNumberFormat="1" applyFont="1" applyBorder="1" applyAlignment="1">
      <alignment horizontal="center" vertical="center"/>
    </xf>
    <xf numFmtId="1" fontId="18" fillId="0" borderId="60" xfId="0" applyNumberFormat="1" applyFont="1" applyBorder="1" applyAlignment="1">
      <alignment horizontal="center" vertical="center"/>
    </xf>
    <xf numFmtId="1" fontId="18" fillId="0" borderId="44" xfId="0" applyNumberFormat="1" applyFont="1" applyBorder="1" applyAlignment="1">
      <alignment horizontal="center" vertical="center"/>
    </xf>
    <xf numFmtId="1" fontId="15" fillId="2" borderId="10" xfId="0" applyNumberFormat="1" applyFont="1" applyFill="1" applyBorder="1" applyAlignment="1" applyProtection="1">
      <alignment horizontal="center" vertical="center"/>
      <protection locked="0"/>
    </xf>
    <xf numFmtId="0" fontId="15" fillId="2" borderId="8" xfId="0" applyFont="1" applyFill="1" applyBorder="1" applyAlignment="1" applyProtection="1">
      <alignment horizontal="center" vertical="center"/>
      <protection locked="0"/>
    </xf>
    <xf numFmtId="0" fontId="22" fillId="0" borderId="16" xfId="0" applyFont="1" applyBorder="1" applyAlignment="1">
      <alignment horizontal="right" vertical="center" indent="1"/>
    </xf>
    <xf numFmtId="0" fontId="110" fillId="0" borderId="0" xfId="0" applyFont="1" applyAlignment="1">
      <alignment horizontal="center" vertical="center"/>
    </xf>
    <xf numFmtId="0" fontId="109" fillId="0" borderId="0" xfId="0" applyFont="1" applyAlignment="1" applyProtection="1">
      <alignment horizontal="left" indent="1"/>
    </xf>
    <xf numFmtId="208" fontId="21" fillId="0" borderId="8" xfId="0" applyNumberFormat="1" applyFont="1" applyBorder="1" applyAlignment="1">
      <alignment horizontal="center" wrapText="1"/>
    </xf>
    <xf numFmtId="292" fontId="24" fillId="2" borderId="57" xfId="6" applyNumberFormat="1" applyFont="1" applyFill="1" applyBorder="1" applyAlignment="1" applyProtection="1">
      <alignment horizontal="right" vertical="center"/>
      <protection locked="0"/>
    </xf>
    <xf numFmtId="292" fontId="24" fillId="2" borderId="15" xfId="6" applyNumberFormat="1" applyFont="1" applyFill="1" applyBorder="1" applyAlignment="1" applyProtection="1">
      <alignment horizontal="right" vertical="center"/>
      <protection locked="0"/>
    </xf>
    <xf numFmtId="297" fontId="21" fillId="2" borderId="8" xfId="6" applyNumberFormat="1" applyFont="1" applyFill="1" applyBorder="1" applyAlignment="1" applyProtection="1">
      <alignment horizontal="right" vertical="center"/>
    </xf>
    <xf numFmtId="297" fontId="21" fillId="2" borderId="37" xfId="6" applyNumberFormat="1" applyFont="1" applyFill="1" applyBorder="1" applyAlignment="1" applyProtection="1">
      <alignment horizontal="right" vertical="center"/>
    </xf>
    <xf numFmtId="297" fontId="21" fillId="2" borderId="36" xfId="6" applyNumberFormat="1" applyFont="1" applyFill="1" applyBorder="1" applyAlignment="1" applyProtection="1">
      <alignment horizontal="right" vertical="center"/>
    </xf>
    <xf numFmtId="297" fontId="21" fillId="2" borderId="25" xfId="6" applyNumberFormat="1" applyFont="1" applyFill="1" applyBorder="1" applyAlignment="1" applyProtection="1">
      <alignment horizontal="right" vertical="center"/>
    </xf>
    <xf numFmtId="292" fontId="24" fillId="14" borderId="57" xfId="6" applyNumberFormat="1" applyFont="1" applyFill="1" applyBorder="1" applyAlignment="1" applyProtection="1">
      <alignment horizontal="right" vertical="center"/>
      <protection locked="0"/>
    </xf>
    <xf numFmtId="292" fontId="24" fillId="14" borderId="84" xfId="6" applyNumberFormat="1" applyFont="1" applyFill="1" applyBorder="1" applyAlignment="1" applyProtection="1">
      <alignment horizontal="right" vertical="center"/>
      <protection locked="0"/>
    </xf>
    <xf numFmtId="292" fontId="24" fillId="14" borderId="36" xfId="6" applyNumberFormat="1" applyFont="1" applyFill="1" applyBorder="1" applyAlignment="1" applyProtection="1">
      <alignment horizontal="right" vertical="center"/>
      <protection locked="0"/>
    </xf>
    <xf numFmtId="292" fontId="24" fillId="14" borderId="25" xfId="6" applyNumberFormat="1" applyFont="1" applyFill="1" applyBorder="1" applyAlignment="1" applyProtection="1">
      <alignment horizontal="right" vertical="center"/>
      <protection locked="0"/>
    </xf>
    <xf numFmtId="292" fontId="24" fillId="14" borderId="15" xfId="6" applyNumberFormat="1" applyFont="1" applyFill="1" applyBorder="1" applyAlignment="1" applyProtection="1">
      <alignment horizontal="right" vertical="center"/>
      <protection locked="0"/>
    </xf>
    <xf numFmtId="292" fontId="24" fillId="14" borderId="35" xfId="6" applyNumberFormat="1" applyFont="1" applyFill="1" applyBorder="1" applyAlignment="1" applyProtection="1">
      <alignment horizontal="right" vertical="center"/>
      <protection locked="0"/>
    </xf>
    <xf numFmtId="292" fontId="24" fillId="14" borderId="3" xfId="6" applyNumberFormat="1" applyFont="1" applyFill="1" applyBorder="1" applyAlignment="1" applyProtection="1">
      <alignment horizontal="right" vertical="center"/>
      <protection locked="0"/>
    </xf>
    <xf numFmtId="3" fontId="22" fillId="0" borderId="7" xfId="0" applyNumberFormat="1" applyFont="1" applyBorder="1" applyAlignment="1" applyProtection="1">
      <alignment horizontal="left" vertical="center" indent="3"/>
    </xf>
    <xf numFmtId="291" fontId="22" fillId="0" borderId="4" xfId="6" applyNumberFormat="1" applyFont="1" applyBorder="1" applyAlignment="1" applyProtection="1">
      <alignment vertical="center"/>
    </xf>
    <xf numFmtId="190" fontId="22" fillId="0" borderId="54" xfId="0" applyNumberFormat="1" applyFont="1" applyBorder="1" applyAlignment="1" applyProtection="1">
      <alignment vertical="center"/>
    </xf>
    <xf numFmtId="189" fontId="22" fillId="0" borderId="55" xfId="0" applyNumberFormat="1" applyFont="1" applyBorder="1" applyAlignment="1" applyProtection="1">
      <alignment vertical="center"/>
    </xf>
    <xf numFmtId="189" fontId="22" fillId="0" borderId="77" xfId="0" applyNumberFormat="1" applyFont="1" applyBorder="1" applyAlignment="1" applyProtection="1">
      <alignment vertical="center"/>
    </xf>
    <xf numFmtId="189" fontId="22" fillId="0" borderId="78" xfId="0" applyNumberFormat="1" applyFont="1" applyBorder="1" applyAlignment="1" applyProtection="1">
      <alignment vertical="center"/>
    </xf>
    <xf numFmtId="3" fontId="18" fillId="0" borderId="34" xfId="0" applyNumberFormat="1" applyFont="1" applyBorder="1" applyAlignment="1">
      <alignment horizontal="left" vertical="center" indent="1"/>
    </xf>
    <xf numFmtId="0" fontId="23" fillId="0" borderId="10" xfId="0" applyFont="1" applyBorder="1" applyAlignment="1" applyProtection="1">
      <alignment horizontal="center"/>
    </xf>
    <xf numFmtId="0" fontId="21" fillId="0" borderId="18" xfId="0" applyFont="1" applyBorder="1" applyAlignment="1" applyProtection="1">
      <alignment horizontal="center"/>
    </xf>
    <xf numFmtId="0" fontId="24" fillId="0" borderId="14" xfId="0" applyFont="1" applyBorder="1" applyAlignment="1" applyProtection="1">
      <alignment horizontal="left" indent="1"/>
    </xf>
    <xf numFmtId="0" fontId="21" fillId="0" borderId="17" xfId="0" applyFont="1" applyBorder="1" applyAlignment="1" applyProtection="1">
      <alignment horizontal="center"/>
    </xf>
    <xf numFmtId="0" fontId="18" fillId="0" borderId="13" xfId="0" applyFont="1" applyBorder="1" applyProtection="1"/>
    <xf numFmtId="3" fontId="24" fillId="0" borderId="9" xfId="0" applyNumberFormat="1" applyFont="1" applyBorder="1" applyAlignment="1" applyProtection="1">
      <alignment horizontal="left" indent="1"/>
    </xf>
    <xf numFmtId="3" fontId="21" fillId="0" borderId="8" xfId="0" applyNumberFormat="1" applyFont="1" applyBorder="1" applyAlignment="1">
      <alignment horizontal="center" vertical="center"/>
    </xf>
    <xf numFmtId="3" fontId="23" fillId="0" borderId="9" xfId="0" applyNumberFormat="1" applyFont="1" applyBorder="1" applyAlignment="1" applyProtection="1">
      <alignment horizontal="center"/>
    </xf>
    <xf numFmtId="3" fontId="21" fillId="0" borderId="8" xfId="0" applyNumberFormat="1" applyFont="1" applyBorder="1" applyAlignment="1">
      <alignment horizontal="right" vertical="center" indent="1"/>
    </xf>
    <xf numFmtId="3" fontId="30" fillId="0" borderId="26" xfId="0" applyNumberFormat="1" applyFont="1" applyBorder="1" applyAlignment="1" applyProtection="1">
      <alignment horizontal="left"/>
    </xf>
    <xf numFmtId="3" fontId="15" fillId="0" borderId="9" xfId="0" applyNumberFormat="1" applyFont="1" applyBorder="1" applyAlignment="1">
      <alignment horizontal="left" indent="1"/>
    </xf>
    <xf numFmtId="3" fontId="18" fillId="0" borderId="9" xfId="0" applyNumberFormat="1" applyFont="1" applyBorder="1" applyAlignment="1">
      <alignment horizontal="left" indent="1"/>
    </xf>
    <xf numFmtId="0" fontId="36" fillId="0" borderId="8" xfId="0" applyFont="1" applyBorder="1" applyAlignment="1" applyProtection="1">
      <alignment horizontal="centerContinuous"/>
    </xf>
    <xf numFmtId="0" fontId="0" fillId="0" borderId="5" xfId="0" applyBorder="1" applyAlignment="1" applyProtection="1">
      <alignment horizontal="centerContinuous"/>
    </xf>
    <xf numFmtId="0" fontId="0" fillId="0" borderId="5" xfId="0" applyBorder="1" applyAlignment="1">
      <alignment horizontal="centerContinuous"/>
    </xf>
    <xf numFmtId="0" fontId="0" fillId="0" borderId="16" xfId="0" applyBorder="1" applyAlignment="1">
      <alignment horizontal="centerContinuous"/>
    </xf>
    <xf numFmtId="0" fontId="23" fillId="0" borderId="8" xfId="0" applyFont="1" applyBorder="1" applyAlignment="1" applyProtection="1">
      <alignment horizontal="left" vertical="center" indent="2"/>
    </xf>
    <xf numFmtId="0" fontId="21" fillId="0" borderId="10" xfId="0" applyFont="1" applyBorder="1" applyAlignment="1" applyProtection="1">
      <alignment horizontal="center" wrapText="1"/>
    </xf>
    <xf numFmtId="280" fontId="21" fillId="0" borderId="8" xfId="0" applyNumberFormat="1" applyFont="1" applyBorder="1" applyAlignment="1">
      <alignment horizontal="center" wrapText="1"/>
    </xf>
    <xf numFmtId="280" fontId="21" fillId="0" borderId="10" xfId="0" applyNumberFormat="1" applyFont="1" applyBorder="1" applyAlignment="1">
      <alignment horizontal="center" wrapText="1"/>
    </xf>
    <xf numFmtId="0" fontId="24" fillId="0" borderId="14" xfId="0" applyFont="1" applyBorder="1" applyAlignment="1" applyProtection="1">
      <alignment horizontal="left" vertical="center" indent="2"/>
    </xf>
    <xf numFmtId="200" fontId="24" fillId="0" borderId="14" xfId="0" applyNumberFormat="1" applyFont="1" applyBorder="1" applyProtection="1"/>
    <xf numFmtId="0" fontId="24" fillId="0" borderId="11" xfId="0" applyFont="1" applyBorder="1" applyAlignment="1" applyProtection="1">
      <alignment horizontal="left" indent="2"/>
    </xf>
    <xf numFmtId="0" fontId="24" fillId="0" borderId="6" xfId="0" applyFont="1" applyBorder="1" applyAlignment="1" applyProtection="1">
      <alignment horizontal="left" indent="2"/>
    </xf>
    <xf numFmtId="200" fontId="24" fillId="0" borderId="11" xfId="0" applyNumberFormat="1" applyFont="1" applyBorder="1" applyProtection="1"/>
    <xf numFmtId="0" fontId="21" fillId="0" borderId="15" xfId="0" applyFont="1" applyBorder="1" applyAlignment="1" applyProtection="1">
      <alignment horizontal="left" indent="2"/>
    </xf>
    <xf numFmtId="200" fontId="81" fillId="0" borderId="17" xfId="0" applyNumberFormat="1" applyFont="1" applyBorder="1" applyProtection="1"/>
    <xf numFmtId="200" fontId="81" fillId="0" borderId="57" xfId="0" applyNumberFormat="1" applyFont="1" applyBorder="1" applyProtection="1"/>
    <xf numFmtId="0" fontId="0" fillId="0" borderId="9" xfId="0" applyBorder="1" applyProtection="1"/>
    <xf numFmtId="0" fontId="0" fillId="0" borderId="68" xfId="0" applyBorder="1"/>
    <xf numFmtId="200" fontId="81" fillId="0" borderId="10" xfId="0" applyNumberFormat="1" applyFont="1" applyBorder="1" applyProtection="1"/>
    <xf numFmtId="200" fontId="81" fillId="0" borderId="8" xfId="0" applyNumberFormat="1" applyFont="1" applyBorder="1" applyProtection="1"/>
    <xf numFmtId="200" fontId="21" fillId="0" borderId="10" xfId="0" applyNumberFormat="1" applyFont="1" applyBorder="1" applyProtection="1"/>
    <xf numFmtId="200" fontId="21" fillId="0" borderId="8" xfId="0" applyNumberFormat="1" applyFont="1" applyBorder="1" applyProtection="1"/>
    <xf numFmtId="0" fontId="18" fillId="0" borderId="49" xfId="0" applyFont="1" applyBorder="1" applyAlignment="1" applyProtection="1">
      <alignment horizontal="center" vertical="center"/>
    </xf>
    <xf numFmtId="235" fontId="18" fillId="0" borderId="10" xfId="4" applyNumberFormat="1" applyFont="1" applyFill="1" applyBorder="1" applyAlignment="1" applyProtection="1">
      <alignment vertical="center"/>
    </xf>
    <xf numFmtId="3" fontId="22" fillId="0" borderId="1" xfId="0" applyNumberFormat="1" applyFont="1" applyBorder="1" applyAlignment="1" applyProtection="1">
      <alignment horizontal="center" vertical="center" wrapText="1"/>
    </xf>
    <xf numFmtId="300" fontId="22" fillId="11" borderId="68" xfId="4" applyNumberFormat="1" applyFont="1" applyFill="1" applyBorder="1"/>
    <xf numFmtId="200" fontId="18" fillId="0" borderId="8" xfId="0" applyNumberFormat="1" applyFont="1" applyBorder="1" applyAlignment="1" applyProtection="1">
      <alignment horizontal="center" vertical="center"/>
    </xf>
    <xf numFmtId="200" fontId="18" fillId="0" borderId="10" xfId="0" applyNumberFormat="1" applyFont="1" applyBorder="1" applyAlignment="1" applyProtection="1">
      <alignment horizontal="center" vertical="center"/>
    </xf>
    <xf numFmtId="200" fontId="18" fillId="0" borderId="16" xfId="0" applyNumberFormat="1" applyFont="1" applyBorder="1" applyAlignment="1" applyProtection="1">
      <alignment horizontal="center" vertical="center"/>
    </xf>
    <xf numFmtId="206" fontId="18" fillId="0" borderId="49" xfId="0" applyNumberFormat="1" applyFont="1" applyBorder="1" applyAlignment="1" applyProtection="1">
      <alignment vertical="center"/>
    </xf>
    <xf numFmtId="206" fontId="18" fillId="0" borderId="18" xfId="0" applyNumberFormat="1" applyFont="1" applyBorder="1" applyAlignment="1" applyProtection="1">
      <alignment vertical="center"/>
    </xf>
    <xf numFmtId="206" fontId="18" fillId="0" borderId="42" xfId="0" applyNumberFormat="1" applyFont="1" applyBorder="1" applyAlignment="1" applyProtection="1">
      <alignment vertical="center"/>
    </xf>
    <xf numFmtId="232" fontId="42" fillId="0" borderId="6" xfId="0" applyNumberFormat="1" applyFont="1" applyBorder="1" applyAlignment="1" applyProtection="1">
      <alignment vertical="center"/>
    </xf>
    <xf numFmtId="232" fontId="22" fillId="15" borderId="11" xfId="0" applyNumberFormat="1" applyFont="1" applyFill="1" applyBorder="1" applyAlignment="1" applyProtection="1">
      <alignment vertical="center"/>
      <protection locked="0"/>
    </xf>
    <xf numFmtId="206" fontId="18" fillId="0" borderId="43" xfId="0" applyNumberFormat="1" applyFont="1" applyBorder="1" applyAlignment="1" applyProtection="1">
      <alignment vertical="center"/>
    </xf>
    <xf numFmtId="232" fontId="42" fillId="0" borderId="11" xfId="0" applyNumberFormat="1" applyFont="1" applyBorder="1" applyAlignment="1" applyProtection="1">
      <alignment vertical="center"/>
    </xf>
    <xf numFmtId="3" fontId="22" fillId="0" borderId="15" xfId="0" applyNumberFormat="1" applyFont="1" applyBorder="1" applyAlignment="1" applyProtection="1">
      <alignment horizontal="right"/>
    </xf>
    <xf numFmtId="3" fontId="22" fillId="0" borderId="19" xfId="0" applyNumberFormat="1" applyFont="1" applyBorder="1" applyAlignment="1" applyProtection="1">
      <alignment horizontal="right"/>
    </xf>
    <xf numFmtId="3" fontId="22" fillId="0" borderId="44" xfId="0" applyNumberFormat="1" applyFont="1" applyBorder="1" applyAlignment="1" applyProtection="1">
      <alignment horizontal="right"/>
    </xf>
    <xf numFmtId="9" fontId="22" fillId="0" borderId="9" xfId="6" applyFont="1" applyFill="1" applyBorder="1" applyProtection="1"/>
    <xf numFmtId="3" fontId="22" fillId="0" borderId="68" xfId="0" applyNumberFormat="1" applyFont="1" applyBorder="1" applyAlignment="1" applyProtection="1">
      <alignment horizontal="right"/>
    </xf>
    <xf numFmtId="232" fontId="42" fillId="0" borderId="6" xfId="0" quotePrefix="1" applyNumberFormat="1" applyFont="1" applyBorder="1" applyAlignment="1" applyProtection="1">
      <alignment vertical="center"/>
    </xf>
    <xf numFmtId="206" fontId="18" fillId="0" borderId="8" xfId="0" applyNumberFormat="1" applyFont="1" applyBorder="1" applyAlignment="1" applyProtection="1">
      <alignment vertical="center"/>
    </xf>
    <xf numFmtId="206" fontId="18" fillId="0" borderId="16" xfId="0" applyNumberFormat="1" applyFont="1" applyBorder="1" applyAlignment="1" applyProtection="1">
      <alignment vertical="center"/>
    </xf>
    <xf numFmtId="190" fontId="18" fillId="0" borderId="8" xfId="4" applyNumberFormat="1" applyFont="1" applyFill="1" applyBorder="1" applyAlignment="1" applyProtection="1">
      <alignment horizontal="right" vertical="center"/>
    </xf>
    <xf numFmtId="0" fontId="18" fillId="0" borderId="49" xfId="0" applyFont="1" applyBorder="1" applyAlignment="1" applyProtection="1">
      <alignment horizontal="center" vertical="center" wrapText="1"/>
    </xf>
    <xf numFmtId="3" fontId="18" fillId="0" borderId="30" xfId="0" applyNumberFormat="1" applyFont="1" applyBorder="1" applyAlignment="1" applyProtection="1">
      <alignment horizontal="center" vertical="center"/>
    </xf>
    <xf numFmtId="9" fontId="18" fillId="0" borderId="40" xfId="0" applyNumberFormat="1" applyFont="1" applyBorder="1" applyAlignment="1" applyProtection="1">
      <alignment horizontal="center" vertical="center"/>
    </xf>
    <xf numFmtId="206" fontId="22" fillId="0" borderId="11" xfId="6" applyNumberFormat="1" applyFont="1" applyFill="1" applyBorder="1" applyAlignment="1" applyProtection="1">
      <alignment vertical="center"/>
    </xf>
    <xf numFmtId="3" fontId="21" fillId="0" borderId="159" xfId="0" applyNumberFormat="1" applyFont="1" applyBorder="1" applyAlignment="1">
      <alignment horizontal="center" vertical="center" wrapText="1"/>
    </xf>
    <xf numFmtId="3" fontId="21" fillId="0" borderId="160" xfId="0" applyNumberFormat="1" applyFont="1" applyBorder="1" applyAlignment="1">
      <alignment horizontal="center" vertical="center"/>
    </xf>
    <xf numFmtId="213" fontId="24" fillId="0" borderId="43" xfId="0" applyNumberFormat="1" applyFont="1" applyBorder="1" applyAlignment="1" applyProtection="1">
      <alignment vertical="center"/>
      <protection locked="0"/>
    </xf>
    <xf numFmtId="236" fontId="24" fillId="0" borderId="98" xfId="6" applyNumberFormat="1" applyFont="1" applyBorder="1"/>
    <xf numFmtId="213" fontId="24" fillId="0" borderId="11" xfId="0" applyNumberFormat="1" applyFont="1" applyBorder="1" applyAlignment="1">
      <alignment vertical="center"/>
    </xf>
    <xf numFmtId="213" fontId="21" fillId="0" borderId="161" xfId="0" applyNumberFormat="1" applyFont="1" applyBorder="1" applyAlignment="1">
      <alignment vertical="center"/>
    </xf>
    <xf numFmtId="236" fontId="21" fillId="0" borderId="156" xfId="6" applyNumberFormat="1" applyFont="1" applyBorder="1"/>
    <xf numFmtId="261" fontId="39" fillId="0" borderId="1" xfId="0" applyNumberFormat="1" applyFont="1" applyBorder="1" applyAlignment="1">
      <alignment vertical="center"/>
    </xf>
    <xf numFmtId="0" fontId="39" fillId="0" borderId="24" xfId="0" applyFont="1" applyBorder="1" applyAlignment="1">
      <alignment horizontal="left" vertical="center" indent="1"/>
    </xf>
    <xf numFmtId="301" fontId="39" fillId="0" borderId="21" xfId="0" applyNumberFormat="1" applyFont="1" applyBorder="1" applyAlignment="1">
      <alignment vertical="center"/>
    </xf>
    <xf numFmtId="3" fontId="24" fillId="0" borderId="57" xfId="0" applyNumberFormat="1" applyFont="1" applyBorder="1" applyAlignment="1" applyProtection="1">
      <alignment horizontal="left" indent="1"/>
    </xf>
    <xf numFmtId="226" fontId="24" fillId="0" borderId="65" xfId="0" applyNumberFormat="1" applyFont="1" applyBorder="1" applyProtection="1">
      <protection locked="0"/>
    </xf>
    <xf numFmtId="226" fontId="24" fillId="0" borderId="84" xfId="0" applyNumberFormat="1" applyFont="1" applyBorder="1" applyProtection="1">
      <protection locked="0"/>
    </xf>
    <xf numFmtId="226" fontId="24" fillId="0" borderId="117" xfId="0" applyNumberFormat="1" applyFont="1" applyBorder="1" applyProtection="1">
      <protection locked="0"/>
    </xf>
    <xf numFmtId="206" fontId="24" fillId="0" borderId="17" xfId="0" applyNumberFormat="1" applyFont="1" applyBorder="1" applyProtection="1">
      <protection locked="0"/>
    </xf>
    <xf numFmtId="3" fontId="24" fillId="0" borderId="11" xfId="0" applyNumberFormat="1" applyFont="1" applyBorder="1" applyProtection="1">
      <protection locked="0"/>
    </xf>
    <xf numFmtId="206" fontId="24" fillId="0" borderId="11" xfId="0" applyNumberFormat="1" applyFont="1" applyBorder="1" applyProtection="1">
      <protection locked="0"/>
    </xf>
    <xf numFmtId="226" fontId="24" fillId="0" borderId="24" xfId="0" applyNumberFormat="1" applyFont="1" applyBorder="1" applyProtection="1">
      <protection locked="0"/>
    </xf>
    <xf numFmtId="0" fontId="18" fillId="0" borderId="8" xfId="0" applyFont="1" applyBorder="1" applyAlignment="1">
      <alignment horizontal="right" vertical="center"/>
    </xf>
    <xf numFmtId="0" fontId="15" fillId="0" borderId="39" xfId="0" applyFont="1" applyBorder="1" applyAlignment="1">
      <alignment vertical="center"/>
    </xf>
    <xf numFmtId="0" fontId="39" fillId="0" borderId="25" xfId="0" applyFont="1" applyBorder="1" applyAlignment="1">
      <alignment horizontal="right" vertical="center" indent="1"/>
    </xf>
    <xf numFmtId="10" fontId="22" fillId="2" borderId="10" xfId="0" applyNumberFormat="1" applyFont="1" applyFill="1" applyBorder="1" applyAlignment="1" applyProtection="1">
      <alignment horizontal="center" vertical="center"/>
      <protection locked="0"/>
    </xf>
    <xf numFmtId="167" fontId="24" fillId="2" borderId="19" xfId="6" applyNumberFormat="1" applyFont="1" applyFill="1" applyBorder="1" applyAlignment="1" applyProtection="1">
      <alignment horizontal="center" vertical="center"/>
      <protection locked="0"/>
    </xf>
    <xf numFmtId="3" fontId="39" fillId="0" borderId="11" xfId="0" applyNumberFormat="1" applyFont="1" applyBorder="1" applyAlignment="1">
      <alignment horizontal="center" vertical="center" wrapText="1"/>
    </xf>
    <xf numFmtId="268" fontId="39" fillId="0" borderId="23" xfId="6" applyNumberFormat="1" applyFont="1" applyFill="1" applyBorder="1" applyAlignment="1">
      <alignment horizontal="center" vertical="center"/>
    </xf>
    <xf numFmtId="268" fontId="39" fillId="0" borderId="51" xfId="6" applyNumberFormat="1" applyFont="1" applyFill="1" applyBorder="1" applyAlignment="1">
      <alignment horizontal="center" vertical="center"/>
    </xf>
    <xf numFmtId="268" fontId="39" fillId="0" borderId="50" xfId="6" applyNumberFormat="1" applyFont="1" applyFill="1" applyBorder="1" applyAlignment="1">
      <alignment horizontal="center" vertical="center"/>
    </xf>
    <xf numFmtId="268" fontId="39" fillId="0" borderId="1" xfId="6" applyNumberFormat="1" applyFont="1" applyFill="1" applyBorder="1" applyAlignment="1">
      <alignment horizontal="center" vertical="center"/>
    </xf>
    <xf numFmtId="268" fontId="39" fillId="0" borderId="43" xfId="6" applyNumberFormat="1" applyFont="1" applyFill="1" applyBorder="1" applyAlignment="1">
      <alignment horizontal="center" vertical="center"/>
    </xf>
    <xf numFmtId="302" fontId="39" fillId="0" borderId="34" xfId="6" applyNumberFormat="1" applyFont="1" applyFill="1" applyBorder="1" applyAlignment="1">
      <alignment horizontal="center" vertical="center"/>
    </xf>
    <xf numFmtId="302" fontId="39" fillId="0" borderId="63" xfId="6" applyNumberFormat="1" applyFont="1" applyFill="1" applyBorder="1" applyAlignment="1">
      <alignment horizontal="center" vertical="center"/>
    </xf>
    <xf numFmtId="302" fontId="39" fillId="0" borderId="60" xfId="6" applyNumberFormat="1" applyFont="1" applyFill="1" applyBorder="1" applyAlignment="1">
      <alignment horizontal="center" vertical="center"/>
    </xf>
    <xf numFmtId="302" fontId="39" fillId="0" borderId="35" xfId="6" applyNumberFormat="1" applyFont="1" applyFill="1" applyBorder="1" applyAlignment="1">
      <alignment horizontal="center" vertical="center"/>
    </xf>
    <xf numFmtId="302" fontId="39" fillId="0" borderId="44" xfId="6" applyNumberFormat="1" applyFont="1" applyFill="1" applyBorder="1" applyAlignment="1">
      <alignment horizontal="center" vertical="center"/>
    </xf>
    <xf numFmtId="0" fontId="22" fillId="0" borderId="16" xfId="0" applyFont="1" applyBorder="1" applyAlignment="1" applyProtection="1">
      <alignment horizontal="centerContinuous" vertical="center"/>
    </xf>
    <xf numFmtId="3" fontId="18" fillId="0" borderId="5" xfId="0" applyNumberFormat="1" applyFont="1" applyBorder="1" applyAlignment="1" applyProtection="1">
      <alignment horizontal="centerContinuous" vertical="center" wrapText="1"/>
    </xf>
    <xf numFmtId="0" fontId="18" fillId="0" borderId="9" xfId="0" applyFont="1" applyBorder="1" applyAlignment="1">
      <alignment horizontal="center" vertical="center"/>
    </xf>
    <xf numFmtId="0" fontId="39" fillId="0" borderId="20" xfId="0" applyFont="1" applyBorder="1" applyAlignment="1" applyProtection="1">
      <alignment horizontal="center" vertical="center" shrinkToFit="1"/>
    </xf>
    <xf numFmtId="0" fontId="39" fillId="0" borderId="22" xfId="0" applyFont="1" applyBorder="1" applyAlignment="1" applyProtection="1">
      <alignment vertical="center" shrinkToFit="1"/>
    </xf>
    <xf numFmtId="0" fontId="39" fillId="0" borderId="41" xfId="0" applyFont="1" applyBorder="1" applyAlignment="1" applyProtection="1">
      <alignment horizontal="center" vertical="center" shrinkToFit="1"/>
    </xf>
    <xf numFmtId="0" fontId="22" fillId="0" borderId="6" xfId="0" applyFont="1" applyBorder="1" applyAlignment="1">
      <alignment horizontal="left" vertical="center" indent="3"/>
    </xf>
    <xf numFmtId="0" fontId="22" fillId="0" borderId="9" xfId="0" applyFont="1" applyBorder="1" applyAlignment="1">
      <alignment vertical="center"/>
    </xf>
    <xf numFmtId="0" fontId="22" fillId="0" borderId="68" xfId="0" applyFont="1" applyBorder="1" applyAlignment="1" applyProtection="1">
      <alignment vertical="center"/>
    </xf>
    <xf numFmtId="0" fontId="21" fillId="0" borderId="126" xfId="0" applyFont="1" applyBorder="1" applyAlignment="1" applyProtection="1">
      <alignment horizontal="center" vertical="center" wrapText="1"/>
    </xf>
    <xf numFmtId="0" fontId="22" fillId="0" borderId="23" xfId="0" applyFont="1" applyBorder="1" applyAlignment="1" applyProtection="1">
      <alignment horizontal="left" vertical="center" indent="1"/>
    </xf>
    <xf numFmtId="3" fontId="24" fillId="3" borderId="43" xfId="0" applyNumberFormat="1" applyFont="1" applyFill="1" applyBorder="1" applyAlignment="1" applyProtection="1">
      <alignment horizontal="center" vertical="center"/>
      <protection locked="0"/>
    </xf>
    <xf numFmtId="216" fontId="24" fillId="0" borderId="11" xfId="0" applyNumberFormat="1" applyFont="1" applyBorder="1" applyAlignment="1" applyProtection="1">
      <alignment vertical="center"/>
    </xf>
    <xf numFmtId="0" fontId="22" fillId="0" borderId="9" xfId="0" applyFont="1" applyBorder="1" applyAlignment="1" applyProtection="1">
      <alignment horizontal="left" vertical="center" indent="1"/>
    </xf>
    <xf numFmtId="0" fontId="22" fillId="0" borderId="0" xfId="0" applyFont="1" applyAlignment="1" applyProtection="1">
      <alignment horizontal="left" vertical="center" indent="1"/>
    </xf>
    <xf numFmtId="0" fontId="22" fillId="0" borderId="15" xfId="0" applyFont="1" applyBorder="1" applyAlignment="1" applyProtection="1">
      <alignment vertical="center"/>
    </xf>
    <xf numFmtId="0" fontId="22" fillId="0" borderId="62" xfId="0" applyFont="1" applyBorder="1" applyAlignment="1" applyProtection="1">
      <alignment vertical="center"/>
    </xf>
    <xf numFmtId="0" fontId="21" fillId="0" borderId="42" xfId="0" applyFont="1" applyBorder="1" applyAlignment="1" applyProtection="1">
      <alignment horizontal="center" vertical="center" wrapText="1" shrinkToFit="1"/>
    </xf>
    <xf numFmtId="0" fontId="21" fillId="0" borderId="18" xfId="0" applyFont="1" applyBorder="1" applyAlignment="1" applyProtection="1">
      <alignment horizontal="center" vertical="center" wrapText="1" shrinkToFit="1"/>
    </xf>
    <xf numFmtId="3" fontId="24" fillId="0" borderId="11" xfId="0" applyNumberFormat="1" applyFont="1" applyBorder="1" applyAlignment="1" applyProtection="1">
      <alignment horizontal="center" vertical="center"/>
    </xf>
    <xf numFmtId="292" fontId="24" fillId="0" borderId="15" xfId="6" applyNumberFormat="1" applyFont="1" applyFill="1" applyBorder="1" applyAlignment="1" applyProtection="1">
      <alignment horizontal="right" vertical="center"/>
    </xf>
    <xf numFmtId="292" fontId="24" fillId="0" borderId="35" xfId="6" applyNumberFormat="1" applyFont="1" applyFill="1" applyBorder="1" applyAlignment="1" applyProtection="1">
      <alignment horizontal="right" vertical="center"/>
    </xf>
    <xf numFmtId="292" fontId="24" fillId="0" borderId="3" xfId="6" applyNumberFormat="1" applyFont="1" applyFill="1" applyBorder="1" applyAlignment="1" applyProtection="1">
      <alignment horizontal="right" vertical="center"/>
    </xf>
    <xf numFmtId="216" fontId="21" fillId="0" borderId="37" xfId="0" applyNumberFormat="1" applyFont="1" applyBorder="1"/>
    <xf numFmtId="216" fontId="21" fillId="0" borderId="36" xfId="0" applyNumberFormat="1" applyFont="1" applyBorder="1"/>
    <xf numFmtId="216" fontId="24" fillId="0" borderId="37" xfId="0" applyNumberFormat="1" applyFont="1" applyBorder="1"/>
    <xf numFmtId="216" fontId="24" fillId="0" borderId="36" xfId="0" applyNumberFormat="1" applyFont="1" applyBorder="1"/>
    <xf numFmtId="216" fontId="24" fillId="0" borderId="25" xfId="0" applyNumberFormat="1" applyFont="1" applyBorder="1"/>
    <xf numFmtId="218" fontId="21" fillId="0" borderId="37" xfId="0" applyNumberFormat="1" applyFont="1" applyBorder="1"/>
    <xf numFmtId="218" fontId="21" fillId="0" borderId="36" xfId="0" applyNumberFormat="1" applyFont="1" applyBorder="1"/>
    <xf numFmtId="218" fontId="21" fillId="0" borderId="25" xfId="0" applyNumberFormat="1" applyFont="1" applyBorder="1"/>
    <xf numFmtId="218" fontId="24" fillId="0" borderId="37" xfId="0" applyNumberFormat="1" applyFont="1" applyBorder="1"/>
    <xf numFmtId="218" fontId="24" fillId="0" borderId="36" xfId="0" applyNumberFormat="1" applyFont="1" applyBorder="1"/>
    <xf numFmtId="218" fontId="24" fillId="0" borderId="25" xfId="0" applyNumberFormat="1" applyFont="1" applyBorder="1"/>
    <xf numFmtId="0" fontId="39" fillId="0" borderId="0" xfId="0" applyFont="1" applyAlignment="1">
      <alignment horizontal="right" indent="2"/>
    </xf>
    <xf numFmtId="0" fontId="22" fillId="0" borderId="5" xfId="0" applyFont="1" applyBorder="1" applyAlignment="1" applyProtection="1">
      <alignment horizontal="centerContinuous" vertical="center"/>
    </xf>
    <xf numFmtId="0" fontId="24" fillId="0" borderId="9" xfId="0" applyFont="1" applyBorder="1" applyAlignment="1" applyProtection="1">
      <alignment vertical="center"/>
    </xf>
    <xf numFmtId="0" fontId="24" fillId="0" borderId="68" xfId="0" applyFont="1" applyBorder="1" applyAlignment="1" applyProtection="1">
      <alignment vertical="center"/>
    </xf>
    <xf numFmtId="0" fontId="24" fillId="0" borderId="0" xfId="0" applyFont="1" applyAlignment="1" applyProtection="1">
      <alignment vertical="center"/>
    </xf>
    <xf numFmtId="0" fontId="21" fillId="0" borderId="22" xfId="0" applyFont="1" applyBorder="1" applyAlignment="1" applyProtection="1">
      <alignment horizontal="center" vertical="center" wrapText="1" shrinkToFit="1"/>
    </xf>
    <xf numFmtId="303" fontId="24" fillId="0" borderId="11" xfId="0" applyNumberFormat="1" applyFont="1" applyBorder="1" applyAlignment="1" applyProtection="1">
      <alignment horizontal="right" vertical="center"/>
    </xf>
    <xf numFmtId="167" fontId="24" fillId="2" borderId="11" xfId="0" applyNumberFormat="1" applyFont="1" applyFill="1" applyBorder="1" applyAlignment="1" applyProtection="1">
      <alignment horizontal="center" vertical="center"/>
      <protection locked="0"/>
    </xf>
    <xf numFmtId="167" fontId="24" fillId="2" borderId="43" xfId="0" applyNumberFormat="1" applyFont="1" applyFill="1" applyBorder="1" applyAlignment="1" applyProtection="1">
      <alignment horizontal="center" vertical="center"/>
      <protection locked="0"/>
    </xf>
    <xf numFmtId="0" fontId="18" fillId="0" borderId="26" xfId="0" applyFont="1" applyBorder="1" applyAlignment="1" applyProtection="1">
      <alignment horizontal="centerContinuous" vertical="center"/>
    </xf>
    <xf numFmtId="0" fontId="18" fillId="0" borderId="26" xfId="0" applyFont="1" applyBorder="1" applyAlignment="1">
      <alignment horizontal="centerContinuous" vertical="center"/>
    </xf>
    <xf numFmtId="0" fontId="18" fillId="0" borderId="40" xfId="0" applyFont="1" applyBorder="1" applyAlignment="1" applyProtection="1">
      <alignment horizontal="centerContinuous" vertical="center"/>
    </xf>
    <xf numFmtId="3" fontId="18" fillId="0" borderId="56" xfId="0" applyNumberFormat="1" applyFont="1" applyBorder="1" applyAlignment="1" applyProtection="1">
      <alignment horizontal="centerContinuous" vertical="center" wrapText="1"/>
    </xf>
    <xf numFmtId="0" fontId="22" fillId="0" borderId="40" xfId="0" applyFont="1" applyBorder="1" applyAlignment="1" applyProtection="1">
      <alignment horizontal="centerContinuous" vertical="center"/>
    </xf>
    <xf numFmtId="0" fontId="24" fillId="0" borderId="6" xfId="0" applyFont="1" applyBorder="1" applyAlignment="1" applyProtection="1">
      <alignment vertical="center"/>
    </xf>
    <xf numFmtId="0" fontId="24" fillId="0" borderId="12" xfId="0" applyFont="1" applyBorder="1" applyAlignment="1" applyProtection="1">
      <alignment vertical="center"/>
    </xf>
    <xf numFmtId="0" fontId="24" fillId="0" borderId="12" xfId="0" applyFont="1" applyBorder="1" applyAlignment="1">
      <alignment vertical="center"/>
    </xf>
    <xf numFmtId="0" fontId="24" fillId="0" borderId="43" xfId="0" applyFont="1" applyBorder="1" applyAlignment="1" applyProtection="1">
      <alignment horizontal="right" vertical="center" indent="1"/>
    </xf>
    <xf numFmtId="3" fontId="24" fillId="0" borderId="6" xfId="0" applyNumberFormat="1" applyFont="1" applyBorder="1" applyAlignment="1" applyProtection="1">
      <alignment horizontal="centerContinuous" vertical="center"/>
    </xf>
    <xf numFmtId="3" fontId="24" fillId="0" borderId="6" xfId="0" applyNumberFormat="1" applyFont="1" applyBorder="1" applyAlignment="1" applyProtection="1">
      <alignment horizontal="right" vertical="center" indent="1"/>
    </xf>
    <xf numFmtId="0" fontId="21" fillId="0" borderId="43" xfId="0" applyFont="1" applyBorder="1" applyAlignment="1" applyProtection="1">
      <alignment horizontal="center" vertical="center"/>
    </xf>
    <xf numFmtId="304" fontId="21" fillId="0" borderId="43" xfId="0" applyNumberFormat="1" applyFont="1" applyBorder="1" applyAlignment="1" applyProtection="1">
      <alignment horizontal="right" vertical="center"/>
    </xf>
    <xf numFmtId="304" fontId="21" fillId="0" borderId="43" xfId="0" applyNumberFormat="1" applyFont="1" applyBorder="1" applyAlignment="1" applyProtection="1">
      <alignment vertical="center"/>
    </xf>
    <xf numFmtId="0" fontId="24" fillId="0" borderId="43" xfId="0" applyFont="1" applyBorder="1" applyAlignment="1" applyProtection="1">
      <alignment vertical="center"/>
    </xf>
    <xf numFmtId="0" fontId="24" fillId="0" borderId="43" xfId="0" applyFont="1" applyBorder="1" applyAlignment="1">
      <alignment vertical="center"/>
    </xf>
    <xf numFmtId="0" fontId="24" fillId="0" borderId="43" xfId="0" applyFont="1" applyBorder="1" applyAlignment="1">
      <alignment horizontal="right" vertical="center" indent="1"/>
    </xf>
    <xf numFmtId="305" fontId="24" fillId="0" borderId="43" xfId="0" applyNumberFormat="1" applyFont="1" applyBorder="1" applyAlignment="1">
      <alignment vertical="center"/>
    </xf>
    <xf numFmtId="301" fontId="24" fillId="0" borderId="6" xfId="0" applyNumberFormat="1" applyFont="1" applyBorder="1" applyAlignment="1">
      <alignment vertical="center"/>
    </xf>
    <xf numFmtId="0" fontId="24" fillId="0" borderId="62" xfId="0" applyFont="1" applyBorder="1" applyAlignment="1">
      <alignment vertical="center"/>
    </xf>
    <xf numFmtId="0" fontId="24" fillId="0" borderId="44" xfId="0" applyFont="1" applyBorder="1" applyAlignment="1">
      <alignment horizontal="right" vertical="center" indent="1"/>
    </xf>
    <xf numFmtId="10" fontId="24" fillId="0" borderId="44" xfId="6" applyNumberFormat="1" applyFont="1" applyFill="1" applyBorder="1" applyAlignment="1">
      <alignment vertical="center"/>
    </xf>
    <xf numFmtId="0" fontId="120" fillId="0" borderId="0" xfId="0" applyFont="1" applyAlignment="1">
      <alignment vertical="center"/>
    </xf>
    <xf numFmtId="0" fontId="24" fillId="0" borderId="0" xfId="0" applyFont="1" applyAlignment="1" applyProtection="1">
      <alignment horizontal="right" vertical="center" indent="1"/>
    </xf>
    <xf numFmtId="0" fontId="24" fillId="0" borderId="15" xfId="0" applyFont="1" applyBorder="1" applyAlignment="1" applyProtection="1">
      <alignment vertical="center"/>
    </xf>
    <xf numFmtId="0" fontId="24" fillId="0" borderId="62" xfId="0" applyFont="1" applyBorder="1" applyAlignment="1" applyProtection="1">
      <alignment vertical="center"/>
    </xf>
    <xf numFmtId="0" fontId="24" fillId="0" borderId="44" xfId="0" applyFont="1" applyBorder="1" applyAlignment="1" applyProtection="1">
      <alignment horizontal="right" vertical="center" indent="1"/>
    </xf>
    <xf numFmtId="305" fontId="24" fillId="0" borderId="44" xfId="0" applyNumberFormat="1" applyFont="1" applyBorder="1" applyAlignment="1">
      <alignment vertical="center"/>
    </xf>
    <xf numFmtId="0" fontId="121" fillId="0" borderId="0" xfId="0" applyFont="1" applyAlignment="1">
      <alignment horizontal="center" vertical="center"/>
    </xf>
    <xf numFmtId="0" fontId="89" fillId="0" borderId="162" xfId="0" applyFont="1" applyBorder="1" applyAlignment="1">
      <alignment horizontal="center" vertical="center" wrapText="1"/>
    </xf>
    <xf numFmtId="0" fontId="90" fillId="0" borderId="162" xfId="0" applyFont="1" applyBorder="1" applyAlignment="1">
      <alignment horizontal="center" vertical="center" wrapText="1"/>
    </xf>
    <xf numFmtId="0" fontId="90" fillId="0" borderId="163" xfId="0" applyFont="1" applyBorder="1" applyAlignment="1">
      <alignment horizontal="center" vertical="center" wrapText="1"/>
    </xf>
    <xf numFmtId="0" fontId="91" fillId="0" borderId="164" xfId="0" applyFont="1" applyBorder="1" applyAlignment="1" applyProtection="1">
      <alignment vertical="center" wrapText="1"/>
      <protection locked="0"/>
    </xf>
    <xf numFmtId="0" fontId="91" fillId="0" borderId="165" xfId="0" applyFont="1" applyBorder="1" applyAlignment="1" applyProtection="1">
      <alignment vertical="center" wrapText="1"/>
      <protection locked="0"/>
    </xf>
    <xf numFmtId="0" fontId="91" fillId="0" borderId="166" xfId="0" applyFont="1" applyBorder="1" applyAlignment="1" applyProtection="1">
      <alignment vertical="center" wrapText="1"/>
      <protection locked="0"/>
    </xf>
    <xf numFmtId="0" fontId="91" fillId="0" borderId="167" xfId="0" applyFont="1" applyBorder="1" applyAlignment="1" applyProtection="1">
      <alignment vertical="center" wrapText="1"/>
      <protection locked="0"/>
    </xf>
    <xf numFmtId="0" fontId="122" fillId="0" borderId="0" xfId="0" applyFont="1"/>
    <xf numFmtId="0" fontId="123" fillId="0" borderId="0" xfId="0" applyFont="1"/>
    <xf numFmtId="298" fontId="92" fillId="19" borderId="162" xfId="0" applyNumberFormat="1" applyFont="1" applyFill="1" applyBorder="1" applyAlignment="1">
      <alignment horizontal="center" vertical="center" wrapText="1"/>
    </xf>
    <xf numFmtId="0" fontId="92" fillId="19" borderId="167" xfId="0" applyFont="1" applyFill="1" applyBorder="1" applyAlignment="1">
      <alignment horizontal="center" vertical="center" wrapText="1"/>
    </xf>
    <xf numFmtId="0" fontId="92" fillId="0" borderId="167" xfId="0" applyFont="1" applyBorder="1" applyAlignment="1">
      <alignment horizontal="center" vertical="center" wrapText="1"/>
    </xf>
    <xf numFmtId="0" fontId="92" fillId="19" borderId="167" xfId="0" applyFont="1" applyFill="1" applyBorder="1" applyAlignment="1">
      <alignment horizontal="center" vertical="center"/>
    </xf>
    <xf numFmtId="0" fontId="92" fillId="0" borderId="167" xfId="0" applyFont="1" applyBorder="1" applyAlignment="1">
      <alignment horizontal="center" vertical="center"/>
    </xf>
    <xf numFmtId="0" fontId="91" fillId="0" borderId="166" xfId="0" applyFont="1" applyBorder="1" applyAlignment="1">
      <alignment horizontal="right" vertical="center" wrapText="1" indent="1"/>
    </xf>
    <xf numFmtId="0" fontId="91" fillId="0" borderId="166" xfId="0" applyFont="1" applyBorder="1" applyAlignment="1">
      <alignment horizontal="right" vertical="center" indent="1"/>
    </xf>
    <xf numFmtId="0" fontId="91" fillId="0" borderId="168" xfId="0" applyFont="1" applyBorder="1" applyAlignment="1">
      <alignment horizontal="right" vertical="center" wrapText="1" indent="1"/>
    </xf>
    <xf numFmtId="0" fontId="97" fillId="0" borderId="169" xfId="0" applyFont="1" applyBorder="1" applyAlignment="1">
      <alignment horizontal="right" vertical="center" wrapText="1" indent="1"/>
    </xf>
    <xf numFmtId="0" fontId="90" fillId="0" borderId="166" xfId="0" applyFont="1" applyBorder="1" applyAlignment="1">
      <alignment horizontal="right" vertical="center" wrapText="1" indent="1"/>
    </xf>
    <xf numFmtId="0" fontId="124" fillId="0" borderId="0" xfId="0" applyFont="1" applyAlignment="1">
      <alignment vertical="center"/>
    </xf>
    <xf numFmtId="0" fontId="90" fillId="0" borderId="164" xfId="0" applyFont="1" applyBorder="1" applyAlignment="1">
      <alignment horizontal="center" vertical="center" wrapText="1"/>
    </xf>
    <xf numFmtId="0" fontId="101" fillId="0" borderId="165" xfId="0" applyFont="1" applyBorder="1" applyAlignment="1">
      <alignment horizontal="center" vertical="center" wrapText="1"/>
    </xf>
    <xf numFmtId="0" fontId="90" fillId="0" borderId="165" xfId="0" applyFont="1" applyBorder="1" applyAlignment="1">
      <alignment horizontal="center" vertical="center" wrapText="1"/>
    </xf>
    <xf numFmtId="0" fontId="90" fillId="0" borderId="167" xfId="0" applyFont="1" applyBorder="1" applyAlignment="1">
      <alignment vertical="center" wrapText="1"/>
    </xf>
    <xf numFmtId="0" fontId="90" fillId="0" borderId="167" xfId="0" applyFont="1" applyBorder="1" applyAlignment="1">
      <alignment horizontal="right" vertical="center" wrapText="1" indent="1"/>
    </xf>
    <xf numFmtId="0" fontId="39" fillId="0" borderId="0" xfId="0" applyFont="1" applyAlignment="1">
      <alignment horizontal="center"/>
    </xf>
    <xf numFmtId="307" fontId="98" fillId="19" borderId="167" xfId="0" applyNumberFormat="1" applyFont="1" applyFill="1" applyBorder="1" applyAlignment="1">
      <alignment horizontal="right" vertical="center" wrapText="1" indent="1"/>
    </xf>
    <xf numFmtId="307" fontId="98" fillId="0" borderId="167" xfId="0" applyNumberFormat="1" applyFont="1" applyBorder="1" applyAlignment="1">
      <alignment horizontal="right" vertical="center" wrapText="1" indent="1"/>
    </xf>
    <xf numFmtId="0" fontId="23" fillId="0" borderId="10" xfId="0" applyFont="1" applyBorder="1" applyAlignment="1">
      <alignment horizontal="center" vertical="center"/>
    </xf>
    <xf numFmtId="306" fontId="24" fillId="14" borderId="3" xfId="0" applyNumberFormat="1" applyFont="1" applyFill="1" applyBorder="1" applyAlignment="1" applyProtection="1">
      <alignment horizontal="right" vertical="center" indent="1"/>
      <protection locked="0"/>
    </xf>
    <xf numFmtId="306" fontId="24" fillId="14" borderId="60" xfId="0" applyNumberFormat="1" applyFont="1" applyFill="1" applyBorder="1" applyAlignment="1" applyProtection="1">
      <alignment horizontal="right" vertical="center" indent="1"/>
      <protection locked="0"/>
    </xf>
    <xf numFmtId="0" fontId="24" fillId="0" borderId="60" xfId="0" applyFont="1" applyBorder="1" applyAlignment="1" applyProtection="1">
      <alignment horizontal="right" vertical="center" indent="1"/>
    </xf>
    <xf numFmtId="0" fontId="21" fillId="0" borderId="40" xfId="0" applyFont="1" applyBorder="1" applyAlignment="1">
      <alignment horizontal="center" vertical="center"/>
    </xf>
    <xf numFmtId="306" fontId="24" fillId="14" borderId="29" xfId="0" applyNumberFormat="1" applyFont="1" applyFill="1" applyBorder="1" applyAlignment="1" applyProtection="1">
      <alignment horizontal="right" vertical="center" indent="1"/>
      <protection locked="0"/>
    </xf>
    <xf numFmtId="306" fontId="24" fillId="14" borderId="142" xfId="0" applyNumberFormat="1" applyFont="1" applyFill="1" applyBorder="1" applyAlignment="1" applyProtection="1">
      <alignment horizontal="right" vertical="center" indent="1"/>
      <protection locked="0"/>
    </xf>
    <xf numFmtId="0" fontId="24" fillId="0" borderId="15" xfId="0" applyFont="1" applyBorder="1" applyAlignment="1">
      <alignment horizontal="left" vertical="center" indent="2"/>
    </xf>
    <xf numFmtId="0" fontId="21" fillId="0" borderId="44" xfId="0" applyFont="1" applyBorder="1" applyAlignment="1">
      <alignment horizontal="center" vertical="center"/>
    </xf>
    <xf numFmtId="0" fontId="39" fillId="0" borderId="62" xfId="0" applyFont="1" applyBorder="1" applyAlignment="1" applyProtection="1">
      <alignment horizontal="right" vertical="center" indent="1"/>
    </xf>
    <xf numFmtId="0" fontId="22" fillId="0" borderId="69" xfId="0" applyFont="1" applyBorder="1" applyAlignment="1" applyProtection="1">
      <alignment vertical="center"/>
    </xf>
    <xf numFmtId="0" fontId="22" fillId="0" borderId="67" xfId="0" applyFont="1" applyBorder="1" applyAlignment="1" applyProtection="1">
      <alignment vertical="center"/>
    </xf>
    <xf numFmtId="0" fontId="18" fillId="0" borderId="67" xfId="0" applyFont="1" applyBorder="1" applyAlignment="1" applyProtection="1">
      <alignment horizontal="right" vertical="center" indent="1"/>
    </xf>
    <xf numFmtId="0" fontId="39" fillId="0" borderId="69" xfId="0" applyFont="1" applyBorder="1" applyAlignment="1" applyProtection="1">
      <alignment horizontal="right" vertical="center"/>
    </xf>
    <xf numFmtId="303" fontId="21" fillId="0" borderId="70" xfId="0" applyNumberFormat="1" applyFont="1" applyBorder="1" applyAlignment="1" applyProtection="1">
      <alignment vertical="center"/>
    </xf>
    <xf numFmtId="303" fontId="24" fillId="2" borderId="20" xfId="0" applyNumberFormat="1" applyFont="1" applyFill="1" applyBorder="1" applyAlignment="1" applyProtection="1">
      <alignment horizontal="right" vertical="center" shrinkToFit="1"/>
      <protection locked="0"/>
    </xf>
    <xf numFmtId="0" fontId="24" fillId="0" borderId="22" xfId="0" applyFont="1" applyBorder="1" applyAlignment="1" applyProtection="1">
      <alignment horizontal="center" vertical="center" shrinkToFit="1"/>
    </xf>
    <xf numFmtId="303" fontId="24" fillId="2" borderId="23" xfId="0" applyNumberFormat="1" applyFont="1" applyFill="1" applyBorder="1" applyAlignment="1" applyProtection="1">
      <alignment horizontal="right" vertical="center" shrinkToFit="1"/>
      <protection locked="0"/>
    </xf>
    <xf numFmtId="0" fontId="24" fillId="0" borderId="24" xfId="0" applyFont="1" applyBorder="1" applyAlignment="1" applyProtection="1">
      <alignment horizontal="center" vertical="center" shrinkToFit="1"/>
    </xf>
    <xf numFmtId="0" fontId="91" fillId="0" borderId="170" xfId="0" applyFont="1" applyBorder="1" applyAlignment="1">
      <alignment horizontal="right" vertical="center" wrapText="1" indent="1"/>
    </xf>
    <xf numFmtId="10" fontId="93" fillId="19" borderId="170" xfId="6" applyNumberFormat="1" applyFont="1" applyFill="1" applyBorder="1" applyAlignment="1">
      <alignment horizontal="right" vertical="center" wrapText="1" indent="1"/>
    </xf>
    <xf numFmtId="10" fontId="93" fillId="0" borderId="170" xfId="6" applyNumberFormat="1" applyFont="1" applyBorder="1" applyAlignment="1">
      <alignment horizontal="right" vertical="center" wrapText="1" indent="1"/>
    </xf>
    <xf numFmtId="307" fontId="98" fillId="19" borderId="170" xfId="0" applyNumberFormat="1" applyFont="1" applyFill="1" applyBorder="1" applyAlignment="1">
      <alignment horizontal="right" vertical="center" wrapText="1" indent="1"/>
    </xf>
    <xf numFmtId="307" fontId="98" fillId="0" borderId="170" xfId="0" applyNumberFormat="1" applyFont="1" applyBorder="1" applyAlignment="1">
      <alignment horizontal="right" vertical="center" wrapText="1" indent="1"/>
    </xf>
    <xf numFmtId="0" fontId="96" fillId="0" borderId="170" xfId="0" applyFont="1" applyBorder="1" applyAlignment="1">
      <alignment horizontal="right" vertical="center" wrapText="1" indent="1"/>
    </xf>
    <xf numFmtId="3" fontId="98" fillId="19" borderId="170" xfId="0" applyNumberFormat="1" applyFont="1" applyFill="1" applyBorder="1" applyAlignment="1">
      <alignment horizontal="right" vertical="center" wrapText="1" indent="1"/>
    </xf>
    <xf numFmtId="2" fontId="93" fillId="19" borderId="170" xfId="0" applyNumberFormat="1" applyFont="1" applyFill="1" applyBorder="1" applyAlignment="1">
      <alignment horizontal="right" vertical="center" wrapText="1" indent="1"/>
    </xf>
    <xf numFmtId="1" fontId="39" fillId="0" borderId="171" xfId="5" applyNumberFormat="1" applyFont="1" applyBorder="1" applyAlignment="1">
      <alignment horizontal="left" vertical="center"/>
    </xf>
    <xf numFmtId="0" fontId="39" fillId="0" borderId="171" xfId="5" applyFont="1" applyBorder="1" applyAlignment="1">
      <alignment horizontal="right" vertical="center" indent="1"/>
    </xf>
    <xf numFmtId="308" fontId="39" fillId="0" borderId="171" xfId="0" applyNumberFormat="1" applyFont="1" applyBorder="1" applyAlignment="1">
      <alignment vertical="center"/>
    </xf>
    <xf numFmtId="0" fontId="39" fillId="0" borderId="171" xfId="0" applyFont="1" applyBorder="1" applyAlignment="1">
      <alignment horizontal="left" vertical="center" indent="1"/>
    </xf>
    <xf numFmtId="0" fontId="24" fillId="0" borderId="172" xfId="5" applyFont="1" applyBorder="1" applyAlignment="1">
      <alignment horizontal="right" vertical="center" indent="1"/>
    </xf>
    <xf numFmtId="1" fontId="18" fillId="0" borderId="173" xfId="5" applyNumberFormat="1" applyFont="1" applyBorder="1" applyAlignment="1">
      <alignment horizontal="centerContinuous" vertical="center"/>
    </xf>
    <xf numFmtId="0" fontId="24" fillId="0" borderId="174" xfId="5" applyFont="1" applyBorder="1" applyAlignment="1">
      <alignment horizontal="centerContinuous" vertical="center"/>
    </xf>
    <xf numFmtId="1" fontId="24" fillId="0" borderId="175" xfId="5" applyNumberFormat="1" applyFont="1" applyBorder="1" applyAlignment="1">
      <alignment horizontal="centerContinuous" vertical="center"/>
    </xf>
    <xf numFmtId="1" fontId="24" fillId="0" borderId="176" xfId="5" applyNumberFormat="1" applyFont="1" applyBorder="1" applyAlignment="1">
      <alignment horizontal="left" vertical="center"/>
    </xf>
    <xf numFmtId="229" fontId="24" fillId="0" borderId="177" xfId="0" applyNumberFormat="1" applyFont="1" applyBorder="1" applyAlignment="1">
      <alignment vertical="center"/>
    </xf>
    <xf numFmtId="10" fontId="24" fillId="0" borderId="177" xfId="6" applyNumberFormat="1" applyFont="1" applyFill="1" applyBorder="1" applyAlignment="1">
      <alignment horizontal="right" vertical="center" indent="1"/>
    </xf>
    <xf numFmtId="1" fontId="24" fillId="0" borderId="178" xfId="5" applyNumberFormat="1" applyFont="1" applyBorder="1" applyAlignment="1">
      <alignment horizontal="left" vertical="center"/>
    </xf>
    <xf numFmtId="0" fontId="24" fillId="0" borderId="179" xfId="5" applyFont="1" applyBorder="1" applyAlignment="1">
      <alignment horizontal="right" vertical="center" indent="1"/>
    </xf>
    <xf numFmtId="229" fontId="21" fillId="0" borderId="180" xfId="0" applyNumberFormat="1" applyFont="1" applyBorder="1" applyAlignment="1">
      <alignment vertical="center"/>
    </xf>
    <xf numFmtId="203" fontId="53" fillId="0" borderId="0" xfId="0" applyNumberFormat="1" applyFont="1" applyAlignment="1">
      <alignment horizontal="left" indent="2"/>
    </xf>
    <xf numFmtId="208" fontId="119" fillId="0" borderId="0" xfId="0" applyNumberFormat="1" applyFont="1" applyAlignment="1">
      <alignment horizontal="center"/>
    </xf>
    <xf numFmtId="280" fontId="119" fillId="0" borderId="0" xfId="0" applyNumberFormat="1" applyFont="1" applyAlignment="1">
      <alignment horizontal="center"/>
    </xf>
    <xf numFmtId="298" fontId="34" fillId="0" borderId="0" xfId="0" applyNumberFormat="1" applyFont="1" applyAlignment="1">
      <alignment horizontal="center"/>
    </xf>
    <xf numFmtId="179" fontId="53" fillId="0" borderId="0" xfId="0" applyNumberFormat="1" applyFont="1" applyAlignment="1">
      <alignment horizontal="left" indent="2" readingOrder="1"/>
    </xf>
    <xf numFmtId="179" fontId="53" fillId="0" borderId="0" xfId="0" applyNumberFormat="1" applyFont="1" applyAlignment="1">
      <alignment horizontal="left" wrapText="1" indent="2" readingOrder="1"/>
    </xf>
    <xf numFmtId="179" fontId="53" fillId="0" borderId="0" xfId="0" applyNumberFormat="1" applyFont="1" applyAlignment="1">
      <alignment horizontal="center"/>
    </xf>
    <xf numFmtId="298" fontId="53" fillId="0" borderId="0" xfId="0" applyNumberFormat="1" applyFont="1" applyAlignment="1">
      <alignment horizontal="left" indent="2"/>
    </xf>
    <xf numFmtId="179" fontId="53" fillId="0" borderId="0" xfId="0" applyNumberFormat="1" applyFont="1" applyAlignment="1">
      <alignment horizontal="right" vertical="center" indent="2"/>
    </xf>
    <xf numFmtId="179" fontId="53" fillId="0" borderId="0" xfId="0" applyNumberFormat="1" applyFont="1" applyAlignment="1">
      <alignment horizontal="center" wrapText="1"/>
    </xf>
    <xf numFmtId="0" fontId="24" fillId="0" borderId="49" xfId="0" applyFont="1" applyBorder="1" applyAlignment="1">
      <alignment horizontal="right" vertical="center" indent="2"/>
    </xf>
    <xf numFmtId="0" fontId="24" fillId="0" borderId="42" xfId="0" applyFont="1" applyBorder="1" applyAlignment="1" applyProtection="1">
      <alignment horizontal="left" vertical="center" indent="1"/>
    </xf>
    <xf numFmtId="0" fontId="24" fillId="0" borderId="26" xfId="0" applyFont="1" applyBorder="1" applyAlignment="1">
      <alignment horizontal="right" vertical="center"/>
    </xf>
    <xf numFmtId="0" fontId="21" fillId="0" borderId="61" xfId="0" applyFont="1" applyBorder="1" applyAlignment="1">
      <alignment horizontal="center" vertical="center"/>
    </xf>
    <xf numFmtId="309" fontId="24" fillId="0" borderId="29" xfId="6" applyNumberFormat="1" applyFont="1" applyFill="1" applyBorder="1" applyAlignment="1" applyProtection="1">
      <alignment horizontal="right" vertical="center" indent="1"/>
    </xf>
    <xf numFmtId="0" fontId="22" fillId="0" borderId="26" xfId="0" applyFont="1" applyBorder="1" applyAlignment="1" applyProtection="1">
      <alignment vertical="center"/>
    </xf>
    <xf numFmtId="0" fontId="22" fillId="0" borderId="56" xfId="0" applyFont="1" applyBorder="1" applyAlignment="1" applyProtection="1">
      <alignment vertical="center"/>
    </xf>
    <xf numFmtId="306" fontId="24" fillId="0" borderId="29" xfId="0" applyNumberFormat="1" applyFont="1" applyBorder="1" applyAlignment="1" applyProtection="1">
      <alignment horizontal="right" vertical="center" indent="1"/>
    </xf>
    <xf numFmtId="0" fontId="24" fillId="0" borderId="57" xfId="0" applyFont="1" applyBorder="1" applyAlignment="1">
      <alignment horizontal="left" vertical="center" indent="2"/>
    </xf>
    <xf numFmtId="0" fontId="24" fillId="0" borderId="62" xfId="0" applyFont="1" applyBorder="1" applyAlignment="1" applyProtection="1">
      <alignment horizontal="right" vertical="center"/>
    </xf>
    <xf numFmtId="0" fontId="21" fillId="0" borderId="62" xfId="0" applyFont="1" applyBorder="1" applyAlignment="1">
      <alignment horizontal="center" vertical="center"/>
    </xf>
    <xf numFmtId="309" fontId="24" fillId="0" borderId="3" xfId="0" applyNumberFormat="1" applyFont="1" applyBorder="1" applyAlignment="1" applyProtection="1">
      <alignment horizontal="right" vertical="center" indent="1"/>
    </xf>
    <xf numFmtId="306" fontId="24" fillId="0" borderId="3" xfId="0" applyNumberFormat="1" applyFont="1" applyBorder="1" applyAlignment="1" applyProtection="1">
      <alignment horizontal="right" vertical="center" indent="1"/>
    </xf>
    <xf numFmtId="9" fontId="47" fillId="0" borderId="3" xfId="0" applyNumberFormat="1" applyFont="1" applyBorder="1" applyAlignment="1" applyProtection="1">
      <alignment horizontal="center" vertical="center"/>
      <protection locked="0"/>
    </xf>
    <xf numFmtId="309" fontId="98" fillId="19" borderId="170" xfId="6" applyNumberFormat="1" applyFont="1" applyFill="1" applyBorder="1" applyAlignment="1">
      <alignment horizontal="right" vertical="center" wrapText="1" indent="1"/>
    </xf>
    <xf numFmtId="309" fontId="98" fillId="0" borderId="170" xfId="6" applyNumberFormat="1" applyFont="1" applyBorder="1" applyAlignment="1">
      <alignment horizontal="right" vertical="center" wrapText="1" indent="1"/>
    </xf>
    <xf numFmtId="0" fontId="21" fillId="20" borderId="1" xfId="0" applyFont="1" applyFill="1" applyBorder="1" applyAlignment="1" applyProtection="1">
      <alignment horizontal="center" vertical="center"/>
      <protection locked="0"/>
    </xf>
    <xf numFmtId="3" fontId="21" fillId="0" borderId="18" xfId="0" applyNumberFormat="1" applyFont="1" applyBorder="1" applyAlignment="1">
      <alignment horizontal="center" vertical="center" wrapText="1"/>
    </xf>
    <xf numFmtId="3" fontId="24" fillId="13" borderId="19" xfId="0" applyNumberFormat="1" applyFont="1" applyFill="1" applyBorder="1" applyAlignment="1" applyProtection="1">
      <alignment horizontal="right" indent="1"/>
      <protection locked="0"/>
    </xf>
    <xf numFmtId="3" fontId="24" fillId="0" borderId="24" xfId="0" applyNumberFormat="1" applyFont="1" applyBorder="1" applyAlignment="1" applyProtection="1">
      <alignment horizontal="right" vertical="center" indent="1"/>
    </xf>
    <xf numFmtId="0" fontId="22" fillId="0" borderId="20" xfId="0" applyFont="1" applyBorder="1" applyAlignment="1">
      <alignment horizontal="left" vertical="center" indent="1"/>
    </xf>
    <xf numFmtId="0" fontId="22" fillId="0" borderId="23" xfId="0" applyFont="1" applyBorder="1" applyAlignment="1">
      <alignment horizontal="left" vertical="center" indent="1"/>
    </xf>
    <xf numFmtId="9" fontId="47" fillId="0" borderId="50" xfId="0" applyNumberFormat="1" applyFont="1" applyBorder="1" applyAlignment="1">
      <alignment horizontal="center" vertical="center"/>
    </xf>
    <xf numFmtId="9" fontId="47" fillId="0" borderId="43" xfId="0" applyNumberFormat="1" applyFont="1" applyBorder="1" applyAlignment="1">
      <alignment horizontal="center" vertical="center"/>
    </xf>
    <xf numFmtId="0" fontId="39" fillId="0" borderId="34" xfId="0" applyFont="1" applyBorder="1" applyAlignment="1">
      <alignment horizontal="left" vertical="center" wrapText="1" indent="1"/>
    </xf>
    <xf numFmtId="167" fontId="39" fillId="0" borderId="11" xfId="6" applyNumberFormat="1" applyFont="1" applyFill="1" applyBorder="1" applyAlignment="1" applyProtection="1">
      <alignment horizontal="center"/>
    </xf>
    <xf numFmtId="167" fontId="39" fillId="0" borderId="19" xfId="6" applyNumberFormat="1" applyFont="1" applyFill="1" applyBorder="1" applyAlignment="1" applyProtection="1">
      <alignment horizontal="center"/>
    </xf>
    <xf numFmtId="0" fontId="120" fillId="0" borderId="0" xfId="0" applyFont="1" applyAlignment="1">
      <alignment horizontal="center" vertical="center" wrapText="1"/>
    </xf>
    <xf numFmtId="292" fontId="24" fillId="0" borderId="35" xfId="6" quotePrefix="1" applyNumberFormat="1" applyFont="1" applyFill="1" applyBorder="1" applyAlignment="1" applyProtection="1">
      <alignment horizontal="right" vertical="center"/>
    </xf>
    <xf numFmtId="292" fontId="24" fillId="0" borderId="3" xfId="6" quotePrefix="1" applyNumberFormat="1" applyFont="1" applyFill="1" applyBorder="1" applyAlignment="1" applyProtection="1">
      <alignment horizontal="right" vertical="center"/>
    </xf>
    <xf numFmtId="292" fontId="24" fillId="0" borderId="15" xfId="6" quotePrefix="1" applyNumberFormat="1" applyFont="1" applyFill="1" applyBorder="1" applyAlignment="1" applyProtection="1">
      <alignment horizontal="right" vertical="center"/>
    </xf>
    <xf numFmtId="281" fontId="39" fillId="0" borderId="67" xfId="0" applyNumberFormat="1" applyFont="1" applyBorder="1" applyAlignment="1" applyProtection="1">
      <alignment vertical="center"/>
    </xf>
    <xf numFmtId="255" fontId="39" fillId="0" borderId="23" xfId="6" applyNumberFormat="1" applyFont="1" applyBorder="1" applyAlignment="1">
      <alignment horizontal="center" vertical="center"/>
    </xf>
    <xf numFmtId="255" fontId="39" fillId="0" borderId="1" xfId="6" applyNumberFormat="1" applyFont="1" applyBorder="1" applyAlignment="1">
      <alignment horizontal="center" vertical="center"/>
    </xf>
    <xf numFmtId="255" fontId="39" fillId="0" borderId="24" xfId="6" applyNumberFormat="1" applyFont="1" applyFill="1" applyBorder="1" applyAlignment="1">
      <alignment horizontal="center" vertical="center"/>
    </xf>
    <xf numFmtId="200" fontId="24" fillId="15" borderId="14" xfId="0" applyNumberFormat="1" applyFont="1" applyFill="1" applyBorder="1" applyProtection="1">
      <protection locked="0"/>
    </xf>
    <xf numFmtId="3" fontId="81" fillId="0" borderId="10" xfId="0" applyNumberFormat="1" applyFont="1" applyBorder="1" applyAlignment="1" applyProtection="1">
      <alignment horizontal="center" wrapText="1"/>
      <protection locked="0"/>
    </xf>
    <xf numFmtId="3" fontId="24" fillId="0" borderId="0" xfId="0" applyNumberFormat="1" applyFont="1" applyAlignment="1" applyProtection="1">
      <alignment horizontal="center" vertical="center"/>
      <protection locked="0"/>
    </xf>
    <xf numFmtId="3" fontId="21" fillId="0" borderId="0" xfId="0" applyNumberFormat="1" applyFont="1" applyAlignment="1" applyProtection="1">
      <alignment horizontal="center" vertical="center"/>
      <protection locked="0"/>
    </xf>
    <xf numFmtId="280" fontId="18" fillId="0" borderId="21" xfId="0" applyNumberFormat="1" applyFont="1" applyBorder="1" applyAlignment="1">
      <alignment horizontal="center"/>
    </xf>
    <xf numFmtId="280" fontId="18" fillId="0" borderId="71" xfId="0" applyNumberFormat="1" applyFont="1" applyBorder="1" applyAlignment="1">
      <alignment horizontal="center"/>
    </xf>
    <xf numFmtId="280" fontId="18" fillId="0" borderId="42" xfId="0" applyNumberFormat="1" applyFont="1" applyBorder="1" applyAlignment="1">
      <alignment horizontal="center"/>
    </xf>
    <xf numFmtId="0" fontId="23" fillId="0" borderId="5" xfId="0" applyFont="1" applyBorder="1" applyAlignment="1">
      <alignment horizontal="centerContinuous" vertical="center"/>
    </xf>
    <xf numFmtId="0" fontId="23" fillId="0" borderId="137" xfId="0" applyFont="1" applyBorder="1" applyAlignment="1">
      <alignment horizontal="centerContinuous" vertical="center"/>
    </xf>
    <xf numFmtId="304" fontId="39" fillId="0" borderId="50" xfId="3" applyNumberFormat="1" applyFont="1" applyBorder="1"/>
    <xf numFmtId="304" fontId="39" fillId="0" borderId="49" xfId="3" applyNumberFormat="1" applyFont="1" applyBorder="1"/>
    <xf numFmtId="304" fontId="39" fillId="0" borderId="71" xfId="3" applyNumberFormat="1" applyFont="1" applyBorder="1"/>
    <xf numFmtId="304" fontId="39" fillId="0" borderId="22" xfId="3" applyNumberFormat="1" applyFont="1" applyBorder="1"/>
    <xf numFmtId="304" fontId="39" fillId="0" borderId="6" xfId="3" applyNumberFormat="1" applyFont="1" applyBorder="1"/>
    <xf numFmtId="304" fontId="39" fillId="0" borderId="24" xfId="3" applyNumberFormat="1" applyFont="1" applyBorder="1"/>
    <xf numFmtId="304" fontId="39" fillId="0" borderId="69" xfId="3" applyNumberFormat="1" applyFont="1" applyBorder="1"/>
    <xf numFmtId="304" fontId="39" fillId="0" borderId="53" xfId="3" applyNumberFormat="1" applyFont="1" applyBorder="1"/>
    <xf numFmtId="304" fontId="39" fillId="0" borderId="47" xfId="3" applyNumberFormat="1" applyFont="1" applyBorder="1"/>
    <xf numFmtId="304" fontId="39" fillId="0" borderId="8" xfId="3" applyNumberFormat="1" applyFont="1" applyBorder="1" applyAlignment="1">
      <alignment shrinkToFit="1"/>
    </xf>
    <xf numFmtId="304" fontId="39" fillId="0" borderId="72" xfId="3" applyNumberFormat="1" applyFont="1" applyBorder="1" applyAlignment="1">
      <alignment shrinkToFit="1"/>
    </xf>
    <xf numFmtId="304" fontId="39" fillId="0" borderId="25" xfId="3" applyNumberFormat="1" applyFont="1" applyBorder="1" applyAlignment="1">
      <alignment shrinkToFit="1"/>
    </xf>
    <xf numFmtId="0" fontId="24" fillId="0" borderId="142" xfId="0" applyFont="1" applyBorder="1" applyAlignment="1" applyProtection="1">
      <alignment horizontal="right" vertical="center" indent="1"/>
    </xf>
    <xf numFmtId="0" fontId="24" fillId="0" borderId="56" xfId="0" applyFont="1" applyBorder="1" applyAlignment="1">
      <alignment horizontal="left" vertical="center" indent="2"/>
    </xf>
    <xf numFmtId="0" fontId="39" fillId="14" borderId="1" xfId="0" applyFont="1" applyFill="1" applyBorder="1" applyAlignment="1" applyProtection="1">
      <alignment horizontal="center" vertical="center"/>
      <protection locked="0"/>
    </xf>
    <xf numFmtId="309" fontId="24" fillId="0" borderId="44" xfId="6" applyNumberFormat="1" applyFont="1" applyBorder="1" applyAlignment="1" applyProtection="1">
      <alignment horizontal="right" vertical="center" indent="1"/>
    </xf>
    <xf numFmtId="290" fontId="23" fillId="0" borderId="25" xfId="0" applyNumberFormat="1" applyFont="1" applyBorder="1" applyAlignment="1">
      <alignment horizontal="center"/>
    </xf>
    <xf numFmtId="290" fontId="21" fillId="21" borderId="35" xfId="6" applyNumberFormat="1" applyFont="1" applyFill="1" applyBorder="1" applyAlignment="1">
      <alignment horizontal="center"/>
    </xf>
    <xf numFmtId="3" fontId="125" fillId="0" borderId="0" xfId="0" applyNumberFormat="1" applyFont="1" applyAlignment="1">
      <alignment horizontal="left" indent="2"/>
    </xf>
    <xf numFmtId="0" fontId="62" fillId="0" borderId="56" xfId="0" applyFont="1" applyBorder="1"/>
    <xf numFmtId="0" fontId="62" fillId="0" borderId="26" xfId="0" applyFont="1" applyBorder="1"/>
    <xf numFmtId="208" fontId="45" fillId="0" borderId="30" xfId="0" applyNumberFormat="1" applyFont="1" applyBorder="1" applyAlignment="1">
      <alignment horizontal="center" wrapText="1"/>
    </xf>
    <xf numFmtId="208" fontId="45" fillId="0" borderId="26" xfId="0" applyNumberFormat="1" applyFont="1" applyBorder="1" applyAlignment="1">
      <alignment horizontal="center" wrapText="1"/>
    </xf>
    <xf numFmtId="208" fontId="45" fillId="0" borderId="56" xfId="0" applyNumberFormat="1" applyFont="1" applyBorder="1" applyAlignment="1">
      <alignment horizontal="center" wrapText="1"/>
    </xf>
    <xf numFmtId="292" fontId="39" fillId="0" borderId="11" xfId="0" applyNumberFormat="1" applyFont="1" applyBorder="1"/>
    <xf numFmtId="292" fontId="39" fillId="0" borderId="12" xfId="0" applyNumberFormat="1" applyFont="1" applyBorder="1"/>
    <xf numFmtId="292" fontId="39" fillId="0" borderId="6" xfId="0" applyNumberFormat="1" applyFont="1" applyBorder="1"/>
    <xf numFmtId="0" fontId="23" fillId="0" borderId="43" xfId="0" applyFont="1" applyBorder="1" applyAlignment="1">
      <alignment horizontal="right" indent="1"/>
    </xf>
    <xf numFmtId="311" fontId="23" fillId="0" borderId="11" xfId="0" applyNumberFormat="1" applyFont="1" applyBorder="1" applyAlignment="1">
      <alignment horizontal="center"/>
    </xf>
    <xf numFmtId="311" fontId="23" fillId="0" borderId="12" xfId="0" applyNumberFormat="1" applyFont="1" applyBorder="1" applyAlignment="1">
      <alignment horizontal="center"/>
    </xf>
    <xf numFmtId="311" fontId="23" fillId="0" borderId="6" xfId="0" applyNumberFormat="1" applyFont="1" applyBorder="1" applyAlignment="1">
      <alignment horizontal="center"/>
    </xf>
    <xf numFmtId="0" fontId="109" fillId="0" borderId="43" xfId="0" applyFont="1" applyBorder="1" applyAlignment="1">
      <alignment horizontal="right" indent="1"/>
    </xf>
    <xf numFmtId="292" fontId="39" fillId="0" borderId="11" xfId="0" applyNumberFormat="1" applyFont="1" applyBorder="1" applyAlignment="1">
      <alignment horizontal="center"/>
    </xf>
    <xf numFmtId="292" fontId="39" fillId="0" borderId="12" xfId="0" applyNumberFormat="1" applyFont="1" applyBorder="1" applyAlignment="1">
      <alignment horizontal="center"/>
    </xf>
    <xf numFmtId="292" fontId="39" fillId="0" borderId="6" xfId="0" applyNumberFormat="1" applyFont="1" applyBorder="1" applyAlignment="1">
      <alignment horizontal="center"/>
    </xf>
    <xf numFmtId="0" fontId="24" fillId="0" borderId="43" xfId="0" applyFont="1" applyBorder="1" applyAlignment="1">
      <alignment horizontal="right" indent="1"/>
    </xf>
    <xf numFmtId="312" fontId="39" fillId="0" borderId="11" xfId="0" applyNumberFormat="1" applyFont="1" applyBorder="1"/>
    <xf numFmtId="312" fontId="39" fillId="0" borderId="12" xfId="0" applyNumberFormat="1" applyFont="1" applyBorder="1"/>
    <xf numFmtId="312" fontId="39" fillId="0" borderId="6" xfId="0" applyNumberFormat="1" applyFont="1" applyBorder="1"/>
    <xf numFmtId="0" fontId="22" fillId="0" borderId="15" xfId="0" applyFont="1" applyBorder="1"/>
    <xf numFmtId="0" fontId="21" fillId="0" borderId="44" xfId="0" applyFont="1" applyBorder="1" applyAlignment="1">
      <alignment horizontal="right" indent="1"/>
    </xf>
    <xf numFmtId="292" fontId="23" fillId="0" borderId="19" xfId="0" applyNumberFormat="1" applyFont="1" applyBorder="1"/>
    <xf numFmtId="292" fontId="23" fillId="0" borderId="62" xfId="0" applyNumberFormat="1" applyFont="1" applyBorder="1"/>
    <xf numFmtId="292" fontId="23" fillId="0" borderId="15" xfId="0" applyNumberFormat="1" applyFont="1" applyBorder="1"/>
    <xf numFmtId="3" fontId="18" fillId="0" borderId="181" xfId="0" applyNumberFormat="1" applyFont="1" applyBorder="1" applyAlignment="1">
      <alignment horizontal="center" vertical="center"/>
    </xf>
    <xf numFmtId="313" fontId="23" fillId="0" borderId="11" xfId="0" applyNumberFormat="1" applyFont="1" applyBorder="1"/>
    <xf numFmtId="313" fontId="23" fillId="0" borderId="12" xfId="0" applyNumberFormat="1" applyFont="1" applyBorder="1"/>
    <xf numFmtId="313" fontId="23" fillId="0" borderId="98" xfId="0" applyNumberFormat="1" applyFont="1" applyBorder="1"/>
    <xf numFmtId="313" fontId="39" fillId="0" borderId="11" xfId="0" applyNumberFormat="1" applyFont="1" applyBorder="1"/>
    <xf numFmtId="313" fontId="39" fillId="0" borderId="12" xfId="0" applyNumberFormat="1" applyFont="1" applyBorder="1"/>
    <xf numFmtId="313" fontId="39" fillId="0" borderId="98" xfId="0" applyNumberFormat="1" applyFont="1" applyBorder="1"/>
    <xf numFmtId="313" fontId="23" fillId="0" borderId="38" xfId="0" applyNumberFormat="1" applyFont="1" applyBorder="1"/>
    <xf numFmtId="313" fontId="23" fillId="0" borderId="67" xfId="0" applyNumberFormat="1" applyFont="1" applyBorder="1"/>
    <xf numFmtId="313" fontId="23" fillId="0" borderId="157" xfId="0" applyNumberFormat="1" applyFont="1" applyBorder="1"/>
    <xf numFmtId="314" fontId="24" fillId="0" borderId="124" xfId="6" applyNumberFormat="1" applyFont="1" applyBorder="1" applyAlignment="1">
      <alignment horizontal="center" vertical="center"/>
    </xf>
    <xf numFmtId="314" fontId="24" fillId="0" borderId="123" xfId="6" applyNumberFormat="1" applyFont="1" applyBorder="1" applyAlignment="1">
      <alignment horizontal="center" vertical="center"/>
    </xf>
    <xf numFmtId="314" fontId="24" fillId="0" borderId="124" xfId="6" applyNumberFormat="1" applyFont="1" applyFill="1" applyBorder="1" applyAlignment="1">
      <alignment horizontal="center" vertical="center"/>
    </xf>
    <xf numFmtId="314" fontId="24" fillId="0" borderId="112" xfId="6" applyNumberFormat="1" applyFont="1" applyFill="1" applyBorder="1" applyAlignment="1">
      <alignment horizontal="center" vertical="center"/>
    </xf>
    <xf numFmtId="313" fontId="23" fillId="0" borderId="10" xfId="0" applyNumberFormat="1" applyFont="1" applyBorder="1" applyAlignment="1">
      <alignment vertical="center"/>
    </xf>
    <xf numFmtId="313" fontId="23" fillId="0" borderId="5" xfId="0" applyNumberFormat="1" applyFont="1" applyBorder="1" applyAlignment="1">
      <alignment vertical="center"/>
    </xf>
    <xf numFmtId="313" fontId="23" fillId="0" borderId="16" xfId="0" applyNumberFormat="1" applyFont="1" applyBorder="1" applyAlignment="1">
      <alignment vertical="center"/>
    </xf>
    <xf numFmtId="0" fontId="3" fillId="0" borderId="0" xfId="7"/>
    <xf numFmtId="0" fontId="3" fillId="0" borderId="0" xfId="7" quotePrefix="1"/>
    <xf numFmtId="9" fontId="3" fillId="0" borderId="0" xfId="7" applyNumberFormat="1" applyAlignment="1">
      <alignment horizontal="right" indent="1"/>
    </xf>
    <xf numFmtId="9" fontId="3" fillId="0" borderId="0" xfId="7" applyNumberFormat="1"/>
    <xf numFmtId="6" fontId="3" fillId="0" borderId="0" xfId="7" applyNumberFormat="1"/>
    <xf numFmtId="0" fontId="3" fillId="0" borderId="0" xfId="7" applyAlignment="1">
      <alignment horizontal="right" indent="1"/>
    </xf>
    <xf numFmtId="10" fontId="0" fillId="0" borderId="0" xfId="8" applyNumberFormat="1" applyFont="1"/>
    <xf numFmtId="0" fontId="3" fillId="20" borderId="0" xfId="7" applyFill="1" applyAlignment="1">
      <alignment horizontal="centerContinuous" vertical="center" wrapText="1"/>
    </xf>
    <xf numFmtId="0" fontId="3" fillId="22" borderId="37" xfId="7" applyFill="1" applyBorder="1" applyAlignment="1">
      <alignment horizontal="centerContinuous" wrapText="1"/>
    </xf>
    <xf numFmtId="0" fontId="3" fillId="22" borderId="25" xfId="7" applyFill="1" applyBorder="1" applyAlignment="1">
      <alignment horizontal="centerContinuous" wrapText="1"/>
    </xf>
    <xf numFmtId="0" fontId="3" fillId="0" borderId="0" xfId="7" applyAlignment="1">
      <alignment horizontal="center" vertical="center" wrapText="1"/>
    </xf>
    <xf numFmtId="0" fontId="3" fillId="20" borderId="86" xfId="7" applyFill="1" applyBorder="1" applyAlignment="1">
      <alignment horizontal="center" vertical="center" wrapText="1"/>
    </xf>
    <xf numFmtId="4" fontId="3" fillId="0" borderId="20" xfId="7" applyNumberFormat="1" applyBorder="1" applyAlignment="1">
      <alignment horizontal="right" vertical="center" indent="1"/>
    </xf>
    <xf numFmtId="4" fontId="3" fillId="0" borderId="22" xfId="7" applyNumberFormat="1" applyBorder="1" applyAlignment="1">
      <alignment horizontal="right" vertical="center" indent="1"/>
    </xf>
    <xf numFmtId="0" fontId="3" fillId="0" borderId="54" xfId="7" applyBorder="1" applyAlignment="1">
      <alignment horizontal="right" indent="1"/>
    </xf>
    <xf numFmtId="2" fontId="3" fillId="0" borderId="4" xfId="7" applyNumberFormat="1" applyBorder="1" applyAlignment="1">
      <alignment horizontal="right" indent="1"/>
    </xf>
    <xf numFmtId="0" fontId="3" fillId="0" borderId="48" xfId="7" applyBorder="1" applyAlignment="1">
      <alignment horizontal="right" indent="1"/>
    </xf>
    <xf numFmtId="4" fontId="3" fillId="0" borderId="23" xfId="7" applyNumberFormat="1" applyBorder="1" applyAlignment="1">
      <alignment horizontal="right" vertical="center" indent="1"/>
    </xf>
    <xf numFmtId="4" fontId="3" fillId="0" borderId="24" xfId="7" applyNumberFormat="1" applyBorder="1" applyAlignment="1">
      <alignment horizontal="right" vertical="center" indent="1"/>
    </xf>
    <xf numFmtId="4" fontId="3" fillId="0" borderId="51" xfId="7" applyNumberFormat="1" applyBorder="1" applyAlignment="1">
      <alignment horizontal="right" indent="1"/>
    </xf>
    <xf numFmtId="2" fontId="3" fillId="0" borderId="24" xfId="7" applyNumberFormat="1" applyBorder="1" applyAlignment="1">
      <alignment horizontal="right" indent="1"/>
    </xf>
    <xf numFmtId="4" fontId="3" fillId="0" borderId="23" xfId="7" applyNumberFormat="1" applyBorder="1" applyAlignment="1">
      <alignment horizontal="right" indent="1"/>
    </xf>
    <xf numFmtId="4" fontId="3" fillId="23" borderId="51" xfId="7" applyNumberFormat="1" applyFill="1" applyBorder="1" applyAlignment="1">
      <alignment horizontal="right" indent="1"/>
    </xf>
    <xf numFmtId="4" fontId="3" fillId="0" borderId="34" xfId="7" applyNumberFormat="1" applyBorder="1" applyAlignment="1">
      <alignment horizontal="right" vertical="center" indent="1"/>
    </xf>
    <xf numFmtId="4" fontId="3" fillId="0" borderId="3" xfId="7" applyNumberFormat="1" applyBorder="1" applyAlignment="1">
      <alignment horizontal="right" vertical="center" indent="1"/>
    </xf>
    <xf numFmtId="4" fontId="3" fillId="0" borderId="63" xfId="7" applyNumberFormat="1" applyBorder="1" applyAlignment="1">
      <alignment horizontal="right" indent="1"/>
    </xf>
    <xf numFmtId="2" fontId="3" fillId="0" borderId="3" xfId="7" applyNumberFormat="1" applyBorder="1" applyAlignment="1">
      <alignment horizontal="right" indent="1"/>
    </xf>
    <xf numFmtId="4" fontId="3" fillId="0" borderId="34" xfId="7" applyNumberFormat="1" applyBorder="1" applyAlignment="1">
      <alignment horizontal="right" indent="1"/>
    </xf>
    <xf numFmtId="4" fontId="3" fillId="0" borderId="0" xfId="7" applyNumberFormat="1" applyAlignment="1">
      <alignment horizontal="right" vertical="center" indent="1"/>
    </xf>
    <xf numFmtId="292" fontId="39" fillId="14" borderId="11" xfId="0" applyNumberFormat="1" applyFont="1" applyFill="1" applyBorder="1" applyProtection="1">
      <protection locked="0"/>
    </xf>
    <xf numFmtId="0" fontId="22" fillId="0" borderId="49" xfId="0" applyFont="1" applyBorder="1"/>
    <xf numFmtId="0" fontId="24" fillId="0" borderId="42" xfId="0" applyFont="1" applyBorder="1" applyAlignment="1">
      <alignment horizontal="right" indent="1"/>
    </xf>
    <xf numFmtId="312" fontId="39" fillId="0" borderId="18" xfId="0" applyNumberFormat="1" applyFont="1" applyBorder="1"/>
    <xf numFmtId="312" fontId="39" fillId="0" borderId="61" xfId="0" applyNumberFormat="1" applyFont="1" applyBorder="1"/>
    <xf numFmtId="312" fontId="39" fillId="0" borderId="49" xfId="0" applyNumberFormat="1" applyFont="1" applyBorder="1"/>
    <xf numFmtId="0" fontId="24" fillId="0" borderId="44" xfId="0" applyFont="1" applyBorder="1" applyAlignment="1">
      <alignment horizontal="right" indent="1"/>
    </xf>
    <xf numFmtId="312" fontId="39" fillId="0" borderId="19" xfId="0" applyNumberFormat="1" applyFont="1" applyBorder="1"/>
    <xf numFmtId="312" fontId="39" fillId="0" borderId="62" xfId="0" applyNumberFormat="1" applyFont="1" applyBorder="1"/>
    <xf numFmtId="312" fontId="39" fillId="0" borderId="15" xfId="0" applyNumberFormat="1" applyFont="1" applyBorder="1"/>
    <xf numFmtId="315" fontId="39" fillId="0" borderId="18" xfId="0" applyNumberFormat="1" applyFont="1" applyBorder="1" applyAlignment="1" applyProtection="1">
      <alignment horizontal="center" vertical="center"/>
    </xf>
    <xf numFmtId="315" fontId="39" fillId="0" borderId="14" xfId="0" applyNumberFormat="1" applyFont="1" applyBorder="1" applyAlignment="1" applyProtection="1">
      <alignment horizontal="center" vertical="center"/>
    </xf>
    <xf numFmtId="315" fontId="39" fillId="0" borderId="17" xfId="0" applyNumberFormat="1" applyFont="1" applyBorder="1" applyAlignment="1" applyProtection="1">
      <alignment horizontal="center" vertical="center"/>
    </xf>
    <xf numFmtId="222" fontId="24" fillId="2" borderId="1" xfId="0" applyNumberFormat="1" applyFont="1" applyFill="1" applyBorder="1" applyProtection="1">
      <protection locked="0"/>
    </xf>
    <xf numFmtId="303" fontId="21" fillId="0" borderId="11" xfId="0" applyNumberFormat="1" applyFont="1" applyBorder="1"/>
    <xf numFmtId="222" fontId="24" fillId="2" borderId="51" xfId="0" applyNumberFormat="1" applyFont="1" applyFill="1" applyBorder="1" applyProtection="1">
      <protection locked="0"/>
    </xf>
    <xf numFmtId="222" fontId="24" fillId="2" borderId="50" xfId="0" applyNumberFormat="1" applyFont="1" applyFill="1" applyBorder="1" applyProtection="1">
      <protection locked="0"/>
    </xf>
    <xf numFmtId="222" fontId="24" fillId="2" borderId="52" xfId="0" applyNumberFormat="1" applyFont="1" applyFill="1" applyBorder="1" applyProtection="1">
      <protection locked="0"/>
    </xf>
    <xf numFmtId="222" fontId="24" fillId="2" borderId="46" xfId="0" applyNumberFormat="1" applyFont="1" applyFill="1" applyBorder="1" applyProtection="1">
      <protection locked="0"/>
    </xf>
    <xf numFmtId="222" fontId="24" fillId="2" borderId="53" xfId="0" applyNumberFormat="1" applyFont="1" applyFill="1" applyBorder="1" applyProtection="1">
      <protection locked="0"/>
    </xf>
    <xf numFmtId="303" fontId="21" fillId="0" borderId="38" xfId="0" applyNumberFormat="1" applyFont="1" applyBorder="1"/>
    <xf numFmtId="303" fontId="24" fillId="2" borderId="2" xfId="0" applyNumberFormat="1" applyFont="1" applyFill="1" applyBorder="1" applyProtection="1">
      <protection locked="0"/>
    </xf>
    <xf numFmtId="303" fontId="24" fillId="2" borderId="55" xfId="0" applyNumberFormat="1" applyFont="1" applyFill="1" applyBorder="1" applyProtection="1">
      <protection locked="0"/>
    </xf>
    <xf numFmtId="303" fontId="21" fillId="0" borderId="14" xfId="0" applyNumberFormat="1" applyFont="1" applyBorder="1"/>
    <xf numFmtId="303" fontId="24" fillId="2" borderId="1" xfId="0" applyNumberFormat="1" applyFont="1" applyFill="1" applyBorder="1" applyProtection="1">
      <protection locked="0"/>
    </xf>
    <xf numFmtId="303" fontId="24" fillId="2" borderId="50" xfId="0" applyNumberFormat="1" applyFont="1" applyFill="1" applyBorder="1" applyProtection="1">
      <protection locked="0"/>
    </xf>
    <xf numFmtId="303" fontId="24" fillId="2" borderId="46" xfId="0" applyNumberFormat="1" applyFont="1" applyFill="1" applyBorder="1" applyProtection="1">
      <protection locked="0"/>
    </xf>
    <xf numFmtId="303" fontId="24" fillId="2" borderId="53" xfId="0" applyNumberFormat="1" applyFont="1" applyFill="1" applyBorder="1" applyProtection="1">
      <protection locked="0"/>
    </xf>
    <xf numFmtId="303" fontId="24" fillId="2" borderId="54" xfId="0" applyNumberFormat="1" applyFont="1" applyFill="1" applyBorder="1" applyProtection="1">
      <protection locked="0"/>
    </xf>
    <xf numFmtId="303" fontId="24" fillId="2" borderId="51" xfId="0" applyNumberFormat="1" applyFont="1" applyFill="1" applyBorder="1" applyProtection="1">
      <protection locked="0"/>
    </xf>
    <xf numFmtId="303" fontId="24" fillId="2" borderId="52" xfId="0" applyNumberFormat="1" applyFont="1" applyFill="1" applyBorder="1" applyProtection="1">
      <protection locked="0"/>
    </xf>
    <xf numFmtId="292" fontId="39" fillId="0" borderId="18" xfId="0" applyNumberFormat="1" applyFont="1" applyBorder="1"/>
    <xf numFmtId="292" fontId="39" fillId="0" borderId="61" xfId="0" applyNumberFormat="1" applyFont="1" applyBorder="1"/>
    <xf numFmtId="292" fontId="39" fillId="0" borderId="49" xfId="0" applyNumberFormat="1" applyFont="1" applyBorder="1"/>
    <xf numFmtId="167" fontId="32" fillId="0" borderId="0" xfId="6" applyNumberFormat="1" applyFont="1" applyFill="1" applyAlignment="1">
      <alignment horizontal="center"/>
    </xf>
    <xf numFmtId="9" fontId="54" fillId="0" borderId="0" xfId="6" applyFont="1" applyFill="1" applyAlignment="1">
      <alignment horizontal="center"/>
    </xf>
    <xf numFmtId="3" fontId="108" fillId="0" borderId="0" xfId="0" applyNumberFormat="1" applyFont="1" applyAlignment="1">
      <alignment horizontal="left"/>
    </xf>
    <xf numFmtId="310" fontId="22" fillId="14" borderId="14" xfId="1" applyNumberFormat="1" applyFont="1" applyFill="1" applyBorder="1" applyAlignment="1" applyProtection="1">
      <alignment horizontal="center" vertical="center"/>
      <protection locked="0"/>
    </xf>
    <xf numFmtId="164" fontId="22" fillId="14" borderId="14" xfId="1" applyNumberFormat="1" applyFont="1" applyFill="1" applyBorder="1" applyAlignment="1" applyProtection="1">
      <alignment horizontal="center" vertical="center"/>
      <protection locked="0"/>
    </xf>
    <xf numFmtId="312" fontId="24" fillId="0" borderId="21" xfId="0" quotePrefix="1" applyNumberFormat="1" applyFont="1" applyBorder="1"/>
    <xf numFmtId="290" fontId="21" fillId="0" borderId="35" xfId="6" applyNumberFormat="1" applyFont="1" applyFill="1" applyBorder="1" applyAlignment="1">
      <alignment horizontal="center"/>
    </xf>
    <xf numFmtId="167" fontId="122" fillId="0" borderId="19" xfId="6" applyNumberFormat="1" applyFont="1" applyFill="1" applyBorder="1" applyAlignment="1">
      <alignment horizontal="right" indent="1"/>
    </xf>
    <xf numFmtId="202" fontId="23" fillId="0" borderId="22" xfId="0" applyNumberFormat="1" applyFont="1" applyBorder="1" applyAlignment="1">
      <alignment vertical="center"/>
    </xf>
    <xf numFmtId="0" fontId="22" fillId="0" borderId="16" xfId="0" applyFont="1" applyBorder="1" applyAlignment="1">
      <alignment horizontal="right" indent="1"/>
    </xf>
    <xf numFmtId="2" fontId="22" fillId="0" borderId="10" xfId="0" applyNumberFormat="1" applyFont="1" applyBorder="1" applyAlignment="1">
      <alignment horizontal="right" indent="1"/>
    </xf>
    <xf numFmtId="194" fontId="39" fillId="0" borderId="2" xfId="0" applyNumberFormat="1" applyFont="1" applyBorder="1"/>
    <xf numFmtId="0" fontId="18" fillId="0" borderId="0" xfId="0" applyFont="1" applyAlignment="1">
      <alignment horizontal="left" vertical="center" indent="3"/>
    </xf>
    <xf numFmtId="0" fontId="18" fillId="24" borderId="10" xfId="0" applyFont="1" applyFill="1" applyBorder="1" applyAlignment="1">
      <alignment horizontal="center" vertical="center"/>
    </xf>
    <xf numFmtId="0" fontId="18" fillId="0" borderId="37"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25" xfId="0" applyFont="1" applyBorder="1" applyAlignment="1">
      <alignment horizontal="center" vertical="center" wrapText="1"/>
    </xf>
    <xf numFmtId="0" fontId="42" fillId="24" borderId="14" xfId="0" applyFont="1" applyFill="1" applyBorder="1" applyAlignment="1">
      <alignment horizontal="right" vertical="center" indent="1"/>
    </xf>
    <xf numFmtId="2" fontId="22" fillId="0" borderId="48" xfId="0" applyNumberFormat="1" applyFont="1" applyBorder="1" applyAlignment="1">
      <alignment horizontal="center" vertical="center"/>
    </xf>
    <xf numFmtId="2" fontId="22" fillId="0" borderId="2" xfId="0" applyNumberFormat="1" applyFont="1" applyBorder="1" applyAlignment="1">
      <alignment horizontal="center" vertical="center"/>
    </xf>
    <xf numFmtId="2" fontId="22" fillId="0" borderId="4" xfId="0" applyNumberFormat="1" applyFont="1" applyBorder="1" applyAlignment="1">
      <alignment horizontal="center" vertical="center"/>
    </xf>
    <xf numFmtId="0" fontId="42" fillId="24" borderId="11" xfId="0" applyFont="1" applyFill="1" applyBorder="1" applyAlignment="1">
      <alignment horizontal="right" vertical="center" indent="1"/>
    </xf>
    <xf numFmtId="2" fontId="22" fillId="0" borderId="23" xfId="0" applyNumberFormat="1" applyFont="1" applyBorder="1" applyAlignment="1">
      <alignment horizontal="center" vertical="center"/>
    </xf>
    <xf numFmtId="2" fontId="22" fillId="0" borderId="1" xfId="0" applyNumberFormat="1" applyFont="1" applyBorder="1" applyAlignment="1">
      <alignment horizontal="center" vertical="center"/>
    </xf>
    <xf numFmtId="2" fontId="22" fillId="0" borderId="24" xfId="0" applyNumberFormat="1" applyFont="1" applyBorder="1" applyAlignment="1">
      <alignment horizontal="center" vertical="center"/>
    </xf>
    <xf numFmtId="0" fontId="42" fillId="24" borderId="19" xfId="0" applyFont="1" applyFill="1" applyBorder="1" applyAlignment="1">
      <alignment horizontal="right" vertical="center" indent="1"/>
    </xf>
    <xf numFmtId="2" fontId="22" fillId="0" borderId="34" xfId="0" applyNumberFormat="1" applyFont="1" applyBorder="1" applyAlignment="1">
      <alignment horizontal="center" vertical="center"/>
    </xf>
    <xf numFmtId="2" fontId="22" fillId="0" borderId="35" xfId="0" applyNumberFormat="1" applyFont="1" applyBorder="1" applyAlignment="1">
      <alignment horizontal="center" vertical="center"/>
    </xf>
    <xf numFmtId="2" fontId="22" fillId="0" borderId="3" xfId="0" applyNumberFormat="1" applyFont="1" applyBorder="1" applyAlignment="1">
      <alignment horizontal="center" vertical="center"/>
    </xf>
    <xf numFmtId="0" fontId="18" fillId="0" borderId="10" xfId="0" applyFont="1" applyBorder="1" applyAlignment="1">
      <alignment horizontal="left" vertical="center" indent="3"/>
    </xf>
    <xf numFmtId="265" fontId="42" fillId="24" borderId="19" xfId="0" applyNumberFormat="1" applyFont="1" applyFill="1" applyBorder="1" applyAlignment="1">
      <alignment horizontal="right" vertical="center" indent="1"/>
    </xf>
    <xf numFmtId="0" fontId="18" fillId="0" borderId="1" xfId="0" applyFont="1" applyBorder="1" applyAlignment="1">
      <alignment horizontal="right" indent="1"/>
    </xf>
    <xf numFmtId="2" fontId="22" fillId="25" borderId="1" xfId="0" applyNumberFormat="1" applyFont="1" applyFill="1" applyBorder="1" applyAlignment="1">
      <alignment horizontal="center" vertical="center"/>
    </xf>
    <xf numFmtId="2" fontId="22" fillId="25" borderId="1" xfId="0" applyNumberFormat="1" applyFont="1" applyFill="1" applyBorder="1" applyAlignment="1">
      <alignment horizontal="center" vertical="center" wrapText="1"/>
    </xf>
    <xf numFmtId="0" fontId="22" fillId="0" borderId="14" xfId="0" applyFont="1" applyBorder="1" applyAlignment="1">
      <alignment vertical="center"/>
    </xf>
    <xf numFmtId="0" fontId="22" fillId="0" borderId="11" xfId="0" applyFont="1" applyBorder="1" applyAlignment="1">
      <alignment vertical="center"/>
    </xf>
    <xf numFmtId="0" fontId="22" fillId="0" borderId="19" xfId="0" applyFont="1" applyBorder="1" applyAlignment="1">
      <alignment vertical="center"/>
    </xf>
    <xf numFmtId="0" fontId="18" fillId="0" borderId="1" xfId="0" applyFont="1" applyBorder="1" applyAlignment="1">
      <alignment horizontal="center" vertical="center"/>
    </xf>
    <xf numFmtId="9" fontId="22" fillId="0" borderId="1" xfId="6" applyFont="1" applyBorder="1" applyAlignment="1">
      <alignment horizontal="center" vertical="center"/>
    </xf>
    <xf numFmtId="0" fontId="21" fillId="0" borderId="1" xfId="0" applyFont="1" applyBorder="1" applyAlignment="1">
      <alignment horizontal="center" vertical="center"/>
    </xf>
    <xf numFmtId="0" fontId="22" fillId="0" borderId="1" xfId="0" applyFont="1" applyBorder="1" applyAlignment="1">
      <alignment horizontal="right" indent="1"/>
    </xf>
    <xf numFmtId="3" fontId="24" fillId="0" borderId="0" xfId="0" applyNumberFormat="1" applyFont="1" applyAlignment="1">
      <alignment horizontal="center" vertical="center"/>
    </xf>
    <xf numFmtId="3" fontId="24" fillId="14" borderId="0" xfId="0" applyNumberFormat="1" applyFont="1" applyFill="1" applyAlignment="1">
      <alignment horizontal="center" vertical="center"/>
    </xf>
    <xf numFmtId="0" fontId="34" fillId="0" borderId="0" xfId="0" applyFont="1" applyAlignment="1">
      <alignment horizontal="center" vertical="center" wrapText="1"/>
    </xf>
    <xf numFmtId="0" fontId="110" fillId="0" borderId="0" xfId="0" applyFont="1" applyAlignment="1">
      <alignment horizontal="center" wrapText="1"/>
    </xf>
    <xf numFmtId="0" fontId="112" fillId="0" borderId="0" xfId="0" applyFont="1"/>
    <xf numFmtId="0" fontId="110" fillId="0" borderId="0" xfId="0" applyFont="1" applyAlignment="1">
      <alignment horizontal="centerContinuous" vertical="center" wrapText="1"/>
    </xf>
    <xf numFmtId="0" fontId="112" fillId="0" borderId="0" xfId="0" applyFont="1" applyAlignment="1">
      <alignment horizontal="centerContinuous" vertical="center"/>
    </xf>
    <xf numFmtId="9" fontId="126" fillId="0" borderId="0" xfId="0" applyNumberFormat="1" applyFont="1" applyAlignment="1" applyProtection="1">
      <alignment horizontal="center" vertical="center"/>
      <protection locked="0"/>
    </xf>
    <xf numFmtId="0" fontId="23" fillId="0" borderId="0" xfId="0" applyFont="1" applyAlignment="1">
      <alignment horizontal="centerContinuous" vertical="center" wrapText="1"/>
    </xf>
    <xf numFmtId="9" fontId="15" fillId="0" borderId="0" xfId="0" applyNumberFormat="1" applyFont="1" applyAlignment="1" applyProtection="1">
      <alignment horizontal="center" vertical="center"/>
      <protection locked="0"/>
    </xf>
    <xf numFmtId="0" fontId="32" fillId="0" borderId="0" xfId="0" applyFont="1" applyAlignment="1">
      <alignment horizontal="center"/>
    </xf>
    <xf numFmtId="0" fontId="34" fillId="0" borderId="0" xfId="0" applyFont="1" applyAlignment="1">
      <alignment horizontal="right"/>
    </xf>
    <xf numFmtId="1" fontId="34" fillId="0" borderId="0" xfId="0" applyNumberFormat="1" applyFont="1" applyAlignment="1">
      <alignment horizontal="center" vertical="center"/>
    </xf>
    <xf numFmtId="0" fontId="34" fillId="0" borderId="0" xfId="0" applyFont="1" applyAlignment="1">
      <alignment horizontal="center" vertical="center"/>
    </xf>
    <xf numFmtId="0" fontId="33" fillId="0" borderId="0" xfId="0" applyFont="1" applyAlignment="1">
      <alignment horizontal="left" indent="1"/>
    </xf>
    <xf numFmtId="2" fontId="34" fillId="0" borderId="0" xfId="0" applyNumberFormat="1" applyFont="1"/>
    <xf numFmtId="0" fontId="52" fillId="0" borderId="0" xfId="0" applyFont="1"/>
    <xf numFmtId="0" fontId="34" fillId="0" borderId="0" xfId="0" applyFont="1" applyAlignment="1">
      <alignment wrapText="1"/>
    </xf>
    <xf numFmtId="0" fontId="37" fillId="0" borderId="0" xfId="0" applyFont="1" applyAlignment="1">
      <alignment horizontal="left" indent="2"/>
    </xf>
    <xf numFmtId="3" fontId="34" fillId="0" borderId="0" xfId="0" applyNumberFormat="1" applyFont="1" applyAlignment="1">
      <alignment horizontal="center"/>
    </xf>
    <xf numFmtId="0" fontId="33" fillId="0" borderId="0" xfId="0" applyFont="1" applyAlignment="1">
      <alignment horizontal="right"/>
    </xf>
    <xf numFmtId="10" fontId="2" fillId="0" borderId="0" xfId="6" applyNumberFormat="1" applyFont="1" applyAlignment="1">
      <alignment horizontal="center" vertical="center" wrapText="1"/>
    </xf>
    <xf numFmtId="0" fontId="1" fillId="20" borderId="0" xfId="7" applyFont="1" applyFill="1" applyAlignment="1">
      <alignment horizontal="center" vertical="center" wrapText="1"/>
    </xf>
    <xf numFmtId="0" fontId="1" fillId="20" borderId="87" xfId="7" applyFont="1" applyFill="1" applyBorder="1" applyAlignment="1">
      <alignment horizontal="center" vertical="center" wrapText="1"/>
    </xf>
    <xf numFmtId="0" fontId="1" fillId="0" borderId="0" xfId="7" applyFont="1"/>
    <xf numFmtId="0" fontId="1" fillId="0" borderId="0" xfId="7" applyFont="1" applyAlignment="1">
      <alignment horizontal="left" indent="1"/>
    </xf>
    <xf numFmtId="0" fontId="1" fillId="20" borderId="0" xfId="7" applyFont="1" applyFill="1" applyAlignment="1">
      <alignment horizontal="centerContinuous" vertical="center" wrapText="1"/>
    </xf>
    <xf numFmtId="0" fontId="36" fillId="0" borderId="0" xfId="0" applyFont="1" applyAlignment="1" applyProtection="1">
      <alignment horizontal="center" vertical="center"/>
      <protection locked="0"/>
    </xf>
    <xf numFmtId="299" fontId="22" fillId="2" borderId="8" xfId="0" applyNumberFormat="1" applyFont="1" applyFill="1" applyBorder="1" applyAlignment="1" applyProtection="1">
      <alignment horizontal="center" vertical="center"/>
      <protection locked="0"/>
    </xf>
    <xf numFmtId="299" fontId="22" fillId="2" borderId="16" xfId="0" applyNumberFormat="1" applyFont="1" applyFill="1" applyBorder="1" applyAlignment="1" applyProtection="1">
      <alignment horizontal="center" vertical="center"/>
      <protection locked="0"/>
    </xf>
    <xf numFmtId="0" fontId="27" fillId="2" borderId="56" xfId="0" applyFont="1" applyFill="1" applyBorder="1" applyAlignment="1" applyProtection="1">
      <alignment horizontal="center" vertical="center"/>
      <protection locked="0"/>
    </xf>
    <xf numFmtId="0" fontId="27" fillId="2" borderId="26" xfId="0" applyFont="1" applyFill="1" applyBorder="1" applyAlignment="1" applyProtection="1">
      <alignment horizontal="center" vertical="center"/>
      <protection locked="0"/>
    </xf>
    <xf numFmtId="0" fontId="27" fillId="2" borderId="40" xfId="0" applyFont="1" applyFill="1" applyBorder="1" applyAlignment="1" applyProtection="1">
      <alignment horizontal="center" vertical="center"/>
      <protection locked="0"/>
    </xf>
    <xf numFmtId="0" fontId="29" fillId="2" borderId="57" xfId="0" applyFont="1" applyFill="1" applyBorder="1" applyAlignment="1" applyProtection="1">
      <alignment horizontal="center" vertical="center"/>
      <protection locked="0"/>
    </xf>
    <xf numFmtId="0" fontId="29" fillId="2" borderId="64" xfId="0" applyFont="1" applyFill="1" applyBorder="1" applyAlignment="1" applyProtection="1">
      <alignment horizontal="center" vertical="center"/>
      <protection locked="0"/>
    </xf>
    <xf numFmtId="0" fontId="29" fillId="2" borderId="90" xfId="0" applyFont="1" applyFill="1" applyBorder="1" applyAlignment="1" applyProtection="1">
      <alignment horizontal="center" vertical="center"/>
      <protection locked="0"/>
    </xf>
    <xf numFmtId="0" fontId="47" fillId="2" borderId="8" xfId="0" applyFont="1" applyFill="1" applyBorder="1" applyAlignment="1" applyProtection="1">
      <alignment horizontal="center" vertical="center"/>
      <protection locked="0"/>
    </xf>
    <xf numFmtId="0" fontId="47" fillId="2" borderId="5" xfId="0" applyFont="1" applyFill="1" applyBorder="1" applyAlignment="1" applyProtection="1">
      <alignment horizontal="center" vertical="center"/>
      <protection locked="0"/>
    </xf>
    <xf numFmtId="0" fontId="47" fillId="2" borderId="16" xfId="0" applyFont="1" applyFill="1" applyBorder="1" applyAlignment="1" applyProtection="1">
      <alignment horizontal="center" vertical="center"/>
      <protection locked="0"/>
    </xf>
    <xf numFmtId="0" fontId="47" fillId="0" borderId="5" xfId="0" applyFont="1" applyBorder="1" applyAlignment="1" applyProtection="1">
      <alignment horizontal="left" vertical="center"/>
    </xf>
    <xf numFmtId="0" fontId="47" fillId="0" borderId="16" xfId="0" applyFont="1" applyBorder="1" applyAlignment="1" applyProtection="1">
      <alignment horizontal="left" vertical="center"/>
    </xf>
    <xf numFmtId="3" fontId="47" fillId="2" borderId="8" xfId="0" applyNumberFormat="1" applyFont="1" applyFill="1" applyBorder="1" applyAlignment="1" applyProtection="1">
      <alignment horizontal="center" vertical="center"/>
      <protection locked="0"/>
    </xf>
    <xf numFmtId="3" fontId="47" fillId="2" borderId="5" xfId="0" applyNumberFormat="1" applyFont="1" applyFill="1" applyBorder="1" applyAlignment="1" applyProtection="1">
      <alignment horizontal="center" vertical="center"/>
      <protection locked="0"/>
    </xf>
    <xf numFmtId="3" fontId="47" fillId="2" borderId="16" xfId="0" applyNumberFormat="1" applyFont="1" applyFill="1" applyBorder="1" applyAlignment="1" applyProtection="1">
      <alignment horizontal="center" vertical="center"/>
      <protection locked="0"/>
    </xf>
    <xf numFmtId="0" fontId="22" fillId="15" borderId="8" xfId="0" applyFont="1" applyFill="1" applyBorder="1" applyAlignment="1" applyProtection="1">
      <alignment horizontal="center" vertical="center"/>
      <protection locked="0"/>
    </xf>
    <xf numFmtId="0" fontId="22" fillId="15" borderId="16" xfId="0" applyFont="1" applyFill="1" applyBorder="1" applyAlignment="1" applyProtection="1">
      <alignment horizontal="center" vertical="center"/>
      <protection locked="0"/>
    </xf>
    <xf numFmtId="9" fontId="22" fillId="0" borderId="50" xfId="0" applyNumberFormat="1" applyFont="1" applyBorder="1" applyAlignment="1" applyProtection="1">
      <alignment horizontal="center" vertical="center"/>
      <protection locked="0"/>
    </xf>
    <xf numFmtId="9" fontId="22" fillId="0" borderId="43" xfId="0" applyNumberFormat="1" applyFont="1" applyBorder="1" applyAlignment="1" applyProtection="1">
      <alignment horizontal="center" vertical="center"/>
      <protection locked="0"/>
    </xf>
    <xf numFmtId="15" fontId="22" fillId="2" borderId="8" xfId="0" applyNumberFormat="1" applyFont="1" applyFill="1" applyBorder="1" applyAlignment="1" applyProtection="1">
      <alignment horizontal="center" vertical="center"/>
      <protection locked="0"/>
    </xf>
    <xf numFmtId="15" fontId="22" fillId="2" borderId="5" xfId="0" applyNumberFormat="1" applyFont="1" applyFill="1" applyBorder="1" applyAlignment="1" applyProtection="1">
      <alignment horizontal="center" vertical="center"/>
      <protection locked="0"/>
    </xf>
    <xf numFmtId="15" fontId="22" fillId="2" borderId="16" xfId="0" applyNumberFormat="1" applyFont="1" applyFill="1" applyBorder="1" applyAlignment="1" applyProtection="1">
      <alignment horizontal="center" vertical="center"/>
      <protection locked="0"/>
    </xf>
    <xf numFmtId="0" fontId="18" fillId="0" borderId="8" xfId="0" applyFont="1" applyBorder="1" applyAlignment="1">
      <alignment horizontal="center" vertical="center"/>
    </xf>
    <xf numFmtId="0" fontId="18" fillId="0" borderId="5" xfId="0" applyFont="1" applyBorder="1" applyAlignment="1">
      <alignment horizontal="center" vertical="center"/>
    </xf>
    <xf numFmtId="0" fontId="18" fillId="0" borderId="16" xfId="0" applyFont="1" applyBorder="1" applyAlignment="1">
      <alignment horizontal="center" vertical="center"/>
    </xf>
    <xf numFmtId="0" fontId="22" fillId="0" borderId="8"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39" xfId="0" applyFont="1" applyBorder="1" applyAlignment="1">
      <alignment horizontal="center" vertical="center" wrapText="1"/>
    </xf>
    <xf numFmtId="0" fontId="47" fillId="0" borderId="6" xfId="0" applyFont="1" applyBorder="1" applyAlignment="1" applyProtection="1">
      <alignment horizontal="left" indent="1"/>
    </xf>
    <xf numFmtId="0" fontId="47" fillId="0" borderId="12" xfId="0" applyFont="1" applyBorder="1" applyAlignment="1" applyProtection="1">
      <alignment horizontal="left" indent="1"/>
    </xf>
    <xf numFmtId="0" fontId="47" fillId="0" borderId="43" xfId="0" applyFont="1" applyBorder="1" applyAlignment="1" applyProtection="1">
      <alignment horizontal="left" indent="1"/>
    </xf>
    <xf numFmtId="0" fontId="47" fillId="0" borderId="15" xfId="0" applyFont="1" applyBorder="1" applyAlignment="1" applyProtection="1">
      <alignment horizontal="left" indent="1"/>
    </xf>
    <xf numFmtId="0" fontId="47" fillId="0" borderId="62" xfId="0" applyFont="1" applyBorder="1" applyAlignment="1" applyProtection="1">
      <alignment horizontal="left" indent="1"/>
    </xf>
    <xf numFmtId="0" fontId="47" fillId="0" borderId="44" xfId="0" applyFont="1" applyBorder="1" applyAlignment="1" applyProtection="1">
      <alignment horizontal="left" indent="1"/>
    </xf>
    <xf numFmtId="0" fontId="18" fillId="0" borderId="3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36" fillId="0" borderId="30" xfId="0" applyFont="1" applyBorder="1" applyAlignment="1" applyProtection="1">
      <alignment horizontal="center" vertical="center" wrapText="1"/>
    </xf>
    <xf numFmtId="0" fontId="36" fillId="0" borderId="13" xfId="0" applyFont="1" applyBorder="1" applyAlignment="1" applyProtection="1">
      <alignment horizontal="center" vertical="center" wrapText="1"/>
    </xf>
    <xf numFmtId="0" fontId="89" fillId="0" borderId="162" xfId="0" applyFont="1" applyBorder="1" applyAlignment="1">
      <alignment horizontal="center" vertical="center" wrapText="1"/>
    </xf>
    <xf numFmtId="0" fontId="89" fillId="0" borderId="166" xfId="0" applyFont="1" applyBorder="1" applyAlignment="1">
      <alignment horizontal="center" vertical="center" wrapText="1"/>
    </xf>
    <xf numFmtId="0" fontId="89" fillId="0" borderId="170" xfId="0" applyFont="1" applyBorder="1" applyAlignment="1">
      <alignment horizontal="center" vertical="center" wrapText="1"/>
    </xf>
  </cellXfs>
  <cellStyles count="9">
    <cellStyle name="Euro" xfId="1" xr:uid="{00000000-0005-0000-0000-000000000000}"/>
    <cellStyle name="Hipervínculo" xfId="2" builtinId="8"/>
    <cellStyle name="Millares" xfId="3" builtinId="3"/>
    <cellStyle name="Millares [0]" xfId="4" builtinId="6"/>
    <cellStyle name="Normal" xfId="0" builtinId="0"/>
    <cellStyle name="Normal 3" xfId="7" xr:uid="{C8CBB42E-5CAC-468D-939E-7D26B6C86D52}"/>
    <cellStyle name="Normal_MODELO COMUNICA para obtener flujos de fondos corregido" xfId="5" xr:uid="{00000000-0005-0000-0000-000005000000}"/>
    <cellStyle name="Porcentaje" xfId="6" builtinId="5"/>
    <cellStyle name="Porcentaje 2" xfId="8" xr:uid="{DC30D015-EBAD-40D1-A0B2-0CEB10A7749F}"/>
  </cellStyles>
  <dxfs count="53">
    <dxf>
      <font>
        <b/>
        <i val="0"/>
        <condense val="0"/>
        <extend val="0"/>
        <color auto="1"/>
      </font>
    </dxf>
    <dxf>
      <fill>
        <patternFill>
          <bgColor rgb="FFFFFF00"/>
        </patternFill>
      </fill>
    </dxf>
    <dxf>
      <fill>
        <patternFill>
          <bgColor rgb="FF92D050"/>
        </patternFill>
      </fill>
    </dxf>
    <dxf>
      <fill>
        <patternFill>
          <bgColor rgb="FF92D050"/>
        </patternFill>
      </fill>
    </dxf>
    <dxf>
      <fill>
        <patternFill>
          <bgColor rgb="FFFF0000"/>
        </patternFill>
      </fill>
    </dxf>
    <dxf>
      <font>
        <condense val="0"/>
        <extend val="0"/>
        <color auto="1"/>
      </font>
      <border>
        <left style="thin">
          <color indexed="64"/>
        </left>
        <right style="thin">
          <color indexed="64"/>
        </right>
        <top style="thin">
          <color indexed="64"/>
        </top>
        <bottom style="thin">
          <color indexed="64"/>
        </bottom>
      </border>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ndense val="0"/>
        <extend val="0"/>
        <color indexed="9"/>
      </font>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0625"/>
      </fill>
    </dxf>
    <dxf>
      <font>
        <condense val="0"/>
        <extend val="0"/>
        <color indexed="9"/>
      </font>
    </dxf>
    <dxf>
      <font>
        <b/>
        <i val="0"/>
        <condense val="0"/>
        <extend val="0"/>
        <color indexed="10"/>
      </font>
      <border>
        <left style="thin">
          <color indexed="10"/>
        </left>
        <right style="thin">
          <color indexed="10"/>
        </right>
        <top style="thin">
          <color indexed="10"/>
        </top>
        <bottom style="thin">
          <color indexed="10"/>
        </bottom>
      </border>
    </dxf>
    <dxf>
      <font>
        <b/>
        <i val="0"/>
        <color rgb="FFFF0000"/>
      </font>
    </dxf>
    <dxf>
      <fill>
        <patternFill patternType="gray125"/>
      </fill>
    </dxf>
    <dxf>
      <fill>
        <patternFill patternType="gray125"/>
      </fill>
    </dxf>
    <dxf>
      <fill>
        <patternFill patternType="gray125"/>
      </fill>
    </dxf>
    <dxf>
      <font>
        <condense val="0"/>
        <extend val="0"/>
        <color indexed="10"/>
      </font>
    </dxf>
    <dxf>
      <font>
        <condense val="0"/>
        <extend val="0"/>
        <color auto="1"/>
      </font>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indexed="10"/>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indexed="10"/>
      </font>
    </dxf>
    <dxf>
      <font>
        <condense val="0"/>
        <extend val="0"/>
        <color auto="1"/>
      </font>
      <fill>
        <patternFill patternType="solid">
          <bgColor indexed="13"/>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indexed="10"/>
      </font>
      <fill>
        <patternFill patternType="none">
          <bgColor indexed="65"/>
        </patternFill>
      </fill>
      <border>
        <left style="thin">
          <color indexed="64"/>
        </left>
        <right style="thin">
          <color indexed="64"/>
        </right>
        <top style="thin">
          <color indexed="64"/>
        </top>
        <bottom style="thin">
          <color indexed="64"/>
        </bottom>
      </border>
    </dxf>
    <dxf>
      <font>
        <condense val="0"/>
        <extend val="0"/>
        <color auto="1"/>
      </font>
      <border>
        <left style="thin">
          <color indexed="64"/>
        </left>
        <right style="thin">
          <color indexed="64"/>
        </right>
        <top style="thin">
          <color indexed="64"/>
        </top>
        <bottom style="thin">
          <color indexed="64"/>
        </bottom>
      </border>
    </dxf>
    <dxf>
      <font>
        <condense val="0"/>
        <extend val="0"/>
        <color auto="1"/>
      </font>
    </dxf>
    <dxf>
      <font>
        <condense val="0"/>
        <extend val="0"/>
        <color auto="1"/>
      </font>
    </dxf>
    <dxf>
      <font>
        <b/>
        <i val="0"/>
        <condense val="0"/>
        <extend val="0"/>
        <color indexed="10"/>
      </font>
      <border>
        <left style="thin">
          <color indexed="10"/>
        </left>
        <right style="thin">
          <color indexed="10"/>
        </right>
        <top style="thin">
          <color indexed="10"/>
        </top>
        <bottom style="thin">
          <color indexed="10"/>
        </bottom>
      </border>
    </dxf>
    <dxf>
      <fill>
        <patternFill>
          <bgColor theme="0" tint="-0.24994659260841701"/>
        </patternFill>
      </fill>
    </dxf>
    <dxf>
      <font>
        <condense val="0"/>
        <extend val="0"/>
        <color indexed="9"/>
      </font>
      <fill>
        <patternFill patternType="none">
          <bgColor indexed="65"/>
        </patternFill>
      </fill>
      <border>
        <left/>
        <right/>
        <top/>
        <bottom/>
      </border>
    </dxf>
    <dxf>
      <font>
        <color theme="0"/>
      </font>
      <fill>
        <patternFill patternType="none">
          <bgColor auto="1"/>
        </patternFill>
      </fill>
      <border>
        <left/>
        <right/>
        <bottom/>
      </border>
    </dxf>
    <dxf>
      <font>
        <color theme="0"/>
      </font>
      <border>
        <left/>
        <right/>
        <top/>
        <bottom/>
      </border>
    </dxf>
    <dxf>
      <font>
        <condense val="0"/>
        <extend val="0"/>
        <color indexed="9"/>
      </font>
      <border>
        <left style="thin">
          <color indexed="9"/>
        </left>
        <right style="thin">
          <color indexed="9"/>
        </right>
        <top style="thin">
          <color indexed="9"/>
        </top>
        <bottom style="thin">
          <color indexed="9"/>
        </bottom>
      </border>
    </dxf>
    <dxf>
      <font>
        <color theme="0"/>
      </font>
      <fill>
        <patternFill patternType="none">
          <bgColor auto="1"/>
        </patternFill>
      </fill>
      <border>
        <left/>
        <right/>
        <top/>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881679171594484E-2"/>
          <c:y val="7.5362532162964679E-2"/>
          <c:w val="0.9112156463076555"/>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0'!$B$25:$M$25</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0-F004-4ECB-B415-BE3C8B41ED4B}"/>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0'!$B$17:$M$17</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1-F004-4ECB-B415-BE3C8B41ED4B}"/>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0'!$B$18:$M$18</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004-4ECB-B415-BE3C8B41ED4B}"/>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0'!$B$19:$M$19</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F004-4ECB-B415-BE3C8B41ED4B}"/>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0'!$B$20:$M$20</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F004-4ECB-B415-BE3C8B41ED4B}"/>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0'!$B$21:$M$21</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F004-4ECB-B415-BE3C8B41ED4B}"/>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0'!$B$22:$M$22</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F004-4ECB-B415-BE3C8B41ED4B}"/>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0'!$B$23:$M$23</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F004-4ECB-B415-BE3C8B41ED4B}"/>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0'!$B$31:$M$31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0'!$B$24:$M$24</c:f>
              <c:numCache>
                <c:formatCode>#,##0_*;;\-\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F004-4ECB-B415-BE3C8B41ED4B}"/>
            </c:ext>
          </c:extLst>
        </c:ser>
        <c:dLbls>
          <c:showLegendKey val="0"/>
          <c:showVal val="0"/>
          <c:showCatName val="0"/>
          <c:showSerName val="0"/>
          <c:showPercent val="0"/>
          <c:showBubbleSize val="0"/>
        </c:dLbls>
        <c:marker val="1"/>
        <c:smooth val="0"/>
        <c:axId val="475313880"/>
        <c:axId val="604761088"/>
      </c:lineChart>
      <c:catAx>
        <c:axId val="475313880"/>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1088"/>
        <c:crosses val="autoZero"/>
        <c:auto val="1"/>
        <c:lblAlgn val="ctr"/>
        <c:lblOffset val="100"/>
        <c:tickLblSkip val="1"/>
        <c:tickMarkSkip val="1"/>
        <c:noMultiLvlLbl val="0"/>
      </c:catAx>
      <c:valAx>
        <c:axId val="604761088"/>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461021891270574E-2"/>
              <c:y val="0.3797115104201718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475313880"/>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1'!$B$25:$M$25</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0-52BB-481B-A5DF-3F3698696898}"/>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1'!$B$17:$M$17</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1-52BB-481B-A5DF-3F3698696898}"/>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2BB-481B-A5DF-3F3698696898}"/>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52BB-481B-A5DF-3F3698696898}"/>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52BB-481B-A5DF-3F3698696898}"/>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52BB-481B-A5DF-3F3698696898}"/>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52BB-481B-A5DF-3F3698696898}"/>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52BB-481B-A5DF-3F3698696898}"/>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1'!$B$31:$M$31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52BB-481B-A5DF-3F3698696898}"/>
            </c:ext>
          </c:extLst>
        </c:ser>
        <c:dLbls>
          <c:showLegendKey val="0"/>
          <c:showVal val="0"/>
          <c:showCatName val="0"/>
          <c:showSerName val="0"/>
          <c:showPercent val="0"/>
          <c:showBubbleSize val="0"/>
        </c:dLbls>
        <c:marker val="1"/>
        <c:smooth val="0"/>
        <c:axId val="604761872"/>
        <c:axId val="604762264"/>
      </c:lineChart>
      <c:catAx>
        <c:axId val="604761872"/>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2264"/>
        <c:crosses val="autoZero"/>
        <c:auto val="1"/>
        <c:lblAlgn val="ctr"/>
        <c:lblOffset val="100"/>
        <c:tickLblSkip val="1"/>
        <c:tickMarkSkip val="1"/>
        <c:noMultiLvlLbl val="0"/>
      </c:catAx>
      <c:valAx>
        <c:axId val="604762264"/>
        <c:scaling>
          <c:orientation val="minMax"/>
        </c:scaling>
        <c:delete val="0"/>
        <c:axPos val="l"/>
        <c:majorGridlines>
          <c:spPr>
            <a:ln w="3175">
              <a:solidFill>
                <a:srgbClr val="000000"/>
              </a:solidFill>
              <a:prstDash val="solid"/>
            </a:ln>
          </c:spPr>
        </c:majorGridlines>
        <c:title>
          <c:tx>
            <c:rich>
              <a:bodyPr/>
              <a:lstStyle/>
              <a:p>
                <a:pPr>
                  <a:defRPr sz="125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241742093451132E-2"/>
              <c:y val="0.37971151042017187"/>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1872"/>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2'!$B$25:$M$25</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0-EDC0-46B4-BE9B-A7D262FAF936}"/>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2'!$B$17:$M$17</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1-EDC0-46B4-BE9B-A7D262FAF936}"/>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EDC0-46B4-BE9B-A7D262FAF936}"/>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EDC0-46B4-BE9B-A7D262FAF936}"/>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EDC0-46B4-BE9B-A7D262FAF936}"/>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EDC0-46B4-BE9B-A7D262FAF936}"/>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EDC0-46B4-BE9B-A7D262FAF936}"/>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EDC0-46B4-BE9B-A7D262FAF936}"/>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2'!$B$31:$M$31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2'!$B$24:$M$24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EDC0-46B4-BE9B-A7D262FAF936}"/>
            </c:ext>
          </c:extLst>
        </c:ser>
        <c:dLbls>
          <c:showLegendKey val="0"/>
          <c:showVal val="0"/>
          <c:showCatName val="0"/>
          <c:showSerName val="0"/>
          <c:showPercent val="0"/>
          <c:showBubbleSize val="0"/>
        </c:dLbls>
        <c:marker val="1"/>
        <c:smooth val="0"/>
        <c:axId val="604763048"/>
        <c:axId val="604763440"/>
      </c:lineChart>
      <c:catAx>
        <c:axId val="604763048"/>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3440"/>
        <c:crosses val="autoZero"/>
        <c:auto val="1"/>
        <c:lblAlgn val="ctr"/>
        <c:lblOffset val="100"/>
        <c:tickLblSkip val="1"/>
        <c:tickMarkSkip val="1"/>
        <c:noMultiLvlLbl val="0"/>
      </c:catAx>
      <c:valAx>
        <c:axId val="604763440"/>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307698439745147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3048"/>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923105815469434E-2"/>
          <c:y val="7.5362532162964679E-2"/>
          <c:w val="0.91230803497146751"/>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3'!$B$25:$M$25</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0-A3C3-42C1-96D6-13BA3C7FA25F}"/>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3'!$B$17:$M$17</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1-A3C3-42C1-96D6-13BA3C7FA25F}"/>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3C3-42C1-96D6-13BA3C7FA25F}"/>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A3C3-42C1-96D6-13BA3C7FA25F}"/>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A3C3-42C1-96D6-13BA3C7FA25F}"/>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A3C3-42C1-96D6-13BA3C7FA25F}"/>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A3C3-42C1-96D6-13BA3C7FA25F}"/>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A3C3-42C1-96D6-13BA3C7FA25F}"/>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3'!$B$31:$M$31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3'!$B$24:$M$24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A3C3-42C1-96D6-13BA3C7FA25F}"/>
            </c:ext>
          </c:extLst>
        </c:ser>
        <c:dLbls>
          <c:showLegendKey val="0"/>
          <c:showVal val="0"/>
          <c:showCatName val="0"/>
          <c:showSerName val="0"/>
          <c:showPercent val="0"/>
          <c:showBubbleSize val="0"/>
        </c:dLbls>
        <c:marker val="1"/>
        <c:smooth val="0"/>
        <c:axId val="604764224"/>
        <c:axId val="604764616"/>
      </c:lineChart>
      <c:catAx>
        <c:axId val="60476422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4616"/>
        <c:crosses val="autoZero"/>
        <c:auto val="1"/>
        <c:lblAlgn val="ctr"/>
        <c:lblOffset val="100"/>
        <c:tickLblSkip val="1"/>
        <c:tickMarkSkip val="1"/>
        <c:noMultiLvlLbl val="0"/>
      </c:catAx>
      <c:valAx>
        <c:axId val="604764616"/>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307698439745147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4224"/>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511094108645747E-2"/>
          <c:y val="7.5362532162964679E-2"/>
          <c:w val="0.9127773527161438"/>
          <c:h val="0.79420514664047392"/>
        </c:manualLayout>
      </c:layout>
      <c:lineChart>
        <c:grouping val="standard"/>
        <c:varyColors val="0"/>
        <c:ser>
          <c:idx val="0"/>
          <c:order val="0"/>
          <c:spPr>
            <a:ln w="38100">
              <a:solidFill>
                <a:srgbClr val="000080"/>
              </a:solidFill>
              <a:prstDash val="solid"/>
            </a:ln>
          </c:spPr>
          <c:marker>
            <c:symbol val="diamond"/>
            <c:size val="9"/>
            <c:spPr>
              <a:solidFill>
                <a:srgbClr val="000080"/>
              </a:solidFill>
              <a:ln>
                <a:solidFill>
                  <a:srgbClr val="00008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4'!$B$25:$M$25</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0-50CF-4111-B551-D566E2817FA5}"/>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4'!$B$17:$M$17</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1-50CF-4111-B551-D566E2817FA5}"/>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4'!$B$18:$M$18</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0CF-4111-B551-D566E2817FA5}"/>
            </c:ext>
          </c:extLst>
        </c:ser>
        <c:ser>
          <c:idx val="3"/>
          <c:order val="3"/>
          <c:spPr>
            <a:ln w="12700">
              <a:solidFill>
                <a:srgbClr val="00FFFF"/>
              </a:solidFill>
              <a:prstDash val="solid"/>
            </a:ln>
          </c:spPr>
          <c:marker>
            <c:symbol val="x"/>
            <c:size val="5"/>
            <c:spPr>
              <a:noFill/>
              <a:ln>
                <a:solidFill>
                  <a:srgbClr val="00FF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4'!$B$19:$M$19</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50CF-4111-B551-D566E2817FA5}"/>
            </c:ext>
          </c:extLst>
        </c:ser>
        <c:ser>
          <c:idx val="4"/>
          <c:order val="4"/>
          <c:spPr>
            <a:ln w="12700">
              <a:solidFill>
                <a:srgbClr val="800080"/>
              </a:solidFill>
              <a:prstDash val="solid"/>
            </a:ln>
          </c:spPr>
          <c:marker>
            <c:symbol val="star"/>
            <c:size val="5"/>
            <c:spPr>
              <a:noFill/>
              <a:ln>
                <a:solidFill>
                  <a:srgbClr val="80008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4'!$B$20:$M$20</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50CF-4111-B551-D566E2817FA5}"/>
            </c:ext>
          </c:extLst>
        </c:ser>
        <c:ser>
          <c:idx val="5"/>
          <c:order val="5"/>
          <c:spPr>
            <a:ln w="12700">
              <a:solidFill>
                <a:srgbClr val="800000"/>
              </a:solidFill>
              <a:prstDash val="solid"/>
            </a:ln>
          </c:spPr>
          <c:marker>
            <c:symbol val="circle"/>
            <c:size val="5"/>
            <c:spPr>
              <a:solidFill>
                <a:srgbClr val="800000"/>
              </a:solidFill>
              <a:ln>
                <a:solidFill>
                  <a:srgbClr val="80000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4'!$B$21:$M$21</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50CF-4111-B551-D566E2817FA5}"/>
            </c:ext>
          </c:extLst>
        </c:ser>
        <c:ser>
          <c:idx val="6"/>
          <c:order val="6"/>
          <c:spPr>
            <a:ln w="12700">
              <a:solidFill>
                <a:srgbClr val="008080"/>
              </a:solidFill>
              <a:prstDash val="solid"/>
            </a:ln>
          </c:spPr>
          <c:marker>
            <c:symbol val="plus"/>
            <c:size val="5"/>
            <c:spPr>
              <a:noFill/>
              <a:ln>
                <a:solidFill>
                  <a:srgbClr val="008080"/>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4'!$B$22:$M$22</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6-50CF-4111-B551-D566E2817FA5}"/>
            </c:ext>
          </c:extLst>
        </c:ser>
        <c:ser>
          <c:idx val="7"/>
          <c:order val="7"/>
          <c:spPr>
            <a:ln w="12700">
              <a:solidFill>
                <a:srgbClr val="0000FF"/>
              </a:solidFill>
              <a:prstDash val="solid"/>
            </a:ln>
          </c:spPr>
          <c:marker>
            <c:symbol val="dot"/>
            <c:size val="5"/>
            <c:spPr>
              <a:noFill/>
              <a:ln>
                <a:solidFill>
                  <a:srgbClr val="0000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4'!$B$23:$M$23</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7-50CF-4111-B551-D566E2817FA5}"/>
            </c:ext>
          </c:extLst>
        </c:ser>
        <c:ser>
          <c:idx val="8"/>
          <c:order val="8"/>
          <c:spPr>
            <a:ln w="12700">
              <a:solidFill>
                <a:srgbClr val="00CCFF"/>
              </a:solidFill>
              <a:prstDash val="solid"/>
            </a:ln>
          </c:spPr>
          <c:marker>
            <c:symbol val="dash"/>
            <c:size val="5"/>
            <c:spPr>
              <a:noFill/>
              <a:ln>
                <a:solidFill>
                  <a:srgbClr val="00CCFF"/>
                </a:solidFill>
                <a:prstDash val="solid"/>
              </a:ln>
            </c:spPr>
          </c:marker>
          <c:cat>
            <c:strRef>
              <c:f>'Sales Forecast 4'!$B$31:$M$31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4'!$B$24:$M$24</c:f>
              <c:numCache>
                <c:formatCode>#,##0_*;;\-\ \ \ 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8-50CF-4111-B551-D566E2817FA5}"/>
            </c:ext>
          </c:extLst>
        </c:ser>
        <c:dLbls>
          <c:showLegendKey val="0"/>
          <c:showVal val="0"/>
          <c:showCatName val="0"/>
          <c:showSerName val="0"/>
          <c:showPercent val="0"/>
          <c:showBubbleSize val="0"/>
        </c:dLbls>
        <c:marker val="1"/>
        <c:smooth val="0"/>
        <c:axId val="604765400"/>
        <c:axId val="553613064"/>
      </c:lineChart>
      <c:catAx>
        <c:axId val="604765400"/>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553613064"/>
        <c:crosses val="autoZero"/>
        <c:auto val="1"/>
        <c:lblAlgn val="ctr"/>
        <c:lblOffset val="100"/>
        <c:tickLblSkip val="1"/>
        <c:tickMarkSkip val="1"/>
        <c:noMultiLvlLbl val="0"/>
      </c:catAx>
      <c:valAx>
        <c:axId val="553613064"/>
        <c:scaling>
          <c:orientation val="minMax"/>
        </c:scaling>
        <c:delete val="0"/>
        <c:axPos val="l"/>
        <c:majorGridlines>
          <c:spPr>
            <a:ln w="3175">
              <a:solidFill>
                <a:srgbClr val="000000"/>
              </a:solidFill>
              <a:prstDash val="solid"/>
            </a:ln>
          </c:spPr>
        </c:majorGridlines>
        <c:title>
          <c:tx>
            <c:rich>
              <a:bodyPr/>
              <a:lstStyle/>
              <a:p>
                <a:pPr>
                  <a:defRPr sz="1400" b="1" i="0" u="none" strike="noStrike" baseline="0">
                    <a:solidFill>
                      <a:srgbClr val="000000"/>
                    </a:solidFill>
                    <a:latin typeface="Times New Roman"/>
                    <a:ea typeface="Times New Roman"/>
                    <a:cs typeface="Times New Roman"/>
                  </a:defRPr>
                </a:pPr>
                <a:r>
                  <a:rPr lang="es-ES"/>
                  <a:t>Sales</a:t>
                </a:r>
              </a:p>
            </c:rich>
          </c:tx>
          <c:layout>
            <c:manualLayout>
              <c:xMode val="edge"/>
              <c:yMode val="edge"/>
              <c:x val="1.2241756361197837E-2"/>
              <c:y val="0.31014588988342268"/>
            </c:manualLayout>
          </c:layout>
          <c:overlay val="0"/>
          <c:spPr>
            <a:noFill/>
            <a:ln w="25400">
              <a:noFill/>
            </a:ln>
          </c:spPr>
        </c:title>
        <c:numFmt formatCode="#,##0_*;;\-\ \ \ _*" sourceLinked="1"/>
        <c:majorTickMark val="out"/>
        <c:minorTickMark val="none"/>
        <c:tickLblPos val="nextTo"/>
        <c:spPr>
          <a:ln w="38100">
            <a:solidFill>
              <a:srgbClr val="000000"/>
            </a:solidFill>
            <a:prstDash val="solid"/>
          </a:ln>
        </c:spPr>
        <c:txPr>
          <a:bodyPr rot="0" vert="horz"/>
          <a:lstStyle/>
          <a:p>
            <a:pPr>
              <a:defRPr sz="975" b="1" i="0" u="none" strike="noStrike" baseline="0">
                <a:solidFill>
                  <a:srgbClr val="000000"/>
                </a:solidFill>
                <a:latin typeface="Times New Roman"/>
                <a:ea typeface="Times New Roman"/>
                <a:cs typeface="Times New Roman"/>
              </a:defRPr>
            </a:pPr>
            <a:endParaRPr lang="es-ES"/>
          </a:p>
        </c:txPr>
        <c:crossAx val="604765400"/>
        <c:crosses val="autoZero"/>
        <c:crossBetween val="between"/>
      </c:valAx>
      <c:spPr>
        <a:solidFill>
          <a:srgbClr val="C0C0C0"/>
        </a:solidFill>
        <a:ln w="254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100"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66678534625788"/>
          <c:y val="5.696214267319083E-2"/>
          <c:w val="0.86458421283387532"/>
          <c:h val="0.77426319855781611"/>
        </c:manualLayout>
      </c:layout>
      <c:lineChart>
        <c:grouping val="standard"/>
        <c:varyColors val="0"/>
        <c:ser>
          <c:idx val="0"/>
          <c:order val="0"/>
          <c:tx>
            <c:strRef>
              <c:f>'5 years Sales Summary'!$B$32</c:f>
              <c:strCache>
                <c:ptCount val="1"/>
                <c:pt idx="0">
                  <c:v>Year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'Sales Forecast 0'!$B$4:$M$4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0'!$B$25:$M$25</c:f>
              <c:numCache>
                <c:formatCode>#,##0_*;;\-\ \ _*</c:formatCode>
                <c:ptCount val="12"/>
                <c:pt idx="0">
                  <c:v>200</c:v>
                </c:pt>
                <c:pt idx="1">
                  <c:v>272.72727272727275</c:v>
                </c:pt>
                <c:pt idx="2">
                  <c:v>345.4545454545455</c:v>
                </c:pt>
                <c:pt idx="3">
                  <c:v>418.18181818181819</c:v>
                </c:pt>
                <c:pt idx="4">
                  <c:v>490.90909090909093</c:v>
                </c:pt>
                <c:pt idx="5">
                  <c:v>563.63636363636363</c:v>
                </c:pt>
                <c:pt idx="6">
                  <c:v>636.36363636363637</c:v>
                </c:pt>
                <c:pt idx="7">
                  <c:v>709.09090909090901</c:v>
                </c:pt>
                <c:pt idx="8">
                  <c:v>781.81818181818187</c:v>
                </c:pt>
                <c:pt idx="9">
                  <c:v>854.5454545454545</c:v>
                </c:pt>
                <c:pt idx="10">
                  <c:v>927.27272727272725</c:v>
                </c:pt>
                <c:pt idx="11">
                  <c:v>1000</c:v>
                </c:pt>
              </c:numCache>
            </c:numRef>
          </c:val>
          <c:smooth val="0"/>
          <c:extLst>
            <c:ext xmlns:c16="http://schemas.microsoft.com/office/drawing/2014/chart" uri="{C3380CC4-5D6E-409C-BE32-E72D297353CC}">
              <c16:uniqueId val="{00000000-5A42-4486-A02C-E23D769FCFE3}"/>
            </c:ext>
          </c:extLst>
        </c:ser>
        <c:ser>
          <c:idx val="2"/>
          <c:order val="1"/>
          <c:tx>
            <c:strRef>
              <c:f>'5 years Sales Summary'!$C$32</c:f>
              <c:strCache>
                <c:ptCount val="1"/>
                <c:pt idx="0">
                  <c:v>Year 1:   2027</c:v>
                </c:pt>
              </c:strCache>
            </c:strRef>
          </c:tx>
          <c:spPr>
            <a:ln w="12700">
              <a:solidFill>
                <a:schemeClr val="accent6">
                  <a:lumMod val="75000"/>
                </a:schemeClr>
              </a:solidFill>
              <a:prstDash val="solid"/>
            </a:ln>
          </c:spPr>
          <c:marker>
            <c:symbol val="triangle"/>
            <c:size val="5"/>
            <c:spPr>
              <a:solidFill>
                <a:schemeClr val="accent6">
                  <a:lumMod val="75000"/>
                </a:schemeClr>
              </a:solidFill>
              <a:ln>
                <a:solidFill>
                  <a:schemeClr val="accent6">
                    <a:lumMod val="75000"/>
                  </a:schemeClr>
                </a:solidFill>
                <a:prstDash val="solid"/>
              </a:ln>
            </c:spPr>
          </c:marker>
          <c:cat>
            <c:strRef>
              <c:f>'Sales Forecast 0'!$B$4:$M$4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'Sales Forecast 1'!$B$25:$M$25</c:f>
              <c:numCache>
                <c:formatCode>#,##0_*;;\-\ \ \ _*</c:formatCode>
                <c:ptCount val="12"/>
                <c:pt idx="0">
                  <c:v>1030</c:v>
                </c:pt>
                <c:pt idx="1">
                  <c:v>1030</c:v>
                </c:pt>
                <c:pt idx="2">
                  <c:v>1030</c:v>
                </c:pt>
                <c:pt idx="3">
                  <c:v>1030</c:v>
                </c:pt>
                <c:pt idx="4">
                  <c:v>1030</c:v>
                </c:pt>
                <c:pt idx="5">
                  <c:v>1030</c:v>
                </c:pt>
                <c:pt idx="6">
                  <c:v>1030</c:v>
                </c:pt>
                <c:pt idx="7">
                  <c:v>1030</c:v>
                </c:pt>
                <c:pt idx="8">
                  <c:v>1030</c:v>
                </c:pt>
                <c:pt idx="9">
                  <c:v>1030</c:v>
                </c:pt>
                <c:pt idx="10">
                  <c:v>1030</c:v>
                </c:pt>
                <c:pt idx="11">
                  <c:v>1030</c:v>
                </c:pt>
              </c:numCache>
            </c:numRef>
          </c:val>
          <c:smooth val="0"/>
          <c:extLst>
            <c:ext xmlns:c16="http://schemas.microsoft.com/office/drawing/2014/chart" uri="{C3380CC4-5D6E-409C-BE32-E72D297353CC}">
              <c16:uniqueId val="{00000001-5A42-4486-A02C-E23D769FCFE3}"/>
            </c:ext>
          </c:extLst>
        </c:ser>
        <c:ser>
          <c:idx val="1"/>
          <c:order val="2"/>
          <c:tx>
            <c:strRef>
              <c:f>'5 years Sales Summary'!$E$32</c:f>
              <c:strCache>
                <c:ptCount val="1"/>
                <c:pt idx="0">
                  <c:v>Year 2:   2028</c:v>
                </c:pt>
              </c:strCache>
            </c:strRef>
          </c:tx>
          <c:spPr>
            <a:ln w="12700">
              <a:solidFill>
                <a:schemeClr val="accent5">
                  <a:lumMod val="75000"/>
                </a:schemeClr>
              </a:solidFill>
              <a:prstDash val="solid"/>
            </a:ln>
          </c:spPr>
          <c:marker>
            <c:symbol val="square"/>
            <c:size val="5"/>
            <c:spPr>
              <a:solidFill>
                <a:schemeClr val="accent5">
                  <a:lumMod val="75000"/>
                </a:schemeClr>
              </a:solidFill>
              <a:ln>
                <a:solidFill>
                  <a:schemeClr val="accent5">
                    <a:lumMod val="75000"/>
                  </a:schemeClr>
                </a:solidFill>
                <a:prstDash val="solid"/>
              </a:ln>
            </c:spPr>
          </c:marker>
          <c:val>
            <c:numRef>
              <c:f>'Sales Forecast 2'!$B$25:$M$25</c:f>
              <c:numCache>
                <c:formatCode>#,##0_*;;\-\ \ \ _*</c:formatCode>
                <c:ptCount val="12"/>
                <c:pt idx="0">
                  <c:v>1113.9449999999999</c:v>
                </c:pt>
                <c:pt idx="1">
                  <c:v>1113.9449999999999</c:v>
                </c:pt>
                <c:pt idx="2">
                  <c:v>1113.9449999999999</c:v>
                </c:pt>
                <c:pt idx="3">
                  <c:v>1113.9449999999999</c:v>
                </c:pt>
                <c:pt idx="4">
                  <c:v>1113.9449999999999</c:v>
                </c:pt>
                <c:pt idx="5">
                  <c:v>1113.9449999999999</c:v>
                </c:pt>
                <c:pt idx="6">
                  <c:v>1113.9449999999999</c:v>
                </c:pt>
                <c:pt idx="7">
                  <c:v>1113.9449999999999</c:v>
                </c:pt>
                <c:pt idx="8">
                  <c:v>1113.9449999999999</c:v>
                </c:pt>
                <c:pt idx="9">
                  <c:v>1113.9449999999999</c:v>
                </c:pt>
                <c:pt idx="10">
                  <c:v>1113.9449999999999</c:v>
                </c:pt>
                <c:pt idx="11">
                  <c:v>1113.9449999999999</c:v>
                </c:pt>
              </c:numCache>
            </c:numRef>
          </c:val>
          <c:smooth val="0"/>
          <c:extLst>
            <c:ext xmlns:c16="http://schemas.microsoft.com/office/drawing/2014/chart" uri="{C3380CC4-5D6E-409C-BE32-E72D297353CC}">
              <c16:uniqueId val="{00000002-5A42-4486-A02C-E23D769FCFE3}"/>
            </c:ext>
          </c:extLst>
        </c:ser>
        <c:ser>
          <c:idx val="3"/>
          <c:order val="3"/>
          <c:tx>
            <c:strRef>
              <c:f>'5 years Sales Summary'!$G$32</c:f>
              <c:strCache>
                <c:ptCount val="1"/>
                <c:pt idx="0">
                  <c:v>Year 3:   2029</c:v>
                </c:pt>
              </c:strCache>
            </c:strRef>
          </c:tx>
          <c:spPr>
            <a:ln w="12700">
              <a:solidFill>
                <a:schemeClr val="tx2">
                  <a:lumMod val="75000"/>
                </a:schemeClr>
              </a:solidFill>
              <a:prstDash val="solid"/>
            </a:ln>
          </c:spPr>
          <c:marker>
            <c:symbol val="x"/>
            <c:size val="5"/>
            <c:spPr>
              <a:solidFill>
                <a:schemeClr val="tx2">
                  <a:lumMod val="75000"/>
                </a:schemeClr>
              </a:solidFill>
              <a:ln>
                <a:solidFill>
                  <a:schemeClr val="tx2">
                    <a:lumMod val="75000"/>
                  </a:schemeClr>
                </a:solidFill>
                <a:prstDash val="solid"/>
              </a:ln>
            </c:spPr>
          </c:marker>
          <c:val>
            <c:numRef>
              <c:f>'Sales Forecast 3'!$B$25:$M$25</c:f>
              <c:numCache>
                <c:formatCode>#,##0_*;;\-\ \ \ _*</c:formatCode>
                <c:ptCount val="12"/>
                <c:pt idx="0">
                  <c:v>1205.277881</c:v>
                </c:pt>
                <c:pt idx="1">
                  <c:v>1205.277881</c:v>
                </c:pt>
                <c:pt idx="2">
                  <c:v>1205.277881</c:v>
                </c:pt>
                <c:pt idx="3">
                  <c:v>1205.277881</c:v>
                </c:pt>
                <c:pt idx="4">
                  <c:v>1205.277881</c:v>
                </c:pt>
                <c:pt idx="5">
                  <c:v>1205.277881</c:v>
                </c:pt>
                <c:pt idx="6">
                  <c:v>1205.277881</c:v>
                </c:pt>
                <c:pt idx="7">
                  <c:v>1205.277881</c:v>
                </c:pt>
                <c:pt idx="8">
                  <c:v>1205.277881</c:v>
                </c:pt>
                <c:pt idx="9">
                  <c:v>1205.277881</c:v>
                </c:pt>
                <c:pt idx="10">
                  <c:v>1205.277881</c:v>
                </c:pt>
                <c:pt idx="11">
                  <c:v>1205.277881</c:v>
                </c:pt>
              </c:numCache>
            </c:numRef>
          </c:val>
          <c:smooth val="0"/>
          <c:extLst>
            <c:ext xmlns:c16="http://schemas.microsoft.com/office/drawing/2014/chart" uri="{C3380CC4-5D6E-409C-BE32-E72D297353CC}">
              <c16:uniqueId val="{00000003-5A42-4486-A02C-E23D769FCFE3}"/>
            </c:ext>
          </c:extLst>
        </c:ser>
        <c:ser>
          <c:idx val="4"/>
          <c:order val="4"/>
          <c:tx>
            <c:strRef>
              <c:f>'5 years Sales Summary'!$I$32</c:f>
              <c:strCache>
                <c:ptCount val="1"/>
                <c:pt idx="0">
                  <c:v>Year 4:   2030</c:v>
                </c:pt>
              </c:strCache>
            </c:strRef>
          </c:tx>
          <c:spPr>
            <a:ln w="12700">
              <a:solidFill>
                <a:schemeClr val="accent2">
                  <a:lumMod val="75000"/>
                </a:schemeClr>
              </a:solidFill>
              <a:prstDash val="solid"/>
            </a:ln>
          </c:spPr>
          <c:marker>
            <c:symbol val="star"/>
            <c:size val="5"/>
            <c:spPr>
              <a:solidFill>
                <a:schemeClr val="accent2">
                  <a:lumMod val="75000"/>
                </a:schemeClr>
              </a:solidFill>
              <a:ln>
                <a:solidFill>
                  <a:schemeClr val="accent2">
                    <a:lumMod val="75000"/>
                  </a:schemeClr>
                </a:solidFill>
                <a:prstDash val="solid"/>
              </a:ln>
            </c:spPr>
          </c:marker>
          <c:val>
            <c:numRef>
              <c:f>'Sales Forecast 4'!$B$25:$M$25</c:f>
              <c:numCache>
                <c:formatCode>#,##0_*;;\-\ \ \ _*</c:formatCode>
                <c:ptCount val="12"/>
                <c:pt idx="0">
                  <c:v>1303.3392019800001</c:v>
                </c:pt>
                <c:pt idx="1">
                  <c:v>1303.3392019800001</c:v>
                </c:pt>
                <c:pt idx="2">
                  <c:v>1303.3392019800001</c:v>
                </c:pt>
                <c:pt idx="3">
                  <c:v>1303.3392019800001</c:v>
                </c:pt>
                <c:pt idx="4">
                  <c:v>1303.3392019800001</c:v>
                </c:pt>
                <c:pt idx="5">
                  <c:v>1303.3392019800001</c:v>
                </c:pt>
                <c:pt idx="6">
                  <c:v>1303.3392019800001</c:v>
                </c:pt>
                <c:pt idx="7">
                  <c:v>1303.3392019800001</c:v>
                </c:pt>
                <c:pt idx="8">
                  <c:v>1303.3392019800001</c:v>
                </c:pt>
                <c:pt idx="9">
                  <c:v>1303.3392019800001</c:v>
                </c:pt>
                <c:pt idx="10">
                  <c:v>1303.3392019800001</c:v>
                </c:pt>
                <c:pt idx="11">
                  <c:v>1303.3392019800001</c:v>
                </c:pt>
              </c:numCache>
            </c:numRef>
          </c:val>
          <c:smooth val="0"/>
          <c:extLst>
            <c:ext xmlns:c16="http://schemas.microsoft.com/office/drawing/2014/chart" uri="{C3380CC4-5D6E-409C-BE32-E72D297353CC}">
              <c16:uniqueId val="{00000004-5A42-4486-A02C-E23D769FCFE3}"/>
            </c:ext>
          </c:extLst>
        </c:ser>
        <c:dLbls>
          <c:showLegendKey val="0"/>
          <c:showVal val="0"/>
          <c:showCatName val="0"/>
          <c:showSerName val="0"/>
          <c:showPercent val="0"/>
          <c:showBubbleSize val="0"/>
        </c:dLbls>
        <c:marker val="1"/>
        <c:smooth val="0"/>
        <c:axId val="609697424"/>
        <c:axId val="609697816"/>
      </c:lineChart>
      <c:catAx>
        <c:axId val="609697424"/>
        <c:scaling>
          <c:orientation val="minMax"/>
        </c:scaling>
        <c:delete val="0"/>
        <c:axPos val="b"/>
        <c:numFmt formatCode="General" sourceLinked="1"/>
        <c:majorTickMark val="out"/>
        <c:minorTickMark val="none"/>
        <c:tickLblPos val="nextTo"/>
        <c:spPr>
          <a:ln w="38100">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s-ES"/>
          </a:p>
        </c:txPr>
        <c:crossAx val="609697816"/>
        <c:crosses val="autoZero"/>
        <c:auto val="1"/>
        <c:lblAlgn val="ctr"/>
        <c:lblOffset val="100"/>
        <c:tickLblSkip val="1"/>
        <c:tickMarkSkip val="1"/>
        <c:noMultiLvlLbl val="0"/>
      </c:catAx>
      <c:valAx>
        <c:axId val="609697816"/>
        <c:scaling>
          <c:orientation val="minMax"/>
        </c:scaling>
        <c:delete val="0"/>
        <c:axPos val="l"/>
        <c:majorGridlines>
          <c:spPr>
            <a:ln w="3175">
              <a:solidFill>
                <a:srgbClr val="000000"/>
              </a:solidFill>
              <a:prstDash val="solid"/>
            </a:ln>
          </c:spPr>
        </c:majorGridlines>
        <c:title>
          <c:tx>
            <c:rich>
              <a:bodyPr/>
              <a:lstStyle/>
              <a:p>
                <a:pPr>
                  <a:defRPr sz="1375" b="0" i="0" u="none" strike="noStrike" baseline="0">
                    <a:solidFill>
                      <a:srgbClr val="000000"/>
                    </a:solidFill>
                    <a:latin typeface="Tahoma"/>
                    <a:ea typeface="Tahoma"/>
                    <a:cs typeface="Tahoma"/>
                  </a:defRPr>
                </a:pPr>
                <a:r>
                  <a:rPr lang="es-ES"/>
                  <a:t>Sales</a:t>
                </a:r>
              </a:p>
            </c:rich>
          </c:tx>
          <c:layout>
            <c:manualLayout>
              <c:xMode val="edge"/>
              <c:yMode val="edge"/>
              <c:x val="2.812501194894863E-2"/>
              <c:y val="0.31012732104139157"/>
            </c:manualLayout>
          </c:layout>
          <c:overlay val="0"/>
          <c:spPr>
            <a:noFill/>
            <a:ln w="25400">
              <a:noFill/>
            </a:ln>
          </c:spPr>
        </c:title>
        <c:numFmt formatCode="#,##0_*;;\-\ \ _*" sourceLinked="1"/>
        <c:majorTickMark val="out"/>
        <c:minorTickMark val="none"/>
        <c:tickLblPos val="nextTo"/>
        <c:spPr>
          <a:ln w="38100">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s-ES"/>
          </a:p>
        </c:txPr>
        <c:crossAx val="609697424"/>
        <c:crosses val="autoZero"/>
        <c:crossBetween val="between"/>
      </c:valAx>
      <c:spPr>
        <a:solidFill>
          <a:schemeClr val="bg1">
            <a:lumMod val="85000"/>
          </a:schemeClr>
        </a:solidFill>
        <a:ln w="25400">
          <a:solidFill>
            <a:schemeClr val="bg1">
              <a:lumMod val="75000"/>
            </a:schemeClr>
          </a:solidFill>
          <a:prstDash val="solid"/>
        </a:ln>
      </c:spPr>
    </c:plotArea>
    <c:legend>
      <c:legendPos val="r"/>
      <c:layout>
        <c:manualLayout>
          <c:xMode val="edge"/>
          <c:yMode val="edge"/>
          <c:x val="8.3261038780142085E-2"/>
          <c:y val="0.91139411921335911"/>
          <c:w val="0.91257313439358057"/>
          <c:h val="8.016889193198673E-2"/>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Tahoma"/>
              <a:ea typeface="Tahoma"/>
              <a:cs typeface="Tahoma"/>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2925" b="0" i="0" u="none" strike="noStrike" baseline="0">
          <a:solidFill>
            <a:srgbClr val="000000"/>
          </a:solidFill>
          <a:latin typeface="Times New Roman"/>
          <a:ea typeface="Times New Roman"/>
          <a:cs typeface="Times New Roman"/>
        </a:defRPr>
      </a:pPr>
      <a:endParaRPr lang="es-ES"/>
    </a:p>
  </c:txPr>
  <c:printSettings>
    <c:headerFooter alignWithMargins="0"/>
    <c:pageMargins b="0.78740157480314965" l="0.78740157480314965" r="0.78740157480314965" t="0.78740157480314965" header="0" footer="0.39370078740157483"/>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25" b="1" i="0" u="none" strike="noStrike" baseline="0">
                <a:solidFill>
                  <a:srgbClr val="000000"/>
                </a:solidFill>
                <a:latin typeface="Arial"/>
                <a:ea typeface="Arial"/>
                <a:cs typeface="Arial"/>
              </a:defRPr>
            </a:pPr>
            <a:r>
              <a:rPr lang="es-ES"/>
              <a:t>EBT Earnings Before Taxes</a:t>
            </a:r>
          </a:p>
        </c:rich>
      </c:tx>
      <c:layout>
        <c:manualLayout>
          <c:xMode val="edge"/>
          <c:yMode val="edge"/>
          <c:x val="0.33454034548633921"/>
          <c:y val="3.1817376331143316E-2"/>
        </c:manualLayout>
      </c:layout>
      <c:overlay val="0"/>
      <c:spPr>
        <a:noFill/>
        <a:ln w="25400">
          <a:noFill/>
        </a:ln>
      </c:spPr>
    </c:title>
    <c:autoTitleDeleted val="0"/>
    <c:plotArea>
      <c:layout>
        <c:manualLayout>
          <c:layoutTarget val="inner"/>
          <c:xMode val="edge"/>
          <c:yMode val="edge"/>
          <c:x val="0.13458516675859872"/>
          <c:y val="0.17499596067562362"/>
          <c:w val="0.8228921624668607"/>
          <c:h val="0.70634733218160806"/>
        </c:manualLayout>
      </c:layout>
      <c:barChart>
        <c:barDir val="col"/>
        <c:grouping val="stacked"/>
        <c:varyColors val="0"/>
        <c:ser>
          <c:idx val="0"/>
          <c:order val="0"/>
          <c:tx>
            <c:v>Costes Fijos</c:v>
          </c:tx>
          <c:spPr>
            <a:solidFill>
              <a:schemeClr val="accent5">
                <a:lumMod val="75000"/>
              </a:schemeClr>
            </a:solidFill>
            <a:ln w="12700">
              <a:solidFill>
                <a:srgbClr val="000000"/>
              </a:solidFill>
              <a:prstDash val="solid"/>
            </a:ln>
          </c:spPr>
          <c:invertIfNegative val="0"/>
          <c:val>
            <c:numRef>
              <c:f>('Yearly Income St'!$B$18,'Yearly Income St'!$D$18,'Yearly Income St'!$G$18,'Yearly Income St'!$J$18,'Yearly Income St'!$M$18)</c:f>
              <c:numCache>
                <c:formatCode>#,##0_*;[Red]\(\ #,##0\ \)_*</c:formatCode>
                <c:ptCount val="5"/>
                <c:pt idx="0">
                  <c:v>15669.6</c:v>
                </c:pt>
                <c:pt idx="1">
                  <c:v>16329.263999999999</c:v>
                </c:pt>
                <c:pt idx="2">
                  <c:v>16959.422760000001</c:v>
                </c:pt>
                <c:pt idx="3">
                  <c:v>17616.238699560003</c:v>
                </c:pt>
                <c:pt idx="4">
                  <c:v>18300.434321608798</c:v>
                </c:pt>
              </c:numCache>
            </c:numRef>
          </c:val>
          <c:extLst>
            <c:ext xmlns:c16="http://schemas.microsoft.com/office/drawing/2014/chart" uri="{C3380CC4-5D6E-409C-BE32-E72D297353CC}">
              <c16:uniqueId val="{00000000-3101-4231-A459-831FF4FECC67}"/>
            </c:ext>
          </c:extLst>
        </c:ser>
        <c:ser>
          <c:idx val="1"/>
          <c:order val="1"/>
          <c:tx>
            <c:v>Costes Variables</c:v>
          </c:tx>
          <c:spPr>
            <a:solidFill>
              <a:schemeClr val="accent5">
                <a:lumMod val="60000"/>
                <a:lumOff val="40000"/>
              </a:schemeClr>
            </a:solidFill>
            <a:ln w="12700">
              <a:solidFill>
                <a:srgbClr val="000000"/>
              </a:solidFill>
              <a:prstDash val="solid"/>
            </a:ln>
          </c:spPr>
          <c:invertIfNegative val="0"/>
          <c:val>
            <c:numRef>
              <c:f>('Yearly Income St'!$B$9,'Yearly Income St'!$D$9,'Yearly Income St'!$G$9,'Yearly Income St'!$J$9,'Yearly Income St'!$M$9)</c:f>
              <c:numCache>
                <c:formatCode>#,##0_*;[Red]\(\ #,##0\ \)_*</c:formatCode>
                <c:ptCount val="5"/>
                <c:pt idx="0">
                  <c:v>720</c:v>
                </c:pt>
                <c:pt idx="1">
                  <c:v>1236.0000000000002</c:v>
                </c:pt>
                <c:pt idx="2">
                  <c:v>1336.7340000000004</c:v>
                </c:pt>
                <c:pt idx="3">
                  <c:v>1446.3334571999997</c:v>
                </c:pt>
                <c:pt idx="4">
                  <c:v>1564.0070423760001</c:v>
                </c:pt>
              </c:numCache>
            </c:numRef>
          </c:val>
          <c:extLst>
            <c:ext xmlns:c16="http://schemas.microsoft.com/office/drawing/2014/chart" uri="{C3380CC4-5D6E-409C-BE32-E72D297353CC}">
              <c16:uniqueId val="{00000001-3101-4231-A459-831FF4FECC67}"/>
            </c:ext>
          </c:extLst>
        </c:ser>
        <c:ser>
          <c:idx val="2"/>
          <c:order val="2"/>
          <c:tx>
            <c:v>B.A.I.</c:v>
          </c:tx>
          <c:spPr>
            <a:solidFill>
              <a:schemeClr val="accent3">
                <a:lumMod val="60000"/>
                <a:lumOff val="40000"/>
              </a:schemeClr>
            </a:solidFill>
            <a:ln w="12700">
              <a:solidFill>
                <a:srgbClr val="000000"/>
              </a:solidFill>
              <a:prstDash val="solid"/>
            </a:ln>
          </c:spPr>
          <c:invertIfNegative val="0"/>
          <c:val>
            <c:numRef>
              <c:f>('Yearly Income St'!$B$29,'Yearly Income St'!$D$29,'Yearly Income St'!$G$29,'Yearly Income St'!$J$29,'Yearly Income St'!$M$29)</c:f>
              <c:numCache>
                <c:formatCode>#,##0_*;[Red]\ \(\ #,##0\ \)</c:formatCode>
                <c:ptCount val="5"/>
                <c:pt idx="0">
                  <c:v>-9276.7199999999993</c:v>
                </c:pt>
                <c:pt idx="1">
                  <c:v>-5354.82</c:v>
                </c:pt>
                <c:pt idx="2">
                  <c:v>-5090.561574000003</c:v>
                </c:pt>
                <c:pt idx="3">
                  <c:v>-4774.2439330812003</c:v>
                </c:pt>
                <c:pt idx="4">
                  <c:v>-4413.615792352296</c:v>
                </c:pt>
              </c:numCache>
            </c:numRef>
          </c:val>
          <c:extLst>
            <c:ext xmlns:c16="http://schemas.microsoft.com/office/drawing/2014/chart" uri="{C3380CC4-5D6E-409C-BE32-E72D297353CC}">
              <c16:uniqueId val="{00000002-3101-4231-A459-831FF4FECC67}"/>
            </c:ext>
          </c:extLst>
        </c:ser>
        <c:dLbls>
          <c:showLegendKey val="0"/>
          <c:showVal val="0"/>
          <c:showCatName val="0"/>
          <c:showSerName val="0"/>
          <c:showPercent val="0"/>
          <c:showBubbleSize val="0"/>
        </c:dLbls>
        <c:gapWidth val="150"/>
        <c:overlap val="100"/>
        <c:axId val="609698600"/>
        <c:axId val="609698992"/>
      </c:barChart>
      <c:catAx>
        <c:axId val="6096986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609698992"/>
        <c:crosses val="autoZero"/>
        <c:auto val="1"/>
        <c:lblAlgn val="ctr"/>
        <c:lblOffset val="100"/>
        <c:tickLblSkip val="1"/>
        <c:tickMarkSkip val="1"/>
        <c:noMultiLvlLbl val="0"/>
      </c:catAx>
      <c:valAx>
        <c:axId val="609698992"/>
        <c:scaling>
          <c:orientation val="minMax"/>
        </c:scaling>
        <c:delete val="0"/>
        <c:axPos val="l"/>
        <c:majorGridlines>
          <c:spPr>
            <a:ln w="3175">
              <a:solidFill>
                <a:srgbClr val="000000"/>
              </a:solidFill>
              <a:prstDash val="solid"/>
            </a:ln>
          </c:spPr>
        </c:majorGridlines>
        <c:numFmt formatCode="#,##0_*;[Red]\(\ #,##0\ \)_*"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Arial"/>
                <a:ea typeface="Arial"/>
                <a:cs typeface="Arial"/>
              </a:defRPr>
            </a:pPr>
            <a:endParaRPr lang="es-ES"/>
          </a:p>
        </c:txPr>
        <c:crossAx val="609698600"/>
        <c:crosses val="autoZero"/>
        <c:crossBetween val="between"/>
      </c:valAx>
      <c:spPr>
        <a:solidFill>
          <a:schemeClr val="bg1">
            <a:lumMod val="85000"/>
          </a:schemeClr>
        </a:solidFill>
        <a:ln w="12700">
          <a:solidFill>
            <a:schemeClr val="bg1">
              <a:lumMod val="75000"/>
            </a:schemeClr>
          </a:solidFill>
          <a:prstDash val="solid"/>
        </a:ln>
      </c:spPr>
    </c:plotArea>
    <c:legend>
      <c:legendPos val="r"/>
      <c:layout>
        <c:manualLayout>
          <c:xMode val="edge"/>
          <c:yMode val="edge"/>
          <c:x val="0.84401322106880405"/>
          <c:y val="0.47876857749469215"/>
          <c:w val="0.14743607626710331"/>
          <c:h val="0.19108280254777066"/>
        </c:manualLayout>
      </c:layout>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9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1" i="0" u="none" strike="noStrike" baseline="0">
                <a:solidFill>
                  <a:srgbClr val="000000"/>
                </a:solidFill>
                <a:latin typeface="Arial"/>
                <a:ea typeface="Arial"/>
                <a:cs typeface="Arial"/>
              </a:defRPr>
            </a:pPr>
            <a:r>
              <a:rPr lang="es-ES"/>
              <a:t>Monthly Cash Balances</a:t>
            </a:r>
          </a:p>
        </c:rich>
      </c:tx>
      <c:layout>
        <c:manualLayout>
          <c:xMode val="edge"/>
          <c:yMode val="edge"/>
          <c:x val="0.36246813621305046"/>
          <c:y val="2.8985507246376812E-2"/>
        </c:manualLayout>
      </c:layout>
      <c:overlay val="0"/>
      <c:spPr>
        <a:noFill/>
        <a:ln w="25400">
          <a:noFill/>
        </a:ln>
      </c:spPr>
    </c:title>
    <c:autoTitleDeleted val="0"/>
    <c:plotArea>
      <c:layout>
        <c:manualLayout>
          <c:layoutTarget val="inner"/>
          <c:xMode val="edge"/>
          <c:yMode val="edge"/>
          <c:x val="9.7686436630405382E-2"/>
          <c:y val="0.1352660195548846"/>
          <c:w val="0.86246840761844745"/>
          <c:h val="0.68116102704424031"/>
        </c:manualLayout>
      </c:layout>
      <c:lineChart>
        <c:grouping val="standard"/>
        <c:varyColors val="0"/>
        <c:ser>
          <c:idx val="0"/>
          <c:order val="0"/>
          <c:tx>
            <c:strRef>
              <c:f>'Cash Flow Summary'!$A$63</c:f>
              <c:strCache>
                <c:ptCount val="1"/>
                <c:pt idx="0">
                  <c:v>Year 0:   2026</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val>
            <c:numRef>
              <c:f>'Cash Flow Summary'!$B$63:$M$63</c:f>
              <c:numCache>
                <c:formatCode>#,##0</c:formatCode>
                <c:ptCount val="12"/>
                <c:pt idx="0">
                  <c:v>1107.0720000000001</c:v>
                </c:pt>
                <c:pt idx="1">
                  <c:v>90.814000000000306</c:v>
                </c:pt>
                <c:pt idx="2">
                  <c:v>-847.12399999999957</c:v>
                </c:pt>
                <c:pt idx="3">
                  <c:v>-1715.554363636363</c:v>
                </c:pt>
                <c:pt idx="4">
                  <c:v>-2571.7307272727267</c:v>
                </c:pt>
                <c:pt idx="5">
                  <c:v>-3363.3325454545447</c:v>
                </c:pt>
                <c:pt idx="6">
                  <c:v>-4090.3598181818174</c:v>
                </c:pt>
                <c:pt idx="7">
                  <c:v>-4752.8125454545443</c:v>
                </c:pt>
                <c:pt idx="8">
                  <c:v>-5350.6907272727258</c:v>
                </c:pt>
                <c:pt idx="9">
                  <c:v>-5883.9943636363623</c:v>
                </c:pt>
                <c:pt idx="10">
                  <c:v>-6352.723454545453</c:v>
                </c:pt>
                <c:pt idx="11">
                  <c:v>-6756.8779999999988</c:v>
                </c:pt>
              </c:numCache>
            </c:numRef>
          </c:val>
          <c:smooth val="0"/>
          <c:extLst>
            <c:ext xmlns:c16="http://schemas.microsoft.com/office/drawing/2014/chart" uri="{C3380CC4-5D6E-409C-BE32-E72D297353CC}">
              <c16:uniqueId val="{00000000-10C6-45F3-85A7-D1B369A6D8D7}"/>
            </c:ext>
          </c:extLst>
        </c:ser>
        <c:ser>
          <c:idx val="1"/>
          <c:order val="1"/>
          <c:tx>
            <c:strRef>
              <c:f>'Cash Flow Summary'!$A$64</c:f>
              <c:strCache>
                <c:ptCount val="1"/>
                <c:pt idx="0">
                  <c:v>Year 1:   2027</c:v>
                </c:pt>
              </c:strCache>
            </c:strRef>
          </c:tx>
          <c:spPr>
            <a:ln w="12700">
              <a:solidFill>
                <a:schemeClr val="accent6">
                  <a:lumMod val="75000"/>
                </a:schemeClr>
              </a:solidFill>
              <a:prstDash val="solid"/>
            </a:ln>
          </c:spPr>
          <c:marker>
            <c:symbol val="square"/>
            <c:size val="5"/>
            <c:spPr>
              <a:solidFill>
                <a:schemeClr val="accent6">
                  <a:lumMod val="75000"/>
                </a:schemeClr>
              </a:solidFill>
              <a:ln>
                <a:solidFill>
                  <a:schemeClr val="accent6">
                    <a:lumMod val="75000"/>
                  </a:schemeClr>
                </a:solidFill>
                <a:prstDash val="solid"/>
              </a:ln>
            </c:spPr>
          </c:marker>
          <c:val>
            <c:numRef>
              <c:f>'Cash Flow Summary'!$B$64:$M$64</c:f>
              <c:numCache>
                <c:formatCode>#,##0</c:formatCode>
                <c:ptCount val="12"/>
                <c:pt idx="0">
                  <c:v>-7200.1671199999992</c:v>
                </c:pt>
                <c:pt idx="1">
                  <c:v>-7646.4021199999988</c:v>
                </c:pt>
                <c:pt idx="2">
                  <c:v>-8092.6371199999985</c:v>
                </c:pt>
                <c:pt idx="3">
                  <c:v>-8538.8721199999982</c:v>
                </c:pt>
                <c:pt idx="4">
                  <c:v>-8985.1071199999988</c:v>
                </c:pt>
                <c:pt idx="5">
                  <c:v>-9431.3421199999993</c:v>
                </c:pt>
                <c:pt idx="6">
                  <c:v>-9877.5771199999999</c:v>
                </c:pt>
                <c:pt idx="7">
                  <c:v>-10323.812120000001</c:v>
                </c:pt>
                <c:pt idx="8">
                  <c:v>-10770.047120000001</c:v>
                </c:pt>
                <c:pt idx="9">
                  <c:v>-11216.282120000002</c:v>
                </c:pt>
                <c:pt idx="10">
                  <c:v>-11662.517120000002</c:v>
                </c:pt>
                <c:pt idx="11">
                  <c:v>-12108.752120000003</c:v>
                </c:pt>
              </c:numCache>
            </c:numRef>
          </c:val>
          <c:smooth val="0"/>
          <c:extLst>
            <c:ext xmlns:c16="http://schemas.microsoft.com/office/drawing/2014/chart" uri="{C3380CC4-5D6E-409C-BE32-E72D297353CC}">
              <c16:uniqueId val="{00000001-10C6-45F3-85A7-D1B369A6D8D7}"/>
            </c:ext>
          </c:extLst>
        </c:ser>
        <c:ser>
          <c:idx val="2"/>
          <c:order val="2"/>
          <c:tx>
            <c:strRef>
              <c:f>'Cash Flow Summary'!$A$65</c:f>
              <c:strCache>
                <c:ptCount val="1"/>
                <c:pt idx="0">
                  <c:v>Year 2:   2028</c:v>
                </c:pt>
              </c:strCache>
            </c:strRef>
          </c:tx>
          <c:spPr>
            <a:ln w="12700">
              <a:solidFill>
                <a:schemeClr val="accent2">
                  <a:lumMod val="75000"/>
                </a:schemeClr>
              </a:solidFill>
              <a:prstDash val="solid"/>
            </a:ln>
          </c:spPr>
          <c:marker>
            <c:symbol val="triangle"/>
            <c:size val="5"/>
            <c:spPr>
              <a:solidFill>
                <a:schemeClr val="accent2">
                  <a:lumMod val="75000"/>
                </a:schemeClr>
              </a:solidFill>
              <a:ln>
                <a:solidFill>
                  <a:schemeClr val="accent2">
                    <a:lumMod val="75000"/>
                  </a:schemeClr>
                </a:solidFill>
                <a:prstDash val="solid"/>
              </a:ln>
            </c:spPr>
          </c:marker>
          <c:val>
            <c:numRef>
              <c:f>'Cash Flow Summary'!$B$65:$M$65</c:f>
              <c:numCache>
                <c:formatCode>#,##0</c:formatCode>
                <c:ptCount val="12"/>
                <c:pt idx="0">
                  <c:v>-12517.644557800004</c:v>
                </c:pt>
                <c:pt idx="1">
                  <c:v>-12941.858022300004</c:v>
                </c:pt>
                <c:pt idx="2">
                  <c:v>-13366.071486800005</c:v>
                </c:pt>
                <c:pt idx="3">
                  <c:v>-13790.284951300006</c:v>
                </c:pt>
                <c:pt idx="4">
                  <c:v>-14214.498415800006</c:v>
                </c:pt>
                <c:pt idx="5">
                  <c:v>-14638.711880300007</c:v>
                </c:pt>
                <c:pt idx="6">
                  <c:v>-15062.925344800007</c:v>
                </c:pt>
                <c:pt idx="7">
                  <c:v>-15487.138809300008</c:v>
                </c:pt>
                <c:pt idx="8">
                  <c:v>-15911.352273800008</c:v>
                </c:pt>
                <c:pt idx="9">
                  <c:v>-16335.565738300009</c:v>
                </c:pt>
                <c:pt idx="10">
                  <c:v>-16759.779202800008</c:v>
                </c:pt>
                <c:pt idx="11">
                  <c:v>-17183.992667300008</c:v>
                </c:pt>
              </c:numCache>
            </c:numRef>
          </c:val>
          <c:smooth val="0"/>
          <c:extLst>
            <c:ext xmlns:c16="http://schemas.microsoft.com/office/drawing/2014/chart" uri="{C3380CC4-5D6E-409C-BE32-E72D297353CC}">
              <c16:uniqueId val="{00000002-10C6-45F3-85A7-D1B369A6D8D7}"/>
            </c:ext>
          </c:extLst>
        </c:ser>
        <c:ser>
          <c:idx val="3"/>
          <c:order val="3"/>
          <c:tx>
            <c:strRef>
              <c:f>'Cash Flow Summary'!$A$66</c:f>
              <c:strCache>
                <c:ptCount val="1"/>
                <c:pt idx="0">
                  <c:v>Year 3:   2029</c:v>
                </c:pt>
              </c:strCache>
            </c:strRef>
          </c:tx>
          <c:spPr>
            <a:ln w="12700">
              <a:solidFill>
                <a:schemeClr val="accent1">
                  <a:lumMod val="75000"/>
                </a:schemeClr>
              </a:solidFill>
              <a:prstDash val="solid"/>
            </a:ln>
          </c:spPr>
          <c:marker>
            <c:symbol val="x"/>
            <c:size val="5"/>
            <c:spPr>
              <a:solidFill>
                <a:schemeClr val="accent1">
                  <a:lumMod val="75000"/>
                </a:schemeClr>
              </a:solidFill>
              <a:ln>
                <a:solidFill>
                  <a:schemeClr val="accent1">
                    <a:lumMod val="75000"/>
                  </a:schemeClr>
                </a:solidFill>
                <a:prstDash val="solid"/>
              </a:ln>
            </c:spPr>
          </c:marker>
          <c:val>
            <c:numRef>
              <c:f>'Cash Flow Summary'!$B$66:$M$66</c:f>
              <c:numCache>
                <c:formatCode>#,##0</c:formatCode>
                <c:ptCount val="12"/>
                <c:pt idx="0">
                  <c:v>-17565.17616482341</c:v>
                </c:pt>
                <c:pt idx="1">
                  <c:v>-17963.029825913509</c:v>
                </c:pt>
                <c:pt idx="2">
                  <c:v>-18360.883487003608</c:v>
                </c:pt>
                <c:pt idx="3">
                  <c:v>-18758.737148093707</c:v>
                </c:pt>
                <c:pt idx="4">
                  <c:v>-19156.590809183806</c:v>
                </c:pt>
                <c:pt idx="5">
                  <c:v>-19554.444470273906</c:v>
                </c:pt>
                <c:pt idx="6">
                  <c:v>-19952.298131364005</c:v>
                </c:pt>
                <c:pt idx="7">
                  <c:v>-20350.151792454104</c:v>
                </c:pt>
                <c:pt idx="8">
                  <c:v>-20748.005453544203</c:v>
                </c:pt>
                <c:pt idx="9">
                  <c:v>-21145.859114634302</c:v>
                </c:pt>
                <c:pt idx="10">
                  <c:v>-21543.712775724402</c:v>
                </c:pt>
                <c:pt idx="11">
                  <c:v>-21941.566436814501</c:v>
                </c:pt>
              </c:numCache>
            </c:numRef>
          </c:val>
          <c:smooth val="0"/>
          <c:extLst>
            <c:ext xmlns:c16="http://schemas.microsoft.com/office/drawing/2014/chart" uri="{C3380CC4-5D6E-409C-BE32-E72D297353CC}">
              <c16:uniqueId val="{00000003-10C6-45F3-85A7-D1B369A6D8D7}"/>
            </c:ext>
          </c:extLst>
        </c:ser>
        <c:ser>
          <c:idx val="4"/>
          <c:order val="4"/>
          <c:tx>
            <c:strRef>
              <c:f>'Cash Flow Summary'!$A$67</c:f>
              <c:strCache>
                <c:ptCount val="1"/>
                <c:pt idx="0">
                  <c:v>Year 4:   2030</c:v>
                </c:pt>
              </c:strCache>
            </c:strRef>
          </c:tx>
          <c:spPr>
            <a:ln w="12700">
              <a:solidFill>
                <a:schemeClr val="accent4">
                  <a:lumMod val="75000"/>
                </a:schemeClr>
              </a:solidFill>
              <a:prstDash val="solid"/>
            </a:ln>
          </c:spPr>
          <c:marker>
            <c:symbol val="star"/>
            <c:size val="5"/>
            <c:spPr>
              <a:solidFill>
                <a:schemeClr val="accent4">
                  <a:lumMod val="75000"/>
                </a:schemeClr>
              </a:solidFill>
              <a:ln>
                <a:solidFill>
                  <a:schemeClr val="accent4">
                    <a:lumMod val="75000"/>
                  </a:schemeClr>
                </a:solidFill>
                <a:prstDash val="solid"/>
              </a:ln>
            </c:spPr>
          </c:marker>
          <c:val>
            <c:numRef>
              <c:f>'Cash Flow Summary'!$B$67:$M$67</c:f>
              <c:numCache>
                <c:formatCode>#,##0</c:formatCode>
                <c:ptCount val="12"/>
                <c:pt idx="0">
                  <c:v>-22291.468957444493</c:v>
                </c:pt>
                <c:pt idx="1">
                  <c:v>-22659.270273473852</c:v>
                </c:pt>
                <c:pt idx="2">
                  <c:v>-23027.071589503212</c:v>
                </c:pt>
                <c:pt idx="3">
                  <c:v>-23394.872905532571</c:v>
                </c:pt>
                <c:pt idx="4">
                  <c:v>-23762.674221561931</c:v>
                </c:pt>
                <c:pt idx="5">
                  <c:v>-24130.47553759129</c:v>
                </c:pt>
                <c:pt idx="6">
                  <c:v>-24498.276853620649</c:v>
                </c:pt>
                <c:pt idx="7">
                  <c:v>-24866.078169650009</c:v>
                </c:pt>
                <c:pt idx="8">
                  <c:v>-25233.879485679368</c:v>
                </c:pt>
                <c:pt idx="9">
                  <c:v>-25601.680801708728</c:v>
                </c:pt>
                <c:pt idx="10">
                  <c:v>-25969.482117738087</c:v>
                </c:pt>
                <c:pt idx="11">
                  <c:v>-26337.283433767447</c:v>
                </c:pt>
              </c:numCache>
            </c:numRef>
          </c:val>
          <c:smooth val="0"/>
          <c:extLst>
            <c:ext xmlns:c16="http://schemas.microsoft.com/office/drawing/2014/chart" uri="{C3380CC4-5D6E-409C-BE32-E72D297353CC}">
              <c16:uniqueId val="{00000004-10C6-45F3-85A7-D1B369A6D8D7}"/>
            </c:ext>
          </c:extLst>
        </c:ser>
        <c:dLbls>
          <c:showLegendKey val="0"/>
          <c:showVal val="0"/>
          <c:showCatName val="0"/>
          <c:showSerName val="0"/>
          <c:showPercent val="0"/>
          <c:showBubbleSize val="0"/>
        </c:dLbls>
        <c:marker val="1"/>
        <c:smooth val="0"/>
        <c:axId val="609700168"/>
        <c:axId val="609700560"/>
      </c:lineChart>
      <c:catAx>
        <c:axId val="609700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S"/>
          </a:p>
        </c:txPr>
        <c:crossAx val="609700560"/>
        <c:crosses val="autoZero"/>
        <c:auto val="1"/>
        <c:lblAlgn val="ctr"/>
        <c:lblOffset val="100"/>
        <c:tickLblSkip val="1"/>
        <c:tickMarkSkip val="1"/>
        <c:noMultiLvlLbl val="0"/>
      </c:catAx>
      <c:valAx>
        <c:axId val="609700560"/>
        <c:scaling>
          <c:orientation val="minMax"/>
        </c:scaling>
        <c:delete val="0"/>
        <c:axPos val="l"/>
        <c:majorGridlines>
          <c:spPr>
            <a:ln w="3175">
              <a:solidFill>
                <a:srgbClr val="000000"/>
              </a:solidFill>
              <a:prstDash val="solid"/>
            </a:ln>
          </c:spPr>
        </c:majorGridlines>
        <c:numFmt formatCode="#,##0\ ;[Red]\(\ #,##0\ \)\ "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S"/>
          </a:p>
        </c:txPr>
        <c:crossAx val="609700168"/>
        <c:crosses val="autoZero"/>
        <c:crossBetween val="between"/>
      </c:valAx>
      <c:spPr>
        <a:solidFill>
          <a:schemeClr val="bg1">
            <a:lumMod val="85000"/>
          </a:schemeClr>
        </a:solidFill>
        <a:ln w="12700">
          <a:solidFill>
            <a:schemeClr val="bg1">
              <a:lumMod val="75000"/>
            </a:schemeClr>
          </a:solidFill>
          <a:prstDash val="solid"/>
        </a:ln>
      </c:spPr>
    </c:plotArea>
    <c:legend>
      <c:legendPos val="b"/>
      <c:layout>
        <c:manualLayout>
          <c:xMode val="edge"/>
          <c:yMode val="edge"/>
          <c:x val="6.5981148243359045E-2"/>
          <c:y val="0.90821458911838915"/>
          <c:w val="0.88946069401993144"/>
          <c:h val="7.2464021707431492E-2"/>
        </c:manualLayout>
      </c:layout>
      <c:overlay val="0"/>
      <c:spPr>
        <a:solidFill>
          <a:srgbClr val="FFFFFF"/>
        </a:solidFill>
        <a:ln w="3175">
          <a:solidFill>
            <a:srgbClr val="000000"/>
          </a:solidFill>
          <a:prstDash val="solid"/>
        </a:ln>
      </c:spPr>
      <c:txPr>
        <a:bodyPr/>
        <a:lstStyle/>
        <a:p>
          <a:pPr>
            <a:defRPr sz="690" b="0" i="0" u="none" strike="noStrike" baseline="0">
              <a:solidFill>
                <a:srgbClr val="000000"/>
              </a:solidFill>
              <a:latin typeface="Arial"/>
              <a:ea typeface="Arial"/>
              <a:cs typeface="Arial"/>
            </a:defRPr>
          </a:pPr>
          <a:endParaRPr lang="es-ES"/>
        </a:p>
      </c:txPr>
    </c:legend>
    <c:plotVisOnly val="1"/>
    <c:dispBlanksAs val="gap"/>
    <c:showDLblsOverMax val="0"/>
  </c:chart>
  <c:spPr>
    <a:solidFill>
      <a:srgbClr val="FFFFFF"/>
    </a:solidFill>
    <a:ln w="3175">
      <a:solidFill>
        <a:srgbClr val="000000"/>
      </a:solidFill>
      <a:prstDash val="solid"/>
    </a:ln>
  </c:spPr>
  <c:txPr>
    <a:bodyPr/>
    <a:lstStyle/>
    <a:p>
      <a:pPr>
        <a:defRPr sz="1125"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Calibri"/>
                <a:ea typeface="Calibri"/>
                <a:cs typeface="Calibri"/>
              </a:defRPr>
            </a:pPr>
            <a:r>
              <a:rPr lang="es-ES"/>
              <a:t>Evolución del negocio </a:t>
            </a:r>
          </a:p>
        </c:rich>
      </c:tx>
      <c:layout>
        <c:manualLayout>
          <c:xMode val="edge"/>
          <c:yMode val="edge"/>
          <c:x val="0.35101604704475231"/>
          <c:y val="2.4220815128079318E-2"/>
        </c:manualLayout>
      </c:layout>
      <c:overlay val="0"/>
    </c:title>
    <c:autoTitleDeleted val="0"/>
    <c:plotArea>
      <c:layout/>
      <c:lineChart>
        <c:grouping val="standard"/>
        <c:varyColors val="0"/>
        <c:ser>
          <c:idx val="2"/>
          <c:order val="0"/>
          <c:tx>
            <c:strRef>
              <c:f>'Executive Summary'!$B$54</c:f>
              <c:strCache>
                <c:ptCount val="1"/>
                <c:pt idx="0">
                  <c:v>Turnover</c:v>
                </c:pt>
              </c:strCache>
            </c:strRef>
          </c:tx>
          <c:spPr>
            <a:ln w="28575"/>
          </c:spPr>
          <c:marker>
            <c:spPr>
              <a:solidFill>
                <a:schemeClr val="accent3"/>
              </a:solidFill>
              <a:ln w="28575"/>
            </c:spPr>
          </c:marker>
          <c:cat>
            <c:strRef>
              <c:f>'Executive Summary'!$A$55:$A$60</c:f>
              <c:strCache>
                <c:ptCount val="6"/>
                <c:pt idx="0">
                  <c:v>Initial</c:v>
                </c:pt>
                <c:pt idx="1">
                  <c:v>Year 0:   2026</c:v>
                </c:pt>
                <c:pt idx="2">
                  <c:v>Year 1:   2027</c:v>
                </c:pt>
                <c:pt idx="3">
                  <c:v>Year 2:   2028</c:v>
                </c:pt>
                <c:pt idx="4">
                  <c:v>Year 3:   2029</c:v>
                </c:pt>
                <c:pt idx="5">
                  <c:v>Year 4:   2030</c:v>
                </c:pt>
              </c:strCache>
            </c:strRef>
          </c:cat>
          <c:val>
            <c:numRef>
              <c:f>'Executive Summary'!$B$55:$B$60</c:f>
              <c:numCache>
                <c:formatCode>#,##0</c:formatCode>
                <c:ptCount val="6"/>
                <c:pt idx="0">
                  <c:v>0</c:v>
                </c:pt>
                <c:pt idx="1">
                  <c:v>7199.9999999999991</c:v>
                </c:pt>
                <c:pt idx="2">
                  <c:v>12360</c:v>
                </c:pt>
                <c:pt idx="3">
                  <c:v>13367.339999999998</c:v>
                </c:pt>
                <c:pt idx="4">
                  <c:v>14463.334572</c:v>
                </c:pt>
                <c:pt idx="5">
                  <c:v>15640.070423759998</c:v>
                </c:pt>
              </c:numCache>
            </c:numRef>
          </c:val>
          <c:smooth val="0"/>
          <c:extLst>
            <c:ext xmlns:c16="http://schemas.microsoft.com/office/drawing/2014/chart" uri="{C3380CC4-5D6E-409C-BE32-E72D297353CC}">
              <c16:uniqueId val="{00000000-A9CA-45BD-BD0A-A0C1C4062FF4}"/>
            </c:ext>
          </c:extLst>
        </c:ser>
        <c:ser>
          <c:idx val="3"/>
          <c:order val="1"/>
          <c:tx>
            <c:strRef>
              <c:f>'Executive Summary'!$C$54</c:f>
              <c:strCache>
                <c:ptCount val="1"/>
                <c:pt idx="0">
                  <c:v>EBITDA</c:v>
                </c:pt>
              </c:strCache>
            </c:strRef>
          </c:tx>
          <c:spPr>
            <a:ln w="28575"/>
          </c:spPr>
          <c:marker>
            <c:spPr>
              <a:ln w="28575"/>
            </c:spPr>
          </c:marker>
          <c:cat>
            <c:strRef>
              <c:f>'Executive Summary'!$A$55:$A$60</c:f>
              <c:strCache>
                <c:ptCount val="6"/>
                <c:pt idx="0">
                  <c:v>Initial</c:v>
                </c:pt>
                <c:pt idx="1">
                  <c:v>Year 0:   2026</c:v>
                </c:pt>
                <c:pt idx="2">
                  <c:v>Year 1:   2027</c:v>
                </c:pt>
                <c:pt idx="3">
                  <c:v>Year 2:   2028</c:v>
                </c:pt>
                <c:pt idx="4">
                  <c:v>Year 3:   2029</c:v>
                </c:pt>
                <c:pt idx="5">
                  <c:v>Year 4:   2030</c:v>
                </c:pt>
              </c:strCache>
            </c:strRef>
          </c:cat>
          <c:val>
            <c:numRef>
              <c:f>'Executive Summary'!$C$55:$C$60</c:f>
              <c:numCache>
                <c:formatCode>#,##0</c:formatCode>
                <c:ptCount val="6"/>
                <c:pt idx="0">
                  <c:v>0</c:v>
                </c:pt>
                <c:pt idx="1">
                  <c:v>-9189.6</c:v>
                </c:pt>
                <c:pt idx="2">
                  <c:v>-5205.2639999999992</c:v>
                </c:pt>
                <c:pt idx="3">
                  <c:v>-4928.8167600000033</c:v>
                </c:pt>
                <c:pt idx="4">
                  <c:v>-4599.2375847600033</c:v>
                </c:pt>
                <c:pt idx="5">
                  <c:v>-4224.3709402248005</c:v>
                </c:pt>
              </c:numCache>
            </c:numRef>
          </c:val>
          <c:smooth val="0"/>
          <c:extLst>
            <c:ext xmlns:c16="http://schemas.microsoft.com/office/drawing/2014/chart" uri="{C3380CC4-5D6E-409C-BE32-E72D297353CC}">
              <c16:uniqueId val="{00000001-A9CA-45BD-BD0A-A0C1C4062FF4}"/>
            </c:ext>
          </c:extLst>
        </c:ser>
        <c:ser>
          <c:idx val="4"/>
          <c:order val="2"/>
          <c:tx>
            <c:strRef>
              <c:f>'Executive Summary'!$D$54</c:f>
              <c:strCache>
                <c:ptCount val="1"/>
                <c:pt idx="0">
                  <c:v>Net Earnings</c:v>
                </c:pt>
              </c:strCache>
            </c:strRef>
          </c:tx>
          <c:spPr>
            <a:ln w="38100">
              <a:prstDash val="sysDash"/>
            </a:ln>
          </c:spPr>
          <c:marker>
            <c:spPr>
              <a:ln w="38100">
                <a:prstDash val="sysDash"/>
              </a:ln>
            </c:spPr>
          </c:marker>
          <c:cat>
            <c:strRef>
              <c:f>'Executive Summary'!$A$55:$A$60</c:f>
              <c:strCache>
                <c:ptCount val="6"/>
                <c:pt idx="0">
                  <c:v>Initial</c:v>
                </c:pt>
                <c:pt idx="1">
                  <c:v>Year 0:   2026</c:v>
                </c:pt>
                <c:pt idx="2">
                  <c:v>Year 1:   2027</c:v>
                </c:pt>
                <c:pt idx="3">
                  <c:v>Year 2:   2028</c:v>
                </c:pt>
                <c:pt idx="4">
                  <c:v>Year 3:   2029</c:v>
                </c:pt>
                <c:pt idx="5">
                  <c:v>Year 4:   2030</c:v>
                </c:pt>
              </c:strCache>
            </c:strRef>
          </c:cat>
          <c:val>
            <c:numRef>
              <c:f>'Executive Summary'!$D$55:$D$60</c:f>
              <c:numCache>
                <c:formatCode>#,##0</c:formatCode>
                <c:ptCount val="6"/>
                <c:pt idx="0">
                  <c:v>0</c:v>
                </c:pt>
                <c:pt idx="1">
                  <c:v>-9276.7199999999993</c:v>
                </c:pt>
                <c:pt idx="2">
                  <c:v>-5354.82</c:v>
                </c:pt>
                <c:pt idx="3">
                  <c:v>-5090.561574000003</c:v>
                </c:pt>
                <c:pt idx="4">
                  <c:v>-4774.2439330812003</c:v>
                </c:pt>
                <c:pt idx="5">
                  <c:v>-4413.615792352296</c:v>
                </c:pt>
              </c:numCache>
            </c:numRef>
          </c:val>
          <c:smooth val="0"/>
          <c:extLst>
            <c:ext xmlns:c16="http://schemas.microsoft.com/office/drawing/2014/chart" uri="{C3380CC4-5D6E-409C-BE32-E72D297353CC}">
              <c16:uniqueId val="{00000002-A9CA-45BD-BD0A-A0C1C4062FF4}"/>
            </c:ext>
          </c:extLst>
        </c:ser>
        <c:ser>
          <c:idx val="5"/>
          <c:order val="3"/>
          <c:tx>
            <c:strRef>
              <c:f>'Executive Summary'!$E$54</c:f>
              <c:strCache>
                <c:ptCount val="1"/>
                <c:pt idx="0">
                  <c:v>Cash-Flow</c:v>
                </c:pt>
              </c:strCache>
            </c:strRef>
          </c:tx>
          <c:cat>
            <c:strRef>
              <c:f>'Executive Summary'!$A$55:$A$60</c:f>
              <c:strCache>
                <c:ptCount val="6"/>
                <c:pt idx="0">
                  <c:v>Initial</c:v>
                </c:pt>
                <c:pt idx="1">
                  <c:v>Year 0:   2026</c:v>
                </c:pt>
                <c:pt idx="2">
                  <c:v>Year 1:   2027</c:v>
                </c:pt>
                <c:pt idx="3">
                  <c:v>Year 2:   2028</c:v>
                </c:pt>
                <c:pt idx="4">
                  <c:v>Year 3:   2029</c:v>
                </c:pt>
                <c:pt idx="5">
                  <c:v>Year 4:   2030</c:v>
                </c:pt>
              </c:strCache>
            </c:strRef>
          </c:cat>
          <c:val>
            <c:numRef>
              <c:f>'Executive Summary'!$E$55:$E$60</c:f>
              <c:numCache>
                <c:formatCode>#,##0</c:formatCode>
                <c:ptCount val="6"/>
                <c:pt idx="0">
                  <c:v>0</c:v>
                </c:pt>
                <c:pt idx="1">
                  <c:v>-8958.5279999999984</c:v>
                </c:pt>
                <c:pt idx="2">
                  <c:v>-5351.874120000004</c:v>
                </c:pt>
                <c:pt idx="3">
                  <c:v>-5075.2405473000053</c:v>
                </c:pt>
                <c:pt idx="4">
                  <c:v>-4757.5737695144926</c:v>
                </c:pt>
                <c:pt idx="5">
                  <c:v>-4395.7169969529459</c:v>
                </c:pt>
              </c:numCache>
            </c:numRef>
          </c:val>
          <c:smooth val="0"/>
          <c:extLst>
            <c:ext xmlns:c16="http://schemas.microsoft.com/office/drawing/2014/chart" uri="{C3380CC4-5D6E-409C-BE32-E72D297353CC}">
              <c16:uniqueId val="{00000003-A9CA-45BD-BD0A-A0C1C4062FF4}"/>
            </c:ext>
          </c:extLst>
        </c:ser>
        <c:ser>
          <c:idx val="0"/>
          <c:order val="4"/>
          <c:tx>
            <c:strRef>
              <c:f>'Executive Summary'!$F$54</c:f>
              <c:strCache>
                <c:ptCount val="1"/>
                <c:pt idx="0">
                  <c:v>Networth</c:v>
                </c:pt>
              </c:strCache>
            </c:strRef>
          </c:tx>
          <c:spPr>
            <a:ln>
              <a:solidFill>
                <a:schemeClr val="accent2">
                  <a:lumMod val="50000"/>
                </a:schemeClr>
              </a:solidFill>
            </a:ln>
          </c:spPr>
          <c:marker>
            <c:spPr>
              <a:ln>
                <a:solidFill>
                  <a:schemeClr val="accent2">
                    <a:lumMod val="50000"/>
                  </a:schemeClr>
                </a:solidFill>
              </a:ln>
            </c:spPr>
          </c:marker>
          <c:cat>
            <c:strRef>
              <c:f>'Executive Summary'!$A$55:$A$60</c:f>
              <c:strCache>
                <c:ptCount val="6"/>
                <c:pt idx="0">
                  <c:v>Initial</c:v>
                </c:pt>
                <c:pt idx="1">
                  <c:v>Year 0:   2026</c:v>
                </c:pt>
                <c:pt idx="2">
                  <c:v>Year 1:   2027</c:v>
                </c:pt>
                <c:pt idx="3">
                  <c:v>Year 2:   2028</c:v>
                </c:pt>
                <c:pt idx="4">
                  <c:v>Year 3:   2029</c:v>
                </c:pt>
                <c:pt idx="5">
                  <c:v>Year 4:   2030</c:v>
                </c:pt>
              </c:strCache>
            </c:strRef>
          </c:cat>
          <c:val>
            <c:numRef>
              <c:f>'Executive Summary'!$F$55:$F$60</c:f>
              <c:numCache>
                <c:formatCode>#,##0</c:formatCode>
                <c:ptCount val="6"/>
                <c:pt idx="0">
                  <c:v>2335</c:v>
                </c:pt>
                <c:pt idx="1">
                  <c:v>-6941.7199999999993</c:v>
                </c:pt>
                <c:pt idx="2">
                  <c:v>-12296.539999999999</c:v>
                </c:pt>
                <c:pt idx="3">
                  <c:v>-17387.101574</c:v>
                </c:pt>
                <c:pt idx="4">
                  <c:v>-22161.345507081202</c:v>
                </c:pt>
                <c:pt idx="5">
                  <c:v>-26574.961299433497</c:v>
                </c:pt>
              </c:numCache>
            </c:numRef>
          </c:val>
          <c:smooth val="0"/>
          <c:extLst>
            <c:ext xmlns:c16="http://schemas.microsoft.com/office/drawing/2014/chart" uri="{C3380CC4-5D6E-409C-BE32-E72D297353CC}">
              <c16:uniqueId val="{00000004-A9CA-45BD-BD0A-A0C1C4062FF4}"/>
            </c:ext>
          </c:extLst>
        </c:ser>
        <c:dLbls>
          <c:showLegendKey val="0"/>
          <c:showVal val="0"/>
          <c:showCatName val="0"/>
          <c:showSerName val="0"/>
          <c:showPercent val="0"/>
          <c:showBubbleSize val="0"/>
        </c:dLbls>
        <c:marker val="1"/>
        <c:smooth val="0"/>
        <c:axId val="609701736"/>
        <c:axId val="609702128"/>
      </c:lineChart>
      <c:catAx>
        <c:axId val="609701736"/>
        <c:scaling>
          <c:orientation val="minMax"/>
        </c:scaling>
        <c:delete val="0"/>
        <c:axPos val="b"/>
        <c:numFmt formatCode="General" sourceLinked="1"/>
        <c:majorTickMark val="none"/>
        <c:minorTickMark val="none"/>
        <c:tickLblPos val="nextTo"/>
        <c:spPr>
          <a:solidFill>
            <a:schemeClr val="bg1">
              <a:lumMod val="95000"/>
            </a:schemeClr>
          </a:solidFill>
        </c:spPr>
        <c:txPr>
          <a:bodyPr rot="0" vert="horz"/>
          <a:lstStyle/>
          <a:p>
            <a:pPr>
              <a:defRPr sz="900" b="1" i="0" u="none" strike="noStrike" baseline="0">
                <a:solidFill>
                  <a:srgbClr val="000000"/>
                </a:solidFill>
                <a:latin typeface="Calibri"/>
                <a:ea typeface="Calibri"/>
                <a:cs typeface="Calibri"/>
              </a:defRPr>
            </a:pPr>
            <a:endParaRPr lang="es-ES"/>
          </a:p>
        </c:txPr>
        <c:crossAx val="609702128"/>
        <c:crosses val="autoZero"/>
        <c:auto val="1"/>
        <c:lblAlgn val="ctr"/>
        <c:lblOffset val="100"/>
        <c:noMultiLvlLbl val="0"/>
      </c:catAx>
      <c:valAx>
        <c:axId val="609702128"/>
        <c:scaling>
          <c:orientation val="minMax"/>
        </c:scaling>
        <c:delete val="0"/>
        <c:axPos val="l"/>
        <c:majorGridlines/>
        <c:title>
          <c:tx>
            <c:rich>
              <a:bodyPr/>
              <a:lstStyle/>
              <a:p>
                <a:pPr>
                  <a:defRPr sz="1200" b="1" i="0" u="none" strike="noStrike" baseline="0">
                    <a:solidFill>
                      <a:srgbClr val="000000"/>
                    </a:solidFill>
                    <a:latin typeface="Calibri"/>
                    <a:ea typeface="Calibri"/>
                    <a:cs typeface="Calibri"/>
                  </a:defRPr>
                </a:pPr>
                <a:r>
                  <a:rPr lang="es-ES"/>
                  <a:t>euros</a:t>
                </a:r>
              </a:p>
            </c:rich>
          </c:tx>
          <c:layout>
            <c:manualLayout>
              <c:xMode val="edge"/>
              <c:yMode val="edge"/>
              <c:x val="7.148808930529253E-3"/>
              <c:y val="0.40023427338644985"/>
            </c:manualLayout>
          </c:layout>
          <c:overlay val="0"/>
        </c:title>
        <c:numFmt formatCode="#,##0" sourceLinked="0"/>
        <c:majorTickMark val="none"/>
        <c:minorTickMark val="none"/>
        <c:tickLblPos val="nextTo"/>
        <c:spPr>
          <a:solidFill>
            <a:schemeClr val="bg1">
              <a:lumMod val="95000"/>
            </a:schemeClr>
          </a:solidFill>
        </c:spPr>
        <c:txPr>
          <a:bodyPr rot="0" vert="horz"/>
          <a:lstStyle/>
          <a:p>
            <a:pPr>
              <a:defRPr sz="1000" b="1" i="0" u="none" strike="noStrike" baseline="0">
                <a:solidFill>
                  <a:srgbClr val="000000"/>
                </a:solidFill>
                <a:latin typeface="Calibri"/>
                <a:ea typeface="Calibri"/>
                <a:cs typeface="Calibri"/>
              </a:defRPr>
            </a:pPr>
            <a:endParaRPr lang="es-ES"/>
          </a:p>
        </c:txPr>
        <c:crossAx val="609701736"/>
        <c:crosses val="autoZero"/>
        <c:crossBetween val="between"/>
      </c:valAx>
      <c:spPr>
        <a:solidFill>
          <a:schemeClr val="bg1">
            <a:lumMod val="95000"/>
          </a:schemeClr>
        </a:solidFill>
        <a:ln w="38100"/>
      </c:spPr>
    </c:plotArea>
    <c:legend>
      <c:legendPos val="r"/>
      <c:overlay val="0"/>
      <c:txPr>
        <a:bodyPr/>
        <a:lstStyle/>
        <a:p>
          <a:pPr>
            <a:defRPr sz="550" b="1" i="0" u="none" strike="noStrike" baseline="0">
              <a:solidFill>
                <a:srgbClr val="000000"/>
              </a:solidFill>
              <a:latin typeface="Calibri"/>
              <a:ea typeface="Calibri"/>
              <a:cs typeface="Calibri"/>
            </a:defRPr>
          </a:pPr>
          <a:endParaRPr lang="es-ES"/>
        </a:p>
      </c:txPr>
    </c:legend>
    <c:plotVisOnly val="1"/>
    <c:dispBlanksAs val="gap"/>
    <c:showDLblsOverMax val="0"/>
  </c:chart>
  <c:spPr>
    <a:solidFill>
      <a:schemeClr val="accent2">
        <a:lumMod val="20000"/>
        <a:lumOff val="80000"/>
      </a:schemeClr>
    </a:solidFill>
  </c:spPr>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304800</xdr:colOff>
      <xdr:row>1</xdr:row>
      <xdr:rowOff>0</xdr:rowOff>
    </xdr:from>
    <xdr:to>
      <xdr:col>9</xdr:col>
      <xdr:colOff>695325</xdr:colOff>
      <xdr:row>53</xdr:row>
      <xdr:rowOff>47625</xdr:rowOff>
    </xdr:to>
    <xdr:sp macro="" textlink="">
      <xdr:nvSpPr>
        <xdr:cNvPr id="51202" name="Text Box 2">
          <a:extLst>
            <a:ext uri="{FF2B5EF4-FFF2-40B4-BE49-F238E27FC236}">
              <a16:creationId xmlns:a16="http://schemas.microsoft.com/office/drawing/2014/main" id="{966FD0FE-4F08-4E3B-88F0-46B4FCA0DA17}"/>
            </a:ext>
          </a:extLst>
        </xdr:cNvPr>
        <xdr:cNvSpPr txBox="1">
          <a:spLocks noChangeArrowheads="1"/>
        </xdr:cNvSpPr>
      </xdr:nvSpPr>
      <xdr:spPr bwMode="auto">
        <a:xfrm>
          <a:off x="304800" y="200025"/>
          <a:ext cx="7934325" cy="1044892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a:latin typeface="Tahoma" panose="020B0604030504040204" pitchFamily="34" charset="0"/>
              <a:ea typeface="Tahoma" panose="020B0604030504040204" pitchFamily="34" charset="0"/>
              <a:cs typeface="Tahoma" panose="020B0604030504040204" pitchFamily="34" charset="0"/>
            </a:rPr>
            <a:t>TERMS &amp; CONDITIONS</a:t>
          </a:r>
          <a:r>
            <a:rPr lang="es-ES" sz="1600" b="1" baseline="0">
              <a:latin typeface="Tahoma" panose="020B0604030504040204" pitchFamily="34" charset="0"/>
              <a:ea typeface="Tahoma" panose="020B0604030504040204" pitchFamily="34" charset="0"/>
              <a:cs typeface="Tahoma" panose="020B0604030504040204" pitchFamily="34" charset="0"/>
            </a:rPr>
            <a:t> OF USE</a:t>
          </a:r>
          <a:br>
            <a:rPr lang="es-ES" sz="1200">
              <a:latin typeface="Tahoma" panose="020B0604030504040204" pitchFamily="34" charset="0"/>
              <a:ea typeface="Tahoma" panose="020B0604030504040204" pitchFamily="34" charset="0"/>
              <a:cs typeface="Tahoma" panose="020B0604030504040204" pitchFamily="34" charset="0"/>
            </a:rPr>
          </a:br>
          <a:endParaRPr lang="es-ES" sz="1200">
            <a:latin typeface="Tahoma" panose="020B0604030504040204" pitchFamily="34" charset="0"/>
            <a:ea typeface="Tahoma" panose="020B0604030504040204" pitchFamily="34" charset="0"/>
            <a:cs typeface="Tahoma" panose="020B0604030504040204" pitchFamily="34" charset="0"/>
          </a:endParaRPr>
        </a:p>
        <a:p>
          <a:pPr algn="l" rtl="0">
            <a:defRPr sz="1000"/>
          </a:pPr>
          <a:r>
            <a:rPr lang="es-ES" sz="1200">
              <a:latin typeface="Tahoma" panose="020B0604030504040204" pitchFamily="34" charset="0"/>
              <a:ea typeface="Tahoma" panose="020B0604030504040204" pitchFamily="34" charset="0"/>
              <a:cs typeface="Tahoma" panose="020B0604030504040204" pitchFamily="34" charset="0"/>
            </a:rPr>
            <a:t>             This tool,</a:t>
          </a:r>
          <a:r>
            <a:rPr lang="es-ES" sz="1200" baseline="0">
              <a:latin typeface="Tahoma" panose="020B0604030504040204" pitchFamily="34" charset="0"/>
              <a:ea typeface="Tahoma" panose="020B0604030504040204" pitchFamily="34" charset="0"/>
              <a:cs typeface="Tahoma" panose="020B0604030504040204" pitchFamily="34" charset="0"/>
            </a:rPr>
            <a:t> the (</a:t>
          </a:r>
          <a:r>
            <a:rPr lang="es-ES" sz="1200">
              <a:latin typeface="Tahoma" panose="020B0604030504040204" pitchFamily="34" charset="0"/>
              <a:ea typeface="Tahoma" panose="020B0604030504040204" pitchFamily="34" charset="0"/>
              <a:cs typeface="Tahoma" panose="020B0604030504040204" pitchFamily="34" charset="0"/>
            </a:rPr>
            <a:t>Economic &amp; Financial Planning Tool) was </a:t>
          </a:r>
          <a:r>
            <a:rPr lang="es-ES" sz="1200" baseline="0">
              <a:latin typeface="Tahoma" panose="020B0604030504040204" pitchFamily="34" charset="0"/>
              <a:ea typeface="Tahoma" panose="020B0604030504040204" pitchFamily="34" charset="0"/>
              <a:cs typeface="Tahoma" panose="020B0604030504040204" pitchFamily="34" charset="0"/>
            </a:rPr>
            <a:t>created, developed, tested and refined in successive editions of the different courses and programs since 2000.</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purpose of this spreadsheet model is to help evaluate the feasibility of business projects within ​​these business courses and programs.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All the development of the model has been made using Microsoft Excel spreadsheet , which</a:t>
          </a:r>
          <a:r>
            <a:rPr lang="es-ES" sz="1200" baseline="0">
              <a:latin typeface="Tahoma" panose="020B0604030504040204" pitchFamily="34" charset="0"/>
              <a:ea typeface="Tahoma" panose="020B0604030504040204" pitchFamily="34" charset="0"/>
              <a:cs typeface="Tahoma" panose="020B0604030504040204" pitchFamily="34" charset="0"/>
            </a:rPr>
            <a:t> </a:t>
          </a:r>
          <a:r>
            <a:rPr lang="es-ES" sz="1200">
              <a:latin typeface="Tahoma" panose="020B0604030504040204" pitchFamily="34" charset="0"/>
              <a:ea typeface="Tahoma" panose="020B0604030504040204" pitchFamily="34" charset="0"/>
              <a:cs typeface="Tahoma" panose="020B0604030504040204" pitchFamily="34" charset="0"/>
            </a:rPr>
            <a:t>is a registered product and trademark of Microsoft Corp. Therefore it is necessary to use this program under the conditions provided by Microsoft.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However its performance has been tested with other programs such as OpenOffice or LibreOffice, with which the model works well except for some formatting problems.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model development was created and</a:t>
          </a:r>
          <a:r>
            <a:rPr lang="es-ES" sz="1200" baseline="0">
              <a:latin typeface="Tahoma" panose="020B0604030504040204" pitchFamily="34" charset="0"/>
              <a:ea typeface="Tahoma" panose="020B0604030504040204" pitchFamily="34" charset="0"/>
              <a:cs typeface="Tahoma" panose="020B0604030504040204" pitchFamily="34" charset="0"/>
            </a:rPr>
            <a:t> programmed </a:t>
          </a:r>
          <a:r>
            <a:rPr lang="es-ES" sz="1200">
              <a:latin typeface="Tahoma" panose="020B0604030504040204" pitchFamily="34" charset="0"/>
              <a:ea typeface="Tahoma" panose="020B0604030504040204" pitchFamily="34" charset="0"/>
              <a:cs typeface="Tahoma" panose="020B0604030504040204" pitchFamily="34" charset="0"/>
            </a:rPr>
            <a:t>by Miguel Martínez Prieto, professor  in various Business</a:t>
          </a:r>
          <a:r>
            <a:rPr lang="es-ES" sz="1200" baseline="0">
              <a:latin typeface="Tahoma" panose="020B0604030504040204" pitchFamily="34" charset="0"/>
              <a:ea typeface="Tahoma" panose="020B0604030504040204" pitchFamily="34" charset="0"/>
              <a:cs typeface="Tahoma" panose="020B0604030504040204" pitchFamily="34" charset="0"/>
            </a:rPr>
            <a:t> Schools</a:t>
          </a:r>
          <a:r>
            <a:rPr lang="es-ES" sz="1200" i="1">
              <a:latin typeface="Tahoma" panose="020B0604030504040204" pitchFamily="34" charset="0"/>
              <a:ea typeface="Tahoma" panose="020B0604030504040204" pitchFamily="34" charset="0"/>
              <a:cs typeface="Tahoma" panose="020B0604030504040204" pitchFamily="34" charset="0"/>
            </a:rPr>
            <a:t>. </a:t>
          </a:r>
          <a:r>
            <a:rPr lang="es-ES" sz="1200">
              <a:latin typeface="Tahoma" panose="020B0604030504040204" pitchFamily="34" charset="0"/>
              <a:ea typeface="Tahoma" panose="020B0604030504040204" pitchFamily="34" charset="0"/>
              <a:cs typeface="Tahoma" panose="020B0604030504040204" pitchFamily="34" charset="0"/>
            </a:rPr>
            <a:t>According to the terms of the "</a:t>
          </a:r>
          <a:r>
            <a:rPr lang="es-ES" sz="1200" b="0" i="1" baseline="0">
              <a:effectLst/>
              <a:latin typeface="Tahoma" panose="020B0604030504040204" pitchFamily="34" charset="0"/>
              <a:ea typeface="Tahoma" panose="020B0604030504040204" pitchFamily="34" charset="0"/>
              <a:cs typeface="Tahoma" panose="020B0604030504040204" pitchFamily="34" charset="0"/>
            </a:rPr>
            <a:t>Ley de Propiedad Intelectual </a:t>
          </a:r>
          <a:r>
            <a:rPr lang="es-ES" sz="1200" b="0" i="0" baseline="0">
              <a:effectLst/>
              <a:latin typeface="Tahoma" panose="020B0604030504040204" pitchFamily="34" charset="0"/>
              <a:ea typeface="Tahoma" panose="020B0604030504040204" pitchFamily="34" charset="0"/>
              <a:cs typeface="Tahoma" panose="020B0604030504040204" pitchFamily="34" charset="0"/>
            </a:rPr>
            <a:t>"(Spanish Intellectual Property Law)</a:t>
          </a:r>
          <a:r>
            <a:rPr lang="es-ES" sz="1200">
              <a:latin typeface="Tahoma" panose="020B0604030504040204" pitchFamily="34" charset="0"/>
              <a:ea typeface="Tahoma" panose="020B0604030504040204" pitchFamily="34" charset="0"/>
              <a:cs typeface="Tahoma" panose="020B0604030504040204" pitchFamily="34" charset="0"/>
            </a:rPr>
            <a:t> </a:t>
          </a:r>
          <a:r>
            <a:rPr lang="es-ES" sz="1200" baseline="0">
              <a:latin typeface="Tahoma" panose="020B0604030504040204" pitchFamily="34" charset="0"/>
              <a:ea typeface="Tahoma" panose="020B0604030504040204" pitchFamily="34" charset="0"/>
              <a:cs typeface="Tahoma" panose="020B0604030504040204" pitchFamily="34" charset="0"/>
            </a:rPr>
            <a:t>since</a:t>
          </a:r>
          <a:r>
            <a:rPr lang="es-ES" sz="1200">
              <a:latin typeface="Tahoma" panose="020B0604030504040204" pitchFamily="34" charset="0"/>
              <a:ea typeface="Tahoma" panose="020B0604030504040204" pitchFamily="34" charset="0"/>
              <a:cs typeface="Tahoma" panose="020B0604030504040204" pitchFamily="34" charset="0"/>
            </a:rPr>
            <a:t> the conditions contained in Articles 51 and 97.4 of the law are not accomplished, the intellectual</a:t>
          </a:r>
          <a:r>
            <a:rPr lang="es-ES" sz="1200" baseline="0">
              <a:latin typeface="Tahoma" panose="020B0604030504040204" pitchFamily="34" charset="0"/>
              <a:ea typeface="Tahoma" panose="020B0604030504040204" pitchFamily="34" charset="0"/>
              <a:cs typeface="Tahoma" panose="020B0604030504040204" pitchFamily="34" charset="0"/>
            </a:rPr>
            <a:t> property and copyright rights </a:t>
          </a:r>
          <a:r>
            <a:rPr lang="es-ES" sz="1200" b="0" i="0" baseline="0">
              <a:effectLst/>
              <a:latin typeface="Tahoma" panose="020B0604030504040204" pitchFamily="34" charset="0"/>
              <a:ea typeface="Tahoma" panose="020B0604030504040204" pitchFamily="34" charset="0"/>
              <a:cs typeface="Tahoma" panose="020B0604030504040204" pitchFamily="34" charset="0"/>
            </a:rPr>
            <a:t>are</a:t>
          </a:r>
          <a:r>
            <a:rPr lang="es-ES" sz="1200">
              <a:latin typeface="Tahoma" panose="020B0604030504040204" pitchFamily="34" charset="0"/>
              <a:ea typeface="Tahoma" panose="020B0604030504040204" pitchFamily="34" charset="0"/>
              <a:cs typeface="Tahoma" panose="020B0604030504040204" pitchFamily="34" charset="0"/>
            </a:rPr>
            <a:t> solely to be granted to the author.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model can</a:t>
          </a:r>
          <a:r>
            <a:rPr lang="es-ES" sz="1200" baseline="0">
              <a:latin typeface="Tahoma" panose="020B0604030504040204" pitchFamily="34" charset="0"/>
              <a:ea typeface="Tahoma" panose="020B0604030504040204" pitchFamily="34" charset="0"/>
              <a:cs typeface="Tahoma" panose="020B0604030504040204" pitchFamily="34" charset="0"/>
            </a:rPr>
            <a:t> be used freely </a:t>
          </a:r>
          <a:r>
            <a:rPr lang="es-ES" sz="1200">
              <a:latin typeface="Tahoma" panose="020B0604030504040204" pitchFamily="34" charset="0"/>
              <a:ea typeface="Tahoma" panose="020B0604030504040204" pitchFamily="34" charset="0"/>
              <a:cs typeface="Tahoma" panose="020B0604030504040204" pitchFamily="34" charset="0"/>
            </a:rPr>
            <a:t>under the terms and conditions described, and solely and exclusively according to this terms and conditions. </a:t>
          </a:r>
          <a:br>
            <a:rPr lang="es-ES" sz="1200">
              <a:latin typeface="Tahoma" panose="020B0604030504040204" pitchFamily="34" charset="0"/>
              <a:ea typeface="Tahoma" panose="020B0604030504040204" pitchFamily="34" charset="0"/>
              <a:cs typeface="Tahoma" panose="020B0604030504040204" pitchFamily="34" charset="0"/>
            </a:rPr>
          </a:br>
          <a:b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b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            The model is provided "as it is" to the students of  in order </a:t>
          </a:r>
          <a:r>
            <a:rPr lang="es-ES" sz="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to be used to analyze the economical and financial viability of their busines projects. It is not possible for the author to </a:t>
          </a: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assume any kind of responsibility for the use or misuse that potential users of the model could do or for the results obtained</a:t>
          </a:r>
          <a:r>
            <a:rPr lang="es-ES" sz="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since it does not have any protection, key, etc. Therefore, the use of the model is made in any case under the sole responsibility of the user. The author can not guarantee the reliability or any support or updates to all users. In any case the author</a:t>
          </a:r>
          <a:r>
            <a:rPr lang="es-ES" sz="1200" baseline="0">
              <a:solidFill>
                <a:sysClr val="windowText" lastClr="000000"/>
              </a:solidFill>
              <a:latin typeface="Tahoma" panose="020B0604030504040204" pitchFamily="34" charset="0"/>
              <a:ea typeface="Tahoma" panose="020B0604030504040204" pitchFamily="34" charset="0"/>
              <a:cs typeface="Tahoma" panose="020B0604030504040204" pitchFamily="34" charset="0"/>
            </a:rPr>
            <a:t> assumes any responsability for the use of the tool.</a:t>
          </a:r>
          <a:endPar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endParaRPr>
        </a:p>
        <a:p>
          <a:pPr algn="l" rtl="0">
            <a:defRPr sz="1000"/>
          </a:pPr>
          <a:b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br>
          <a:r>
            <a:rPr lang="es-ES" sz="1200">
              <a:solidFill>
                <a:sysClr val="windowText" lastClr="000000"/>
              </a:solidFill>
              <a:latin typeface="Tahoma" panose="020B0604030504040204" pitchFamily="34" charset="0"/>
              <a:ea typeface="Tahoma" panose="020B0604030504040204" pitchFamily="34" charset="0"/>
              <a:cs typeface="Tahoma" panose="020B0604030504040204" pitchFamily="34" charset="0"/>
            </a:rPr>
            <a:t>            It is not authorized in any case the publication, reproduction, or use without the express and written permission of the author. Expressly </a:t>
          </a:r>
          <a:r>
            <a:rPr lang="es-ES" sz="1200">
              <a:latin typeface="Tahoma" panose="020B0604030504040204" pitchFamily="34" charset="0"/>
              <a:ea typeface="Tahoma" panose="020B0604030504040204" pitchFamily="34" charset="0"/>
              <a:cs typeface="Tahoma" panose="020B0604030504040204" pitchFamily="34" charset="0"/>
            </a:rPr>
            <a:t>disavows professional use or profit in any teaching field without express written permission of the author.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The author of the tool allows the use of this program students Creation and Enterprise Development provided the following conditions: </a:t>
          </a:r>
          <a:br>
            <a:rPr lang="es-ES" sz="1200">
              <a:latin typeface="Tahoma" panose="020B0604030504040204" pitchFamily="34" charset="0"/>
              <a:ea typeface="Tahoma" panose="020B0604030504040204" pitchFamily="34" charset="0"/>
              <a:cs typeface="Tahoma" panose="020B0604030504040204" pitchFamily="34" charset="0"/>
            </a:rPr>
          </a:b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1.-The author is not responsible for the misuse of registered products from third parties. In particular the</a:t>
          </a:r>
          <a:r>
            <a:rPr lang="es-ES" sz="1200" baseline="0">
              <a:latin typeface="Tahoma" panose="020B0604030504040204" pitchFamily="34" charset="0"/>
              <a:ea typeface="Tahoma" panose="020B0604030504040204" pitchFamily="34" charset="0"/>
              <a:cs typeface="Tahoma" panose="020B0604030504040204" pitchFamily="34" charset="0"/>
            </a:rPr>
            <a:t> use of </a:t>
          </a:r>
          <a:r>
            <a:rPr lang="es-ES" sz="1200">
              <a:latin typeface="Tahoma" panose="020B0604030504040204" pitchFamily="34" charset="0"/>
              <a:ea typeface="Tahoma" panose="020B0604030504040204" pitchFamily="34" charset="0"/>
              <a:cs typeface="Tahoma" panose="020B0604030504040204" pitchFamily="34" charset="0"/>
            </a:rPr>
            <a:t>Microsoft Excel program which</a:t>
          </a:r>
          <a:r>
            <a:rPr lang="es-ES" sz="1200" baseline="0">
              <a:latin typeface="Tahoma" panose="020B0604030504040204" pitchFamily="34" charset="0"/>
              <a:ea typeface="Tahoma" panose="020B0604030504040204" pitchFamily="34" charset="0"/>
              <a:cs typeface="Tahoma" panose="020B0604030504040204" pitchFamily="34" charset="0"/>
            </a:rPr>
            <a:t> is property of</a:t>
          </a:r>
          <a:r>
            <a:rPr lang="es-ES" sz="1200">
              <a:latin typeface="Tahoma" panose="020B0604030504040204" pitchFamily="34" charset="0"/>
              <a:ea typeface="Tahoma" panose="020B0604030504040204" pitchFamily="34" charset="0"/>
              <a:cs typeface="Tahoma" panose="020B0604030504040204" pitchFamily="34" charset="0"/>
            </a:rPr>
            <a:t> Microsoft and it is a registered trademark.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2.-The author authorizes the use of the tool for personal use of the students in the program to assess their business projects present and future, but DO NOT to use the tool</a:t>
          </a:r>
          <a:r>
            <a:rPr lang="es-ES" sz="1200" baseline="0">
              <a:latin typeface="Tahoma" panose="020B0604030504040204" pitchFamily="34" charset="0"/>
              <a:ea typeface="Tahoma" panose="020B0604030504040204" pitchFamily="34" charset="0"/>
              <a:cs typeface="Tahoma" panose="020B0604030504040204" pitchFamily="34" charset="0"/>
            </a:rPr>
            <a:t> for </a:t>
          </a:r>
          <a:r>
            <a:rPr lang="es-ES" sz="1200">
              <a:latin typeface="Tahoma" panose="020B0604030504040204" pitchFamily="34" charset="0"/>
              <a:ea typeface="Tahoma" panose="020B0604030504040204" pitchFamily="34" charset="0"/>
              <a:cs typeface="Tahoma" panose="020B0604030504040204" pitchFamily="34" charset="0"/>
            </a:rPr>
            <a:t>their professional purposes or to get paid for services</a:t>
          </a:r>
          <a:r>
            <a:rPr lang="es-ES" sz="1200" baseline="0">
              <a:latin typeface="Tahoma" panose="020B0604030504040204" pitchFamily="34" charset="0"/>
              <a:ea typeface="Tahoma" panose="020B0604030504040204" pitchFamily="34" charset="0"/>
              <a:cs typeface="Tahoma" panose="020B0604030504040204" pitchFamily="34" charset="0"/>
            </a:rPr>
            <a:t> related to the use of the model </a:t>
          </a:r>
          <a:r>
            <a:rPr lang="es-ES" sz="1200">
              <a:latin typeface="Tahoma" panose="020B0604030504040204" pitchFamily="34" charset="0"/>
              <a:ea typeface="Tahoma" panose="020B0604030504040204" pitchFamily="34" charset="0"/>
              <a:cs typeface="Tahoma" panose="020B0604030504040204" pitchFamily="34" charset="0"/>
            </a:rPr>
            <a:t>to assess the viability of other projects outside the EOI programs, and in any case explicitly does</a:t>
          </a:r>
          <a:r>
            <a:rPr lang="es-ES" sz="1200" baseline="0">
              <a:latin typeface="Tahoma" panose="020B0604030504040204" pitchFamily="34" charset="0"/>
              <a:ea typeface="Tahoma" panose="020B0604030504040204" pitchFamily="34" charset="0"/>
              <a:cs typeface="Tahoma" panose="020B0604030504040204" pitchFamily="34" charset="0"/>
            </a:rPr>
            <a:t> not authorize</a:t>
          </a:r>
          <a:r>
            <a:rPr lang="es-ES" sz="1200">
              <a:latin typeface="Tahoma" panose="020B0604030504040204" pitchFamily="34" charset="0"/>
              <a:ea typeface="Tahoma" panose="020B0604030504040204" pitchFamily="34" charset="0"/>
              <a:cs typeface="Tahoma" panose="020B0604030504040204" pitchFamily="34" charset="0"/>
            </a:rPr>
            <a:t> the use of the model by direct or indirect paid services, except solely relying on the express written permission from the author, especially fo</a:t>
          </a:r>
          <a:r>
            <a:rPr lang="es-ES" sz="1200" baseline="0">
              <a:latin typeface="Tahoma" panose="020B0604030504040204" pitchFamily="34" charset="0"/>
              <a:ea typeface="Tahoma" panose="020B0604030504040204" pitchFamily="34" charset="0"/>
              <a:cs typeface="Tahoma" panose="020B0604030504040204" pitchFamily="34" charset="0"/>
            </a:rPr>
            <a:t>r paid educational services. </a:t>
          </a:r>
          <a:r>
            <a:rPr lang="es-ES" sz="1200">
              <a:latin typeface="Tahoma" panose="020B0604030504040204" pitchFamily="34" charset="0"/>
              <a:ea typeface="Tahoma" panose="020B0604030504040204" pitchFamily="34" charset="0"/>
              <a:cs typeface="Tahoma" panose="020B0604030504040204" pitchFamily="34" charset="0"/>
            </a:rPr>
            <a:t> </a:t>
          </a:r>
          <a:br>
            <a:rPr lang="es-ES" sz="1200">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3.-By using the model the users asume full responsibility for the misusing of the</a:t>
          </a:r>
          <a:r>
            <a:rPr lang="es-ES" sz="1200" baseline="0">
              <a:latin typeface="Tahoma" panose="020B0604030504040204" pitchFamily="34" charset="0"/>
              <a:ea typeface="Tahoma" panose="020B0604030504040204" pitchFamily="34" charset="0"/>
              <a:cs typeface="Tahoma" panose="020B0604030504040204" pitchFamily="34" charset="0"/>
            </a:rPr>
            <a:t> model</a:t>
          </a:r>
          <a:r>
            <a:rPr lang="es-ES" sz="1200">
              <a:latin typeface="Tahoma" panose="020B0604030504040204" pitchFamily="34" charset="0"/>
              <a:ea typeface="Tahoma" panose="020B0604030504040204" pitchFamily="34" charset="0"/>
              <a:cs typeface="Tahoma" panose="020B0604030504040204" pitchFamily="34" charset="0"/>
            </a:rPr>
            <a:t> and to don't modify or allow the modification of the distinctive features of the model and specifically to keep unmodified all personal references of the author, the program or course</a:t>
          </a:r>
          <a:r>
            <a:rPr lang="es-ES" sz="1200" baseline="0">
              <a:latin typeface="Tahoma" panose="020B0604030504040204" pitchFamily="34" charset="0"/>
              <a:ea typeface="Tahoma" panose="020B0604030504040204" pitchFamily="34" charset="0"/>
              <a:cs typeface="Tahoma" panose="020B0604030504040204" pitchFamily="34" charset="0"/>
            </a:rPr>
            <a:t> where the model was originally provided and those of the Institution they were held.  </a:t>
          </a:r>
          <a:r>
            <a:rPr lang="es-ES" sz="1200">
              <a:latin typeface="Tahoma" panose="020B0604030504040204" pitchFamily="34" charset="0"/>
              <a:ea typeface="Tahoma" panose="020B0604030504040204" pitchFamily="34" charset="0"/>
              <a:cs typeface="Tahoma" panose="020B0604030504040204" pitchFamily="34" charset="0"/>
            </a:rPr>
            <a:t>Users also undertake to quote the author of the model and to observe and enforce these Terms of Use.</a:t>
          </a:r>
        </a:p>
        <a:p>
          <a:pPr algn="l" rtl="0">
            <a:defRPr sz="1000"/>
          </a:pPr>
          <a:endParaRPr lang="es-ES" sz="12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endParaRPr>
        </a:p>
        <a:p>
          <a:pPr algn="l" rtl="0">
            <a:defRPr sz="1000"/>
          </a:pPr>
          <a:r>
            <a:rPr lang="es-ES" sz="12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rPr>
            <a:t>           I hope you find it useful and helpful. That was the aim it was done.</a:t>
          </a:r>
        </a:p>
      </xdr:txBody>
    </xdr:sp>
    <xdr:clientData/>
  </xdr:twoCellAnchor>
  <xdr:twoCellAnchor>
    <xdr:from>
      <xdr:col>0</xdr:col>
      <xdr:colOff>314325</xdr:colOff>
      <xdr:row>54</xdr:row>
      <xdr:rowOff>0</xdr:rowOff>
    </xdr:from>
    <xdr:to>
      <xdr:col>9</xdr:col>
      <xdr:colOff>695325</xdr:colOff>
      <xdr:row>65</xdr:row>
      <xdr:rowOff>76200</xdr:rowOff>
    </xdr:to>
    <xdr:sp macro="" textlink="">
      <xdr:nvSpPr>
        <xdr:cNvPr id="51203" name="Text Box 3">
          <a:extLst>
            <a:ext uri="{FF2B5EF4-FFF2-40B4-BE49-F238E27FC236}">
              <a16:creationId xmlns:a16="http://schemas.microsoft.com/office/drawing/2014/main" id="{46A4E8A1-BF08-4CB1-8D03-594F53C82D80}"/>
            </a:ext>
          </a:extLst>
        </xdr:cNvPr>
        <xdr:cNvSpPr txBox="1">
          <a:spLocks noChangeArrowheads="1"/>
        </xdr:cNvSpPr>
      </xdr:nvSpPr>
      <xdr:spPr bwMode="auto">
        <a:xfrm>
          <a:off x="314325" y="10801350"/>
          <a:ext cx="7924800" cy="2276475"/>
        </a:xfrm>
        <a:prstGeom prst="rect">
          <a:avLst/>
        </a:prstGeom>
        <a:solidFill>
          <a:srgbClr val="FFFFFF"/>
        </a:solidFill>
        <a:ln w="9525">
          <a:solidFill>
            <a:srgbClr val="000000"/>
          </a:solidFill>
          <a:miter lim="800000"/>
          <a:headEnd/>
          <a:tailEnd/>
        </a:ln>
      </xdr:spPr>
      <xdr:txBody>
        <a:bodyPr vertOverflow="clip" wrap="square" lIns="540000" tIns="180000" rIns="360000" bIns="180000" anchor="t" upright="1"/>
        <a:lstStyle/>
        <a:p>
          <a:pPr algn="l" rtl="0">
            <a:defRPr sz="1000"/>
          </a:pPr>
          <a:r>
            <a:rPr lang="es-ES" sz="1600" b="1">
              <a:latin typeface="Tahoma" panose="020B0604030504040204" pitchFamily="34" charset="0"/>
              <a:ea typeface="Tahoma" panose="020B0604030504040204" pitchFamily="34" charset="0"/>
              <a:cs typeface="Tahoma" panose="020B0604030504040204" pitchFamily="34" charset="0"/>
            </a:rPr>
            <a:t>ACKNOWLEDGEMENTS </a:t>
          </a:r>
          <a:br>
            <a:rPr lang="es-ES" sz="1600" b="1">
              <a:latin typeface="Tahoma" panose="020B0604030504040204" pitchFamily="34" charset="0"/>
              <a:ea typeface="Tahoma" panose="020B0604030504040204" pitchFamily="34" charset="0"/>
              <a:cs typeface="Tahoma" panose="020B0604030504040204" pitchFamily="34" charset="0"/>
            </a:rPr>
          </a:br>
          <a:r>
            <a:rPr lang="es-ES" sz="1200">
              <a:latin typeface="Tahoma" panose="020B0604030504040204" pitchFamily="34" charset="0"/>
              <a:ea typeface="Tahoma" panose="020B0604030504040204" pitchFamily="34" charset="0"/>
              <a:cs typeface="Tahoma" panose="020B0604030504040204" pitchFamily="34" charset="0"/>
            </a:rPr>
            <a:t> </a:t>
          </a:r>
        </a:p>
        <a:p>
          <a:pPr algn="l" rtl="0">
            <a:defRPr sz="1000"/>
          </a:pPr>
          <a:r>
            <a:rPr lang="es-ES" sz="1200">
              <a:latin typeface="Tahoma" panose="020B0604030504040204" pitchFamily="34" charset="0"/>
              <a:ea typeface="Tahoma" panose="020B0604030504040204" pitchFamily="34" charset="0"/>
              <a:cs typeface="Tahoma" panose="020B0604030504040204" pitchFamily="34" charset="0"/>
            </a:rPr>
            <a:t>            This tool of Economical &amp; Financial Forecast Tool would not have been possible without the patient cooperation and advice of many colleagues, students and friends with their comments, patience,  support and confidence . They have helped me improve the model with their reviews and testiing</a:t>
          </a:r>
          <a:r>
            <a:rPr lang="es-ES" sz="1200" baseline="0">
              <a:latin typeface="Tahoma" panose="020B0604030504040204" pitchFamily="34" charset="0"/>
              <a:ea typeface="Tahoma" panose="020B0604030504040204" pitchFamily="34" charset="0"/>
              <a:cs typeface="Tahoma" panose="020B0604030504040204" pitchFamily="34" charset="0"/>
            </a:rPr>
            <a:t>. They have come along all the way since the tool was no more than an idea. Without  their support and patietncethis tool just would not haven been possible. Thanks to all and everyone of them.</a:t>
          </a:r>
        </a:p>
        <a:p>
          <a:pPr algn="l" rtl="0">
            <a:lnSpc>
              <a:spcPts val="1200"/>
            </a:lnSpc>
            <a:defRPr sz="1000"/>
          </a:pPr>
          <a:r>
            <a:rPr lang="es-ES" sz="1200">
              <a:latin typeface="Tahoma" panose="020B0604030504040204" pitchFamily="34" charset="0"/>
              <a:ea typeface="Tahoma" panose="020B0604030504040204" pitchFamily="34" charset="0"/>
              <a:cs typeface="Tahoma" panose="020B0604030504040204" pitchFamily="34" charset="0"/>
            </a:rPr>
            <a:t>             It is impossible to name them all, but I want to record at least my special thanks to my colleagues Santiago Santos, Andrés</a:t>
          </a:r>
          <a:r>
            <a:rPr lang="es-ES" sz="1200" baseline="0">
              <a:latin typeface="Tahoma" panose="020B0604030504040204" pitchFamily="34" charset="0"/>
              <a:ea typeface="Tahoma" panose="020B0604030504040204" pitchFamily="34" charset="0"/>
              <a:cs typeface="Tahoma" panose="020B0604030504040204" pitchFamily="34" charset="0"/>
            </a:rPr>
            <a:t> de </a:t>
          </a:r>
          <a:r>
            <a:rPr lang="es-ES" sz="1200">
              <a:latin typeface="Tahoma" panose="020B0604030504040204" pitchFamily="34" charset="0"/>
              <a:ea typeface="Tahoma" panose="020B0604030504040204" pitchFamily="34" charset="0"/>
              <a:cs typeface="Tahoma" panose="020B0604030504040204" pitchFamily="34" charset="0"/>
            </a:rPr>
            <a:t>Miguel and Alejandro Estévez for their continuous and tireless patient</a:t>
          </a:r>
          <a:r>
            <a:rPr lang="es-ES" sz="1200" baseline="0">
              <a:latin typeface="Tahoma" panose="020B0604030504040204" pitchFamily="34" charset="0"/>
              <a:ea typeface="Tahoma" panose="020B0604030504040204" pitchFamily="34" charset="0"/>
              <a:cs typeface="Tahoma" panose="020B0604030504040204" pitchFamily="34" charset="0"/>
            </a:rPr>
            <a:t> and help</a:t>
          </a:r>
          <a:r>
            <a:rPr lang="es-ES" sz="1200">
              <a:latin typeface="Tahoma" panose="020B0604030504040204" pitchFamily="34" charset="0"/>
              <a:ea typeface="Tahoma" panose="020B0604030504040204" pitchFamily="34" charset="0"/>
              <a:cs typeface="Tahoma" panose="020B0604030504040204" pitchFamily="34" charset="0"/>
            </a:rPr>
            <a:t>.  Thank you.</a:t>
          </a:r>
          <a:endParaRPr lang="es-ES" sz="1200" b="0" i="0" u="none" strike="noStrike" baseline="0">
            <a:solidFill>
              <a:srgbClr val="000000"/>
            </a:solidFill>
            <a:latin typeface="Tahoma" panose="020B0604030504040204" pitchFamily="34" charset="0"/>
            <a:ea typeface="Tahoma" panose="020B0604030504040204" pitchFamily="34" charset="0"/>
            <a:cs typeface="Tahoma" panose="020B0604030504040204" pitchFamily="34" charset="0"/>
          </a:endParaRPr>
        </a:p>
        <a:p>
          <a:pPr algn="l" rtl="0">
            <a:lnSpc>
              <a:spcPts val="1300"/>
            </a:lnSpc>
            <a:defRPr sz="1000"/>
          </a:pPr>
          <a:endParaRPr lang="es-ES" sz="1200" b="0" i="0" u="none" strike="noStrike" baseline="0">
            <a:solidFill>
              <a:srgbClr val="000000"/>
            </a:solidFill>
            <a:latin typeface="Tahoma"/>
            <a:cs typeface="Tahoma"/>
          </a:endParaRPr>
        </a:p>
      </xdr:txBody>
    </xdr:sp>
    <xdr:clientData/>
  </xdr:twoCellAnchor>
  <xdr:twoCellAnchor>
    <xdr:from>
      <xdr:col>10</xdr:col>
      <xdr:colOff>114300</xdr:colOff>
      <xdr:row>0</xdr:row>
      <xdr:rowOff>161925</xdr:rowOff>
    </xdr:from>
    <xdr:to>
      <xdr:col>13</xdr:col>
      <xdr:colOff>371475</xdr:colOff>
      <xdr:row>9</xdr:row>
      <xdr:rowOff>66675</xdr:rowOff>
    </xdr:to>
    <xdr:sp macro="" textlink="">
      <xdr:nvSpPr>
        <xdr:cNvPr id="51204" name="Text Box 4">
          <a:extLst>
            <a:ext uri="{FF2B5EF4-FFF2-40B4-BE49-F238E27FC236}">
              <a16:creationId xmlns:a16="http://schemas.microsoft.com/office/drawing/2014/main" id="{0C3B9EFB-4F4F-41D2-8E5F-4624F78CC0E7}"/>
            </a:ext>
          </a:extLst>
        </xdr:cNvPr>
        <xdr:cNvSpPr txBox="1">
          <a:spLocks noChangeArrowheads="1"/>
        </xdr:cNvSpPr>
      </xdr:nvSpPr>
      <xdr:spPr bwMode="auto">
        <a:xfrm>
          <a:off x="8496300" y="161925"/>
          <a:ext cx="2771775" cy="1704975"/>
        </a:xfrm>
        <a:prstGeom prst="rect">
          <a:avLst/>
        </a:prstGeom>
        <a:solidFill>
          <a:srgbClr val="FFFFFF"/>
        </a:solidFill>
        <a:ln w="9525">
          <a:solidFill>
            <a:srgbClr val="000000"/>
          </a:solidFill>
          <a:miter lim="800000"/>
          <a:headEnd/>
          <a:tailEnd/>
        </a:ln>
      </xdr:spPr>
      <xdr:txBody>
        <a:bodyPr vertOverflow="clip" wrap="square" lIns="360000" tIns="180000" rIns="180000" bIns="180000" anchor="t" upright="1"/>
        <a:lstStyle/>
        <a:p>
          <a:pPr algn="l" rtl="0">
            <a:defRPr sz="1000"/>
          </a:pPr>
          <a:r>
            <a:rPr lang="es-ES" sz="1600" b="1" i="0" u="none" strike="noStrike" baseline="0">
              <a:solidFill>
                <a:srgbClr val="000000"/>
              </a:solidFill>
              <a:latin typeface="Tahoma"/>
              <a:cs typeface="Tahoma"/>
            </a:rPr>
            <a:t>Contact:</a:t>
          </a:r>
          <a:endParaRPr lang="es-ES" sz="1200" b="0" i="0" u="none" strike="noStrike" baseline="0">
            <a:solidFill>
              <a:srgbClr val="000000"/>
            </a:solidFill>
            <a:latin typeface="Tahoma"/>
            <a:cs typeface="Tahoma"/>
          </a:endParaRPr>
        </a:p>
        <a:p>
          <a:pPr algn="l" rtl="0">
            <a:defRPr sz="1000"/>
          </a:pPr>
          <a:endParaRPr lang="es-ES" sz="1200" b="0" i="0" u="none" strike="noStrike" baseline="0">
            <a:solidFill>
              <a:srgbClr val="000000"/>
            </a:solidFill>
            <a:latin typeface="Tahoma"/>
            <a:cs typeface="Tahoma"/>
          </a:endParaRPr>
        </a:p>
        <a:p>
          <a:pPr algn="l" rtl="0">
            <a:lnSpc>
              <a:spcPts val="1600"/>
            </a:lnSpc>
            <a:defRPr sz="1000"/>
          </a:pPr>
          <a:r>
            <a:rPr lang="es-ES" sz="1400" b="0" i="0" u="none" strike="noStrike" baseline="0">
              <a:solidFill>
                <a:srgbClr val="000000"/>
              </a:solidFill>
              <a:latin typeface="Tahoma"/>
              <a:cs typeface="Tahoma"/>
            </a:rPr>
            <a:t>Miguel Martínez Prieto</a:t>
          </a:r>
        </a:p>
        <a:p>
          <a:pPr algn="l" rtl="0">
            <a:lnSpc>
              <a:spcPts val="1600"/>
            </a:lnSpc>
            <a:defRPr sz="1000"/>
          </a:pPr>
          <a:endParaRPr lang="es-ES" sz="1400" b="0" i="0" u="none" strike="noStrike" baseline="0">
            <a:solidFill>
              <a:srgbClr val="000000"/>
            </a:solidFill>
            <a:latin typeface="Tahoma"/>
            <a:cs typeface="Tahoma"/>
          </a:endParaRPr>
        </a:p>
        <a:p>
          <a:pPr algn="l" rtl="0">
            <a:defRPr sz="1000"/>
          </a:pPr>
          <a:r>
            <a:rPr lang="es-ES" sz="1400" b="0" i="0" u="none" strike="noStrike" baseline="0">
              <a:solidFill>
                <a:srgbClr val="000000"/>
              </a:solidFill>
              <a:latin typeface="Tahoma"/>
              <a:cs typeface="Tahoma"/>
            </a:rPr>
            <a:t>mprieto@azague.com</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28575</xdr:colOff>
      <xdr:row>36</xdr:row>
      <xdr:rowOff>9525</xdr:rowOff>
    </xdr:from>
    <xdr:to>
      <xdr:col>6</xdr:col>
      <xdr:colOff>876300</xdr:colOff>
      <xdr:row>57</xdr:row>
      <xdr:rowOff>66675</xdr:rowOff>
    </xdr:to>
    <xdr:graphicFrame macro="">
      <xdr:nvGraphicFramePr>
        <xdr:cNvPr id="8369245" name="Chart 2">
          <a:extLst>
            <a:ext uri="{FF2B5EF4-FFF2-40B4-BE49-F238E27FC236}">
              <a16:creationId xmlns:a16="http://schemas.microsoft.com/office/drawing/2014/main" id="{D0F82ECC-BA02-462C-857F-F959AFCBB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xdr:colOff>
      <xdr:row>52</xdr:row>
      <xdr:rowOff>95250</xdr:rowOff>
    </xdr:from>
    <xdr:to>
      <xdr:col>6</xdr:col>
      <xdr:colOff>0</xdr:colOff>
      <xdr:row>68</xdr:row>
      <xdr:rowOff>190500</xdr:rowOff>
    </xdr:to>
    <xdr:graphicFrame macro="">
      <xdr:nvGraphicFramePr>
        <xdr:cNvPr id="68957" name="5 Gráfico">
          <a:extLst>
            <a:ext uri="{FF2B5EF4-FFF2-40B4-BE49-F238E27FC236}">
              <a16:creationId xmlns:a16="http://schemas.microsoft.com/office/drawing/2014/main" id="{F8085D0A-4872-4812-8E4D-BB8DE93E2E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5570972" name="Chart 6">
          <a:extLst>
            <a:ext uri="{FF2B5EF4-FFF2-40B4-BE49-F238E27FC236}">
              <a16:creationId xmlns:a16="http://schemas.microsoft.com/office/drawing/2014/main" id="{888CF133-104B-49CD-A186-6CA2D92E2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43</xdr:row>
      <xdr:rowOff>28575</xdr:rowOff>
    </xdr:from>
    <xdr:to>
      <xdr:col>13</xdr:col>
      <xdr:colOff>533400</xdr:colOff>
      <xdr:row>63</xdr:row>
      <xdr:rowOff>76200</xdr:rowOff>
    </xdr:to>
    <xdr:graphicFrame macro="">
      <xdr:nvGraphicFramePr>
        <xdr:cNvPr id="8011907" name="Chart 1">
          <a:extLst>
            <a:ext uri="{FF2B5EF4-FFF2-40B4-BE49-F238E27FC236}">
              <a16:creationId xmlns:a16="http://schemas.microsoft.com/office/drawing/2014/main" id="{754AD074-2CA4-48F6-88BD-058AA646C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597572" name="Chart 1">
          <a:extLst>
            <a:ext uri="{FF2B5EF4-FFF2-40B4-BE49-F238E27FC236}">
              <a16:creationId xmlns:a16="http://schemas.microsoft.com/office/drawing/2014/main" id="{560BF538-67CD-4FD6-91FF-32549F925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748084" name="Chart 1">
          <a:extLst>
            <a:ext uri="{FF2B5EF4-FFF2-40B4-BE49-F238E27FC236}">
              <a16:creationId xmlns:a16="http://schemas.microsoft.com/office/drawing/2014/main" id="{740EF710-538E-4A1D-9030-CF716E7C43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295275</xdr:colOff>
      <xdr:row>43</xdr:row>
      <xdr:rowOff>28575</xdr:rowOff>
    </xdr:from>
    <xdr:to>
      <xdr:col>13</xdr:col>
      <xdr:colOff>609600</xdr:colOff>
      <xdr:row>63</xdr:row>
      <xdr:rowOff>76200</xdr:rowOff>
    </xdr:to>
    <xdr:graphicFrame macro="">
      <xdr:nvGraphicFramePr>
        <xdr:cNvPr id="8750132" name="Chart 1">
          <a:extLst>
            <a:ext uri="{FF2B5EF4-FFF2-40B4-BE49-F238E27FC236}">
              <a16:creationId xmlns:a16="http://schemas.microsoft.com/office/drawing/2014/main" id="{B567F014-B047-4694-8AE9-D524F92500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114300</xdr:colOff>
      <xdr:row>61</xdr:row>
      <xdr:rowOff>76200</xdr:rowOff>
    </xdr:from>
    <xdr:to>
      <xdr:col>9</xdr:col>
      <xdr:colOff>638175</xdr:colOff>
      <xdr:row>87</xdr:row>
      <xdr:rowOff>219075</xdr:rowOff>
    </xdr:to>
    <xdr:graphicFrame macro="">
      <xdr:nvGraphicFramePr>
        <xdr:cNvPr id="8571975" name="Chart 1">
          <a:extLst>
            <a:ext uri="{FF2B5EF4-FFF2-40B4-BE49-F238E27FC236}">
              <a16:creationId xmlns:a16="http://schemas.microsoft.com/office/drawing/2014/main" id="{8A451254-0348-4B72-BBE8-64E2D94209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800100</xdr:colOff>
      <xdr:row>33</xdr:row>
      <xdr:rowOff>123825</xdr:rowOff>
    </xdr:from>
    <xdr:to>
      <xdr:col>13</xdr:col>
      <xdr:colOff>952500</xdr:colOff>
      <xdr:row>49</xdr:row>
      <xdr:rowOff>66675</xdr:rowOff>
    </xdr:to>
    <xdr:graphicFrame macro="">
      <xdr:nvGraphicFramePr>
        <xdr:cNvPr id="5578140" name="Chart 407">
          <a:extLst>
            <a:ext uri="{FF2B5EF4-FFF2-40B4-BE49-F238E27FC236}">
              <a16:creationId xmlns:a16="http://schemas.microsoft.com/office/drawing/2014/main" id="{B6A40F9D-0BA1-4491-B8D5-137276C1CA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9</xdr:col>
      <xdr:colOff>257175</xdr:colOff>
      <xdr:row>30</xdr:row>
      <xdr:rowOff>114300</xdr:rowOff>
    </xdr:from>
    <xdr:to>
      <xdr:col>13</xdr:col>
      <xdr:colOff>561975</xdr:colOff>
      <xdr:row>38</xdr:row>
      <xdr:rowOff>114300</xdr:rowOff>
    </xdr:to>
    <xdr:sp macro="" textlink="">
      <xdr:nvSpPr>
        <xdr:cNvPr id="50493" name="Text Box 317">
          <a:extLst>
            <a:ext uri="{FF2B5EF4-FFF2-40B4-BE49-F238E27FC236}">
              <a16:creationId xmlns:a16="http://schemas.microsoft.com/office/drawing/2014/main" id="{87A99319-2695-4F5E-897B-73BAD27A3C70}"/>
            </a:ext>
          </a:extLst>
        </xdr:cNvPr>
        <xdr:cNvSpPr txBox="1">
          <a:spLocks noChangeArrowheads="1"/>
        </xdr:cNvSpPr>
      </xdr:nvSpPr>
      <xdr:spPr bwMode="auto">
        <a:xfrm>
          <a:off x="8667750" y="7172325"/>
          <a:ext cx="3800475" cy="15240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s-ES" sz="1200" b="1" i="0" u="none" strike="noStrike" baseline="0">
              <a:solidFill>
                <a:srgbClr val="000000"/>
              </a:solidFill>
              <a:latin typeface="+mn-lt"/>
              <a:cs typeface="Times New Roman"/>
            </a:rPr>
            <a:t>NOTE:</a:t>
          </a:r>
          <a:endParaRPr lang="es-ES" sz="1200" b="0" i="0" u="none" strike="noStrike" baseline="0">
            <a:solidFill>
              <a:srgbClr val="000000"/>
            </a:solidFill>
            <a:latin typeface="+mn-lt"/>
            <a:cs typeface="Times New Roman"/>
          </a:endParaRP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This calculations are merely  an stimatiion . Personal Income Taxation depends of many personal  and family conditions.</a:t>
          </a:r>
        </a:p>
        <a:p>
          <a:pPr algn="l" rtl="0">
            <a:defRPr sz="1000"/>
          </a:pPr>
          <a:endParaRPr lang="es-ES" sz="1100" b="0" i="0" u="none" strike="noStrike" baseline="0">
            <a:solidFill>
              <a:srgbClr val="000000"/>
            </a:solidFill>
            <a:latin typeface="+mn-lt"/>
            <a:cs typeface="Tahoma"/>
          </a:endParaRPr>
        </a:p>
        <a:p>
          <a:pPr algn="l" rtl="0">
            <a:defRPr sz="1000"/>
          </a:pPr>
          <a:r>
            <a:rPr lang="es-ES" sz="1100" b="0" i="0" u="none" strike="noStrike" baseline="0">
              <a:solidFill>
                <a:srgbClr val="000000"/>
              </a:solidFill>
              <a:latin typeface="+mn-lt"/>
              <a:cs typeface="Tahoma"/>
            </a:rPr>
            <a:t>    Since the vital minimum highly depends on personal and family circumnstances, the loewest possible quantity is considered. and therefore the most adverse case possible.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is%20Documentos\Dropbox\PEF%20Plan%20Financiero\PEF-2022-22_05_24-ES%20-%20copia%20RETA%202023.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PC\Dropbox\PEF%20Plan%20Financiero\PEF-2024-24_07_xx-ES.xlsx" TargetMode="External"/><Relationship Id="rId1" Type="http://schemas.openxmlformats.org/officeDocument/2006/relationships/externalLinkPath" Target="PEF-2024-24_07_xx-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Condiciones de Uso"/>
      <sheetName val="Datos Básicos"/>
      <sheetName val="Parametros"/>
      <sheetName val="Bal. Inicial Previo"/>
      <sheetName val="Inv. Iniciales ANC"/>
      <sheetName val="Inv. Adicionales ANC"/>
      <sheetName val="Gastos Iniciales"/>
      <sheetName val="Inversiones AC"/>
      <sheetName val="Financiación"/>
      <sheetName val="Financiación Inicial"/>
      <sheetName val="Préstamos"/>
      <sheetName val="Leasing"/>
      <sheetName val="Renting"/>
      <sheetName val="Plantilla"/>
      <sheetName val="RR.HH."/>
      <sheetName val="Gastos de marketing"/>
      <sheetName val="Gastos Fijos Datos"/>
      <sheetName val="Precios-CV"/>
      <sheetName val="Politicas Cobros y Pagos"/>
      <sheetName val="Estimaciones Ventas"/>
      <sheetName val="Bal. Inicial Previo 00"/>
      <sheetName val="Prev.Ventas 0"/>
      <sheetName val="Prev.Ventas 1"/>
      <sheetName val="Prev.Ventas 2"/>
      <sheetName val="Prev.Ventas 3"/>
      <sheetName val="Prev.Ventas 4"/>
      <sheetName val="Produccion"/>
      <sheetName val="Distr CV 0"/>
      <sheetName val="Distr CV 1"/>
      <sheetName val="Distr CV 2"/>
      <sheetName val="Distr CV 3"/>
      <sheetName val="Distr CV 4"/>
      <sheetName val="Distr CV 5"/>
      <sheetName val="Resumen Ventas 5 años"/>
      <sheetName val="PyG 0"/>
      <sheetName val="PyG 1"/>
      <sheetName val="PyG 2"/>
      <sheetName val="PyG 3"/>
      <sheetName val="PyG 4"/>
      <sheetName val="Balances anuales"/>
      <sheetName val="Balances anuales (2)"/>
      <sheetName val="PPyGG anuales"/>
      <sheetName val="RETA 2023"/>
      <sheetName val="IRPF Prof y Autónomos"/>
      <sheetName val="Imp.Sociedades"/>
      <sheetName val="Cobros y pagos 0"/>
      <sheetName val="Cobros y pagos 1"/>
      <sheetName val="Cobros y pagos 2"/>
      <sheetName val="Cobros y pagos 3"/>
      <sheetName val="Cobros y pagos 4"/>
      <sheetName val="Ret IRPF"/>
      <sheetName val="G.F. 0"/>
      <sheetName val="G.F. 1"/>
      <sheetName val="G.F. 2"/>
      <sheetName val="G.F. 3"/>
      <sheetName val="G.F. 4"/>
      <sheetName val="IVA 0"/>
      <sheetName val="IVA 1"/>
      <sheetName val="IVA 2"/>
      <sheetName val="IVA 3"/>
      <sheetName val="IVA 4"/>
      <sheetName val="Resumen Gastos Fijos"/>
      <sheetName val="Amortizaciones"/>
      <sheetName val="Gastos Financieros"/>
      <sheetName val="Tesorería 0"/>
      <sheetName val="Tesorería 1"/>
      <sheetName val="Tesorería 2"/>
      <sheetName val="Tesorería 3"/>
      <sheetName val="Tesorería 4"/>
      <sheetName val="Otros cobros y pagos"/>
      <sheetName val="Resumen Tesorerias"/>
      <sheetName val="P. Equilibrio"/>
      <sheetName val="Ratios Básicos"/>
      <sheetName val="Valoración Empresa"/>
      <sheetName val="Datos Evaluación"/>
      <sheetName val="Ficha Inversores"/>
      <sheetName val="Tablas Plan de Nego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Índice"/>
      <sheetName val="Condiciones de Uso"/>
      <sheetName val="Datos Básicos"/>
      <sheetName val="Parametros"/>
      <sheetName val="Bal. Inicial Previo"/>
      <sheetName val="Inv. Iniciales ANC"/>
      <sheetName val="Inv. Adicionales ANC"/>
      <sheetName val="Gastos Iniciales"/>
      <sheetName val="Inversiones AC"/>
      <sheetName val="Financiación"/>
      <sheetName val="Financiación Inicial"/>
      <sheetName val="Préstamos"/>
      <sheetName val="Leasing"/>
      <sheetName val="Renting"/>
      <sheetName val="Plantilla"/>
      <sheetName val="RR.HH."/>
      <sheetName val="Gastos de marketing"/>
      <sheetName val="Gastos Fijos Datos"/>
      <sheetName val="Precios-CV"/>
      <sheetName val="Politicas Cobros y Pagos"/>
      <sheetName val="Estimaciones Ventas"/>
      <sheetName val="Bal. Inicial Previo 00"/>
      <sheetName val="Prev.Ventas 0"/>
      <sheetName val="Prev.Ventas 1"/>
      <sheetName val="Prev.Ventas 2"/>
      <sheetName val="Prev.Ventas 3"/>
      <sheetName val="Prev.Ventas 4"/>
      <sheetName val="Produccion"/>
      <sheetName val="Distr CV 0"/>
      <sheetName val="Distr CV 1"/>
      <sheetName val="Distr CV 2"/>
      <sheetName val="Distr CV 3"/>
      <sheetName val="Distr CV 4"/>
      <sheetName val="Distr CV 5"/>
      <sheetName val="Resumen Ventas 5 años"/>
      <sheetName val="PyG 0"/>
      <sheetName val="PyG 1"/>
      <sheetName val="PyG 2"/>
      <sheetName val="PyG 3"/>
      <sheetName val="PyG 4"/>
      <sheetName val="Balances anuales"/>
      <sheetName val="Balances anuales (2)"/>
      <sheetName val="PPyGG anuales"/>
      <sheetName val="RETA 2023"/>
      <sheetName val="IRPF Prof y Autónomos"/>
      <sheetName val="Imp.Sociedades"/>
      <sheetName val="Cobros y pagos 0"/>
      <sheetName val="Cobros y pagos 1"/>
      <sheetName val="Cobros y pagos 2"/>
      <sheetName val="Cobros y pagos 3"/>
      <sheetName val="Cobros y pagos 4"/>
      <sheetName val="Ret IRPF"/>
      <sheetName val="G.F. 0"/>
      <sheetName val="G.F. 1"/>
      <sheetName val="G.F. 2"/>
      <sheetName val="G.F. 3"/>
      <sheetName val="G.F. 4"/>
      <sheetName val="IVA 0"/>
      <sheetName val="IVA 1"/>
      <sheetName val="IVA 2"/>
      <sheetName val="IVA 3"/>
      <sheetName val="IVA 4"/>
      <sheetName val="Resumen Gastos Fijos"/>
      <sheetName val="Amortizaciones"/>
      <sheetName val="Gastos Financieros"/>
      <sheetName val="Tesorería 0"/>
      <sheetName val="Tesorería 1"/>
      <sheetName val="Tesorería 2"/>
      <sheetName val="Tesorería 3"/>
      <sheetName val="Tesorería 4"/>
      <sheetName val="Otros cobros y pagos"/>
      <sheetName val="Resumen Tesorerias"/>
      <sheetName val="P. Equilibrio"/>
      <sheetName val="Ratios Básicos"/>
      <sheetName val="Viabilidad"/>
      <sheetName val="Valoración Empresa"/>
      <sheetName val="Datos Evaluación"/>
      <sheetName val="Ficha Inversores"/>
      <sheetName val="Tablas Plan de Negoc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31">
          <cell r="B31">
            <v>3550.4399999999996</v>
          </cell>
          <cell r="D31">
            <v>13600.9575</v>
          </cell>
          <cell r="G31">
            <v>15549.892303500001</v>
          </cell>
          <cell r="J31">
            <v>18488.827834105505</v>
          </cell>
          <cell r="M31">
            <v>22135.531984451136</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 TargetMode="External"/><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9.xml"/><Relationship Id="rId1" Type="http://schemas.openxmlformats.org/officeDocument/2006/relationships/printerSettings" Target="../printerSettings/printerSettings46.bin"/><Relationship Id="rId4"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1.xml"/><Relationship Id="rId1" Type="http://schemas.openxmlformats.org/officeDocument/2006/relationships/printerSettings" Target="../printerSettings/printerSettings77.bin"/><Relationship Id="rId4" Type="http://schemas.openxmlformats.org/officeDocument/2006/relationships/comments" Target="../comments33.xml"/></Relationships>
</file>

<file path=xl/worksheets/_rels/sheet78.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7">
    <pageSetUpPr fitToPage="1"/>
  </sheetPr>
  <dimension ref="A2:N84"/>
  <sheetViews>
    <sheetView showGridLines="0" topLeftCell="A10" zoomScale="85" zoomScaleNormal="85" workbookViewId="0">
      <selection activeCell="I16" sqref="I16:I19"/>
    </sheetView>
  </sheetViews>
  <sheetFormatPr baseColWidth="10" defaultColWidth="11" defaultRowHeight="18"/>
  <cols>
    <col min="1" max="1" width="8.125" style="626" customWidth="1"/>
    <col min="2" max="3" width="7" style="697" customWidth="1"/>
    <col min="4" max="5" width="4.5" style="697" bestFit="1" customWidth="1"/>
    <col min="6" max="6" width="5.875" style="697" bestFit="1" customWidth="1"/>
    <col min="7" max="7" width="6.375" style="697" customWidth="1"/>
    <col min="8" max="8" width="5.625" style="697" bestFit="1" customWidth="1"/>
    <col min="9" max="9" width="10" style="697" customWidth="1"/>
    <col min="10" max="10" width="9" style="697" bestFit="1" customWidth="1"/>
    <col min="11" max="11" width="9.375" style="697" bestFit="1" customWidth="1"/>
    <col min="12" max="12" width="10.25" style="697" customWidth="1"/>
    <col min="13" max="13" width="10.375" style="674" customWidth="1"/>
    <col min="14" max="16384" width="11" style="674"/>
  </cols>
  <sheetData>
    <row r="2" spans="1:14" s="35" customFormat="1" ht="22.5">
      <c r="A2" s="756"/>
      <c r="B2" s="756" t="str">
        <f>'Base Data'!B9</f>
        <v>WWW, Ltd.</v>
      </c>
      <c r="C2" s="756"/>
      <c r="D2" s="756"/>
      <c r="E2" s="756"/>
      <c r="F2" s="756"/>
      <c r="G2" s="756"/>
      <c r="H2" s="756"/>
      <c r="I2" s="756"/>
      <c r="J2" s="756"/>
      <c r="K2" s="4"/>
      <c r="L2" s="4"/>
    </row>
    <row r="3" spans="1:14" s="35" customFormat="1">
      <c r="A3" s="767"/>
      <c r="B3" s="4"/>
      <c r="C3" s="4"/>
      <c r="E3" s="4"/>
      <c r="F3" s="4"/>
      <c r="G3" s="4"/>
      <c r="H3" s="4"/>
      <c r="I3" s="4"/>
      <c r="K3" s="4"/>
      <c r="L3" s="4"/>
    </row>
    <row r="4" spans="1:14" s="35" customFormat="1" ht="23.25" thickBot="1">
      <c r="A4" s="756" t="s">
        <v>909</v>
      </c>
      <c r="B4" s="750"/>
      <c r="C4" s="750"/>
      <c r="D4" s="340"/>
      <c r="E4" s="750"/>
      <c r="F4" s="750"/>
      <c r="G4" s="750"/>
      <c r="H4" s="750"/>
      <c r="I4" s="750"/>
      <c r="J4" s="750"/>
      <c r="K4" s="4"/>
      <c r="L4" s="4"/>
    </row>
    <row r="5" spans="1:14" ht="18.75" thickBot="1">
      <c r="D5" s="35"/>
      <c r="J5" s="757"/>
      <c r="L5" s="758" t="s">
        <v>910</v>
      </c>
      <c r="M5" s="749"/>
    </row>
    <row r="6" spans="1:14" ht="31.5" customHeight="1" thickBot="1">
      <c r="A6" s="769" t="s">
        <v>24</v>
      </c>
      <c r="B6" s="1312" t="s">
        <v>966</v>
      </c>
      <c r="C6" s="741"/>
      <c r="D6" s="768"/>
      <c r="E6" s="741"/>
      <c r="F6" s="741"/>
      <c r="G6" s="741"/>
      <c r="H6" s="741"/>
      <c r="I6" s="759"/>
      <c r="J6" s="760" t="s">
        <v>964</v>
      </c>
      <c r="K6" s="2498" t="s">
        <v>965</v>
      </c>
      <c r="L6" s="2482" t="s">
        <v>912</v>
      </c>
      <c r="M6" s="761" t="s">
        <v>911</v>
      </c>
    </row>
    <row r="7" spans="1:14" s="776" customFormat="1" ht="18.75" customHeight="1">
      <c r="A7" s="694">
        <v>1</v>
      </c>
      <c r="B7" s="1313" t="s">
        <v>963</v>
      </c>
      <c r="C7" s="1679"/>
      <c r="D7" s="771"/>
      <c r="E7" s="1679"/>
      <c r="F7" s="1679"/>
      <c r="G7" s="1679"/>
      <c r="H7" s="1679"/>
      <c r="I7" s="1680"/>
      <c r="J7" s="772">
        <v>1</v>
      </c>
      <c r="K7" s="773" t="s">
        <v>915</v>
      </c>
      <c r="L7" s="774" t="s">
        <v>22</v>
      </c>
      <c r="M7" s="775" t="s">
        <v>913</v>
      </c>
      <c r="N7" s="674"/>
    </row>
    <row r="8" spans="1:14" s="776" customFormat="1" ht="18.75" customHeight="1">
      <c r="A8" s="777">
        <f t="shared" ref="A8:A70" si="0">A7+1</f>
        <v>2</v>
      </c>
      <c r="B8" s="1311" t="s">
        <v>916</v>
      </c>
      <c r="C8" s="1681"/>
      <c r="D8" s="778"/>
      <c r="E8" s="1681"/>
      <c r="F8" s="1681"/>
      <c r="G8" s="1681"/>
      <c r="H8" s="1681"/>
      <c r="I8" s="1682"/>
      <c r="J8" s="779">
        <v>0</v>
      </c>
      <c r="K8" s="780" t="s">
        <v>915</v>
      </c>
      <c r="L8" s="781" t="s">
        <v>22</v>
      </c>
      <c r="M8" s="782" t="s">
        <v>22</v>
      </c>
      <c r="N8" s="674"/>
    </row>
    <row r="9" spans="1:14" s="776" customFormat="1" ht="18.75" customHeight="1">
      <c r="A9" s="777">
        <f t="shared" si="0"/>
        <v>3</v>
      </c>
      <c r="B9" s="1311" t="s">
        <v>917</v>
      </c>
      <c r="C9" s="1681"/>
      <c r="D9" s="778"/>
      <c r="E9" s="1681"/>
      <c r="F9" s="1681"/>
      <c r="G9" s="1681"/>
      <c r="H9" s="1681"/>
      <c r="I9" s="1682"/>
      <c r="J9" s="779">
        <v>1</v>
      </c>
      <c r="K9" s="780" t="s">
        <v>527</v>
      </c>
      <c r="L9" s="781" t="s">
        <v>913</v>
      </c>
      <c r="M9" s="782" t="s">
        <v>913</v>
      </c>
      <c r="N9" s="674"/>
    </row>
    <row r="10" spans="1:14" s="776" customFormat="1" ht="18.75" customHeight="1">
      <c r="A10" s="777">
        <f t="shared" si="0"/>
        <v>4</v>
      </c>
      <c r="B10" s="1311" t="s">
        <v>1030</v>
      </c>
      <c r="C10" s="1681"/>
      <c r="D10" s="778"/>
      <c r="E10" s="1681"/>
      <c r="F10" s="1681"/>
      <c r="G10" s="1681"/>
      <c r="H10" s="1681"/>
      <c r="I10" s="1682"/>
      <c r="J10" s="779">
        <v>1</v>
      </c>
      <c r="K10" s="780" t="s">
        <v>527</v>
      </c>
      <c r="L10" s="781" t="s">
        <v>22</v>
      </c>
      <c r="M10" s="782" t="s">
        <v>22</v>
      </c>
      <c r="N10" s="674"/>
    </row>
    <row r="11" spans="1:14" s="776" customFormat="1" ht="18.75" customHeight="1">
      <c r="A11" s="777">
        <v>5</v>
      </c>
      <c r="B11" s="1311" t="s">
        <v>967</v>
      </c>
      <c r="C11" s="1681"/>
      <c r="D11" s="778"/>
      <c r="E11" s="1681"/>
      <c r="F11" s="1681"/>
      <c r="G11" s="1681"/>
      <c r="H11" s="1681"/>
      <c r="I11" s="1682"/>
      <c r="J11" s="779">
        <v>1</v>
      </c>
      <c r="K11" s="780" t="s">
        <v>527</v>
      </c>
      <c r="L11" s="781" t="s">
        <v>913</v>
      </c>
      <c r="M11" s="782" t="s">
        <v>913</v>
      </c>
      <c r="N11" s="674"/>
    </row>
    <row r="12" spans="1:14" s="776" customFormat="1" ht="19.5" customHeight="1">
      <c r="A12" s="777">
        <f t="shared" si="0"/>
        <v>6</v>
      </c>
      <c r="B12" s="1311" t="s">
        <v>1031</v>
      </c>
      <c r="C12" s="1681"/>
      <c r="D12" s="778"/>
      <c r="E12" s="1681"/>
      <c r="F12" s="1681"/>
      <c r="G12" s="1681"/>
      <c r="H12" s="1681"/>
      <c r="I12" s="1682"/>
      <c r="J12" s="779">
        <v>1</v>
      </c>
      <c r="K12" s="780" t="s">
        <v>527</v>
      </c>
      <c r="L12" s="781" t="str">
        <f>IF(SUM(Funding!E6:H6)&gt;0.5,"YES","NO")</f>
        <v>NO</v>
      </c>
      <c r="M12" s="782" t="str">
        <f>L12</f>
        <v>NO</v>
      </c>
      <c r="N12" s="674"/>
    </row>
    <row r="13" spans="1:14" s="776" customFormat="1" ht="18.75" customHeight="1">
      <c r="A13" s="777">
        <f>+A12+1</f>
        <v>7</v>
      </c>
      <c r="B13" s="1311" t="s">
        <v>973</v>
      </c>
      <c r="C13" s="1681"/>
      <c r="D13" s="778"/>
      <c r="E13" s="1681"/>
      <c r="F13" s="1681"/>
      <c r="G13" s="1681"/>
      <c r="H13" s="1681"/>
      <c r="I13" s="1682"/>
      <c r="J13" s="779">
        <v>1</v>
      </c>
      <c r="K13" s="780" t="s">
        <v>527</v>
      </c>
      <c r="L13" s="781" t="s">
        <v>913</v>
      </c>
      <c r="M13" s="782" t="s">
        <v>913</v>
      </c>
      <c r="N13" s="674"/>
    </row>
    <row r="14" spans="1:14" s="776" customFormat="1" ht="18.75" customHeight="1">
      <c r="A14" s="777">
        <f t="shared" si="0"/>
        <v>8</v>
      </c>
      <c r="B14" s="1311" t="s">
        <v>968</v>
      </c>
      <c r="C14" s="1681"/>
      <c r="D14" s="778"/>
      <c r="E14" s="1681"/>
      <c r="F14" s="1681"/>
      <c r="G14" s="1681"/>
      <c r="H14" s="1681"/>
      <c r="I14" s="1682"/>
      <c r="J14" s="779">
        <v>1</v>
      </c>
      <c r="K14" s="780" t="s">
        <v>527</v>
      </c>
      <c r="L14" s="781" t="s">
        <v>913</v>
      </c>
      <c r="M14" s="782" t="s">
        <v>913</v>
      </c>
      <c r="N14" s="674"/>
    </row>
    <row r="15" spans="1:14" s="776" customFormat="1" ht="18.75" customHeight="1">
      <c r="A15" s="777">
        <f t="shared" si="0"/>
        <v>9</v>
      </c>
      <c r="B15" s="1311" t="s">
        <v>969</v>
      </c>
      <c r="C15" s="1681"/>
      <c r="D15" s="778"/>
      <c r="E15" s="1681"/>
      <c r="F15" s="1681"/>
      <c r="G15" s="1681"/>
      <c r="H15" s="1681"/>
      <c r="I15" s="1682"/>
      <c r="J15" s="779">
        <v>1</v>
      </c>
      <c r="K15" s="780" t="s">
        <v>527</v>
      </c>
      <c r="L15" s="781" t="s">
        <v>913</v>
      </c>
      <c r="M15" s="782" t="s">
        <v>913</v>
      </c>
      <c r="N15" s="674"/>
    </row>
    <row r="16" spans="1:14" s="776" customFormat="1" ht="15" customHeight="1">
      <c r="A16" s="777">
        <f t="shared" si="0"/>
        <v>10</v>
      </c>
      <c r="B16" s="1311" t="s">
        <v>974</v>
      </c>
      <c r="C16" s="1681"/>
      <c r="D16" s="778"/>
      <c r="E16" s="1681"/>
      <c r="F16" s="1681"/>
      <c r="G16" s="1681"/>
      <c r="H16" s="1681"/>
      <c r="I16" s="1755"/>
      <c r="J16" s="779">
        <v>1</v>
      </c>
      <c r="K16" s="780" t="s">
        <v>527</v>
      </c>
      <c r="L16" s="781" t="s">
        <v>22</v>
      </c>
      <c r="M16" s="782" t="str">
        <f ca="1">IF('Initial Funding'!B20+SUM(resprevio,'Initial Funding'!D25:D28)&gt;0,"YES","NO")</f>
        <v>NO</v>
      </c>
      <c r="N16" s="674"/>
    </row>
    <row r="17" spans="1:14" s="776" customFormat="1" ht="21" customHeight="1">
      <c r="A17" s="777">
        <f t="shared" si="0"/>
        <v>11</v>
      </c>
      <c r="B17" s="1311" t="s">
        <v>975</v>
      </c>
      <c r="C17" s="1681"/>
      <c r="D17" s="778"/>
      <c r="E17" s="1681"/>
      <c r="F17" s="1681"/>
      <c r="G17" s="1681"/>
      <c r="H17" s="1681"/>
      <c r="I17" s="1755"/>
      <c r="J17" s="779">
        <v>1</v>
      </c>
      <c r="K17" s="780" t="s">
        <v>915</v>
      </c>
      <c r="L17" s="781" t="s">
        <v>22</v>
      </c>
      <c r="M17" s="782" t="str">
        <f>L17</f>
        <v>NO</v>
      </c>
      <c r="N17" s="674"/>
    </row>
    <row r="18" spans="1:14" s="776" customFormat="1" ht="18.75" customHeight="1">
      <c r="A18" s="777">
        <f>+A15+1</f>
        <v>10</v>
      </c>
      <c r="B18" s="1311" t="s">
        <v>976</v>
      </c>
      <c r="C18" s="1681"/>
      <c r="D18" s="778"/>
      <c r="E18" s="1681"/>
      <c r="F18" s="1681"/>
      <c r="G18" s="1681"/>
      <c r="H18" s="1681"/>
      <c r="I18" s="1755"/>
      <c r="J18" s="779">
        <v>1</v>
      </c>
      <c r="K18" s="780" t="s">
        <v>915</v>
      </c>
      <c r="L18" s="781" t="s">
        <v>22</v>
      </c>
      <c r="M18" s="782" t="str">
        <f>L18</f>
        <v>NO</v>
      </c>
      <c r="N18" s="674"/>
    </row>
    <row r="19" spans="1:14" s="776" customFormat="1" ht="18.75" customHeight="1">
      <c r="A19" s="777">
        <f t="shared" si="0"/>
        <v>11</v>
      </c>
      <c r="B19" s="1311" t="s">
        <v>977</v>
      </c>
      <c r="C19" s="1681"/>
      <c r="D19" s="778"/>
      <c r="E19" s="1681"/>
      <c r="F19" s="1681"/>
      <c r="G19" s="1681"/>
      <c r="H19" s="1681"/>
      <c r="I19" s="1755"/>
      <c r="J19" s="779">
        <v>1</v>
      </c>
      <c r="K19" s="780" t="s">
        <v>915</v>
      </c>
      <c r="L19" s="781" t="s">
        <v>22</v>
      </c>
      <c r="M19" s="782" t="str">
        <f>L19</f>
        <v>NO</v>
      </c>
      <c r="N19" s="674"/>
    </row>
    <row r="20" spans="1:14" s="776" customFormat="1" ht="17.25" customHeight="1">
      <c r="A20" s="777">
        <f t="shared" si="0"/>
        <v>12</v>
      </c>
      <c r="B20" s="1311" t="s">
        <v>978</v>
      </c>
      <c r="C20" s="1681"/>
      <c r="D20" s="778"/>
      <c r="E20" s="1681"/>
      <c r="F20" s="1681"/>
      <c r="G20" s="1681"/>
      <c r="H20" s="1681"/>
      <c r="I20" s="1682"/>
      <c r="J20" s="779">
        <v>2</v>
      </c>
      <c r="K20" s="780" t="s">
        <v>41</v>
      </c>
      <c r="L20" s="781" t="s">
        <v>22</v>
      </c>
      <c r="M20" s="782" t="s">
        <v>22</v>
      </c>
      <c r="N20" s="674"/>
    </row>
    <row r="21" spans="1:14" s="776" customFormat="1" ht="18.75" customHeight="1">
      <c r="A21" s="777">
        <v>8</v>
      </c>
      <c r="B21" s="1311" t="s">
        <v>970</v>
      </c>
      <c r="C21" s="1681"/>
      <c r="D21" s="778"/>
      <c r="E21" s="1681"/>
      <c r="F21" s="1681"/>
      <c r="G21" s="1681"/>
      <c r="H21" s="1681"/>
      <c r="I21" s="1682"/>
      <c r="J21" s="779">
        <v>1</v>
      </c>
      <c r="K21" s="780" t="s">
        <v>527</v>
      </c>
      <c r="L21" s="781" t="s">
        <v>913</v>
      </c>
      <c r="M21" s="782" t="s">
        <v>913</v>
      </c>
      <c r="N21" s="674"/>
    </row>
    <row r="22" spans="1:14" s="776" customFormat="1" ht="11.25" customHeight="1">
      <c r="A22" s="777">
        <f t="shared" si="0"/>
        <v>9</v>
      </c>
      <c r="B22" s="1311" t="s">
        <v>979</v>
      </c>
      <c r="C22" s="1681"/>
      <c r="D22" s="778"/>
      <c r="E22" s="1681"/>
      <c r="F22" s="1681"/>
      <c r="G22" s="1681"/>
      <c r="H22" s="1681"/>
      <c r="I22" s="1682"/>
      <c r="J22" s="779">
        <v>2</v>
      </c>
      <c r="K22" s="780" t="s">
        <v>527</v>
      </c>
      <c r="L22" s="781" t="s">
        <v>22</v>
      </c>
      <c r="M22" s="782" t="str">
        <f>IF(SUM('Detailed Staff'!O20:O21,'Detailed Staff'!O39:O40,'Detailed Staff'!O58:O59,'Detailed Staff'!O77:O78,'Detailed Staff'!O96:O97)&gt;0,"YES","NO")</f>
        <v>NO</v>
      </c>
      <c r="N22" s="674"/>
    </row>
    <row r="23" spans="1:14" s="776" customFormat="1" ht="18.75" customHeight="1">
      <c r="A23" s="777">
        <f>+A21+1</f>
        <v>9</v>
      </c>
      <c r="B23" s="1311" t="s">
        <v>971</v>
      </c>
      <c r="C23" s="1681"/>
      <c r="D23" s="778"/>
      <c r="E23" s="1681"/>
      <c r="F23" s="1681"/>
      <c r="G23" s="1681"/>
      <c r="H23" s="1681"/>
      <c r="I23" s="1682"/>
      <c r="J23" s="779">
        <v>1</v>
      </c>
      <c r="K23" s="780" t="s">
        <v>527</v>
      </c>
      <c r="L23" s="781" t="s">
        <v>22</v>
      </c>
      <c r="M23" s="782" t="s">
        <v>22</v>
      </c>
      <c r="N23" s="674"/>
    </row>
    <row r="24" spans="1:14" s="776" customFormat="1" ht="18.75" customHeight="1">
      <c r="A24" s="777">
        <f t="shared" si="0"/>
        <v>10</v>
      </c>
      <c r="B24" s="1311" t="s">
        <v>972</v>
      </c>
      <c r="C24" s="1681"/>
      <c r="D24" s="778"/>
      <c r="E24" s="1681"/>
      <c r="F24" s="1681"/>
      <c r="G24" s="1681"/>
      <c r="H24" s="1681"/>
      <c r="I24" s="1682"/>
      <c r="J24" s="779">
        <v>1</v>
      </c>
      <c r="K24" s="780" t="s">
        <v>527</v>
      </c>
      <c r="L24" s="781" t="s">
        <v>913</v>
      </c>
      <c r="M24" s="782" t="s">
        <v>913</v>
      </c>
      <c r="N24" s="674"/>
    </row>
    <row r="25" spans="1:14" s="776" customFormat="1" ht="20.25" customHeight="1">
      <c r="A25" s="777">
        <f t="shared" si="0"/>
        <v>11</v>
      </c>
      <c r="B25" s="1311" t="s">
        <v>1032</v>
      </c>
      <c r="C25" s="1681"/>
      <c r="D25" s="778"/>
      <c r="E25" s="1681"/>
      <c r="F25" s="1681"/>
      <c r="G25" s="1681"/>
      <c r="H25" s="1681"/>
      <c r="I25" s="1682"/>
      <c r="J25" s="779">
        <v>2</v>
      </c>
      <c r="K25" s="780" t="s">
        <v>527</v>
      </c>
      <c r="L25" s="781" t="s">
        <v>22</v>
      </c>
      <c r="M25" s="782" t="s">
        <v>22</v>
      </c>
      <c r="N25" s="674"/>
    </row>
    <row r="26" spans="1:14" s="776" customFormat="1" ht="12.75" hidden="1" customHeight="1">
      <c r="A26" s="777">
        <f t="shared" si="0"/>
        <v>12</v>
      </c>
      <c r="B26" s="1311" t="s">
        <v>980</v>
      </c>
      <c r="C26" s="1681"/>
      <c r="D26" s="778"/>
      <c r="E26" s="1681"/>
      <c r="F26" s="1681"/>
      <c r="G26" s="1681"/>
      <c r="H26" s="1681"/>
      <c r="I26" s="1682"/>
      <c r="J26" s="779">
        <v>2</v>
      </c>
      <c r="K26" s="780" t="s">
        <v>527</v>
      </c>
      <c r="L26" s="781" t="s">
        <v>22</v>
      </c>
      <c r="M26" s="782" t="s">
        <v>22</v>
      </c>
      <c r="N26" s="674"/>
    </row>
    <row r="27" spans="1:14" s="776" customFormat="1" ht="17.25" hidden="1" customHeight="1">
      <c r="A27" s="777">
        <f t="shared" si="0"/>
        <v>13</v>
      </c>
      <c r="B27" s="1311" t="s">
        <v>981</v>
      </c>
      <c r="C27" s="1681"/>
      <c r="D27" s="778"/>
      <c r="E27" s="1681"/>
      <c r="F27" s="1681"/>
      <c r="G27" s="1681"/>
      <c r="H27" s="1681"/>
      <c r="I27" s="1682"/>
      <c r="J27" s="779">
        <v>1</v>
      </c>
      <c r="K27" s="780" t="s">
        <v>42</v>
      </c>
      <c r="L27" s="781" t="s">
        <v>22</v>
      </c>
      <c r="M27" s="782" t="s">
        <v>22</v>
      </c>
      <c r="N27" s="674"/>
    </row>
    <row r="28" spans="1:14" s="776" customFormat="1" ht="18.75" customHeight="1">
      <c r="A28" s="777">
        <v>12</v>
      </c>
      <c r="B28" s="1311" t="s">
        <v>982</v>
      </c>
      <c r="C28" s="1681"/>
      <c r="D28" s="778"/>
      <c r="E28" s="1681"/>
      <c r="F28" s="1681"/>
      <c r="G28" s="1681"/>
      <c r="H28" s="1681"/>
      <c r="I28" s="1682"/>
      <c r="J28" s="779">
        <v>1</v>
      </c>
      <c r="K28" s="780" t="s">
        <v>914</v>
      </c>
      <c r="L28" s="781" t="s">
        <v>913</v>
      </c>
      <c r="M28" s="782" t="s">
        <v>913</v>
      </c>
      <c r="N28" s="674"/>
    </row>
    <row r="29" spans="1:14" s="776" customFormat="1" ht="18.75" hidden="1" customHeight="1">
      <c r="A29" s="777">
        <f t="shared" si="0"/>
        <v>13</v>
      </c>
      <c r="B29" s="1311" t="s">
        <v>983</v>
      </c>
      <c r="C29" s="1681"/>
      <c r="D29" s="778"/>
      <c r="E29" s="1681"/>
      <c r="F29" s="1681"/>
      <c r="G29" s="1681"/>
      <c r="H29" s="1681"/>
      <c r="I29" s="1682"/>
      <c r="J29" s="779">
        <v>2</v>
      </c>
      <c r="K29" s="780" t="s">
        <v>42</v>
      </c>
      <c r="L29" s="781" t="s">
        <v>22</v>
      </c>
      <c r="M29" s="782" t="s">
        <v>22</v>
      </c>
      <c r="N29" s="674"/>
    </row>
    <row r="30" spans="1:14" s="776" customFormat="1" ht="18.75" hidden="1" customHeight="1">
      <c r="A30" s="777">
        <f t="shared" si="0"/>
        <v>14</v>
      </c>
      <c r="B30" s="1311" t="s">
        <v>984</v>
      </c>
      <c r="C30" s="1681"/>
      <c r="D30" s="778"/>
      <c r="E30" s="1681"/>
      <c r="F30" s="1681"/>
      <c r="G30" s="1681"/>
      <c r="H30" s="1681"/>
      <c r="I30" s="1682"/>
      <c r="J30" s="779">
        <v>2</v>
      </c>
      <c r="K30" s="780" t="s">
        <v>42</v>
      </c>
      <c r="L30" s="781" t="s">
        <v>22</v>
      </c>
      <c r="M30" s="782" t="s">
        <v>22</v>
      </c>
      <c r="N30" s="674"/>
    </row>
    <row r="31" spans="1:14" s="776" customFormat="1" ht="18.75" hidden="1" customHeight="1">
      <c r="A31" s="777">
        <f t="shared" si="0"/>
        <v>15</v>
      </c>
      <c r="B31" s="1311" t="s">
        <v>985</v>
      </c>
      <c r="C31" s="1681"/>
      <c r="D31" s="778"/>
      <c r="E31" s="1681"/>
      <c r="F31" s="1681"/>
      <c r="G31" s="1681"/>
      <c r="H31" s="1681"/>
      <c r="I31" s="1682"/>
      <c r="J31" s="779">
        <v>2</v>
      </c>
      <c r="K31" s="780" t="s">
        <v>42</v>
      </c>
      <c r="L31" s="781" t="s">
        <v>22</v>
      </c>
      <c r="M31" s="782" t="s">
        <v>22</v>
      </c>
      <c r="N31" s="674"/>
    </row>
    <row r="32" spans="1:14" s="776" customFormat="1" ht="18.75" hidden="1" customHeight="1">
      <c r="A32" s="777">
        <f t="shared" si="0"/>
        <v>16</v>
      </c>
      <c r="B32" s="1311" t="s">
        <v>986</v>
      </c>
      <c r="C32" s="1681"/>
      <c r="D32" s="778"/>
      <c r="E32" s="1681"/>
      <c r="F32" s="1681"/>
      <c r="G32" s="1681"/>
      <c r="H32" s="1681"/>
      <c r="I32" s="1682"/>
      <c r="J32" s="779">
        <v>2</v>
      </c>
      <c r="K32" s="780" t="s">
        <v>42</v>
      </c>
      <c r="L32" s="781" t="s">
        <v>22</v>
      </c>
      <c r="M32" s="782" t="s">
        <v>22</v>
      </c>
      <c r="N32" s="674"/>
    </row>
    <row r="33" spans="1:14" s="776" customFormat="1" ht="9.75" hidden="1" customHeight="1">
      <c r="A33" s="777">
        <f t="shared" si="0"/>
        <v>17</v>
      </c>
      <c r="B33" s="1311" t="s">
        <v>987</v>
      </c>
      <c r="C33" s="1681"/>
      <c r="D33" s="778"/>
      <c r="E33" s="1681"/>
      <c r="F33" s="1681"/>
      <c r="G33" s="1681"/>
      <c r="H33" s="1681"/>
      <c r="I33" s="1682"/>
      <c r="J33" s="779">
        <v>2</v>
      </c>
      <c r="K33" s="780" t="s">
        <v>42</v>
      </c>
      <c r="L33" s="781" t="s">
        <v>22</v>
      </c>
      <c r="M33" s="782" t="s">
        <v>22</v>
      </c>
      <c r="N33" s="674"/>
    </row>
    <row r="34" spans="1:14" s="776" customFormat="1" ht="18.75" customHeight="1">
      <c r="A34" s="777">
        <f>+A28+1</f>
        <v>13</v>
      </c>
      <c r="B34" s="1311" t="s">
        <v>1019</v>
      </c>
      <c r="C34" s="1681"/>
      <c r="D34" s="778"/>
      <c r="E34" s="1681"/>
      <c r="F34" s="1681"/>
      <c r="G34" s="1681"/>
      <c r="H34" s="1681"/>
      <c r="I34" s="1682"/>
      <c r="J34" s="779">
        <v>1</v>
      </c>
      <c r="K34" s="780" t="s">
        <v>914</v>
      </c>
      <c r="L34" s="781" t="s">
        <v>913</v>
      </c>
      <c r="M34" s="782" t="s">
        <v>913</v>
      </c>
      <c r="N34" s="674"/>
    </row>
    <row r="35" spans="1:14" s="776" customFormat="1" ht="18.75" hidden="1" customHeight="1">
      <c r="A35" s="777">
        <f t="shared" si="0"/>
        <v>14</v>
      </c>
      <c r="B35" s="1311" t="s">
        <v>988</v>
      </c>
      <c r="C35" s="1681"/>
      <c r="D35" s="778"/>
      <c r="E35" s="1681"/>
      <c r="F35" s="1681"/>
      <c r="G35" s="1681"/>
      <c r="H35" s="1681"/>
      <c r="I35" s="1682"/>
      <c r="J35" s="779">
        <v>1</v>
      </c>
      <c r="K35" s="780" t="s">
        <v>42</v>
      </c>
      <c r="L35" s="781" t="s">
        <v>22</v>
      </c>
      <c r="M35" s="782" t="s">
        <v>22</v>
      </c>
      <c r="N35" s="674"/>
    </row>
    <row r="36" spans="1:14" s="776" customFormat="1" ht="18.75" hidden="1" customHeight="1">
      <c r="A36" s="777">
        <f t="shared" si="0"/>
        <v>15</v>
      </c>
      <c r="B36" s="1311" t="s">
        <v>989</v>
      </c>
      <c r="C36" s="1681"/>
      <c r="D36" s="778"/>
      <c r="E36" s="1681"/>
      <c r="F36" s="1681"/>
      <c r="G36" s="1681"/>
      <c r="H36" s="1681"/>
      <c r="I36" s="1682"/>
      <c r="J36" s="779">
        <v>1</v>
      </c>
      <c r="K36" s="780" t="s">
        <v>42</v>
      </c>
      <c r="L36" s="781" t="s">
        <v>22</v>
      </c>
      <c r="M36" s="782" t="s">
        <v>22</v>
      </c>
      <c r="N36" s="674"/>
    </row>
    <row r="37" spans="1:14" s="776" customFormat="1" ht="18.75" hidden="1" customHeight="1">
      <c r="A37" s="777">
        <f t="shared" si="0"/>
        <v>16</v>
      </c>
      <c r="B37" s="1311" t="s">
        <v>990</v>
      </c>
      <c r="C37" s="1681"/>
      <c r="D37" s="778"/>
      <c r="E37" s="1681"/>
      <c r="F37" s="1681"/>
      <c r="G37" s="1681"/>
      <c r="H37" s="1681"/>
      <c r="I37" s="1682"/>
      <c r="J37" s="779">
        <v>1</v>
      </c>
      <c r="K37" s="780" t="s">
        <v>42</v>
      </c>
      <c r="L37" s="781" t="s">
        <v>22</v>
      </c>
      <c r="M37" s="782" t="s">
        <v>22</v>
      </c>
      <c r="N37" s="674"/>
    </row>
    <row r="38" spans="1:14" s="776" customFormat="1" ht="18.75" hidden="1" customHeight="1">
      <c r="A38" s="777">
        <f t="shared" si="0"/>
        <v>17</v>
      </c>
      <c r="B38" s="1311" t="s">
        <v>991</v>
      </c>
      <c r="C38" s="1681"/>
      <c r="D38" s="778"/>
      <c r="E38" s="1681"/>
      <c r="F38" s="1681"/>
      <c r="G38" s="1681"/>
      <c r="H38" s="1681"/>
      <c r="I38" s="1682"/>
      <c r="J38" s="779">
        <v>1</v>
      </c>
      <c r="K38" s="780" t="s">
        <v>42</v>
      </c>
      <c r="L38" s="781" t="s">
        <v>22</v>
      </c>
      <c r="M38" s="782" t="s">
        <v>22</v>
      </c>
      <c r="N38" s="674"/>
    </row>
    <row r="39" spans="1:14" s="776" customFormat="1" ht="18.75" hidden="1" customHeight="1">
      <c r="A39" s="777">
        <f t="shared" si="0"/>
        <v>18</v>
      </c>
      <c r="B39" s="1311" t="s">
        <v>992</v>
      </c>
      <c r="C39" s="1681"/>
      <c r="D39" s="778"/>
      <c r="E39" s="1681"/>
      <c r="F39" s="1681"/>
      <c r="G39" s="1681"/>
      <c r="H39" s="1681"/>
      <c r="I39" s="1682"/>
      <c r="J39" s="779">
        <v>1</v>
      </c>
      <c r="K39" s="780" t="s">
        <v>42</v>
      </c>
      <c r="L39" s="781" t="s">
        <v>22</v>
      </c>
      <c r="M39" s="782" t="s">
        <v>22</v>
      </c>
      <c r="N39" s="674"/>
    </row>
    <row r="40" spans="1:14" s="776" customFormat="1" ht="18.75" customHeight="1">
      <c r="A40" s="777">
        <f>A34+1</f>
        <v>14</v>
      </c>
      <c r="B40" s="1311" t="s">
        <v>993</v>
      </c>
      <c r="C40" s="1681"/>
      <c r="D40" s="778"/>
      <c r="E40" s="1681"/>
      <c r="F40" s="1681"/>
      <c r="G40" s="1681"/>
      <c r="H40" s="1681"/>
      <c r="I40" s="1682"/>
      <c r="J40" s="779">
        <v>1</v>
      </c>
      <c r="K40" s="780" t="s">
        <v>914</v>
      </c>
      <c r="L40" s="781" t="s">
        <v>913</v>
      </c>
      <c r="M40" s="782" t="s">
        <v>913</v>
      </c>
      <c r="N40" s="674"/>
    </row>
    <row r="41" spans="1:14" s="776" customFormat="1" ht="18.75" customHeight="1">
      <c r="A41" s="777">
        <f t="shared" si="0"/>
        <v>15</v>
      </c>
      <c r="B41" s="1311" t="str">
        <f>'Base Data'!I44&amp;" "&amp;'Base Data'!$J$44</f>
        <v>C.I.T Corporate Income Tax</v>
      </c>
      <c r="C41" s="1681"/>
      <c r="D41" s="778"/>
      <c r="E41" s="1681"/>
      <c r="F41" s="1681"/>
      <c r="G41" s="1681"/>
      <c r="H41" s="1681"/>
      <c r="I41" s="1682"/>
      <c r="J41" s="779">
        <v>1</v>
      </c>
      <c r="K41" s="780" t="s">
        <v>914</v>
      </c>
      <c r="L41" s="781" t="s">
        <v>22</v>
      </c>
      <c r="M41" s="782" t="str">
        <f>IF(isoc&lt;&gt;0,"YES","NO")</f>
        <v>YES</v>
      </c>
      <c r="N41" s="674"/>
    </row>
    <row r="42" spans="1:14" s="776" customFormat="1" ht="18.75" customHeight="1">
      <c r="A42" s="777">
        <f t="shared" si="0"/>
        <v>16</v>
      </c>
      <c r="B42" s="1311" t="str">
        <f>'Base Data'!I43&amp;" "&amp;'Base Data'!$J$43</f>
        <v>P.I.T. Personal Income Tax</v>
      </c>
      <c r="C42" s="1681"/>
      <c r="D42" s="778"/>
      <c r="E42" s="1681"/>
      <c r="F42" s="1681"/>
      <c r="G42" s="1681"/>
      <c r="H42" s="1681"/>
      <c r="I42" s="1682"/>
      <c r="J42" s="779">
        <v>1</v>
      </c>
      <c r="K42" s="780" t="s">
        <v>914</v>
      </c>
      <c r="L42" s="781" t="s">
        <v>22</v>
      </c>
      <c r="M42" s="782" t="str">
        <f>IF(irpf&lt;&gt;0,"YES","NO")</f>
        <v>NO</v>
      </c>
      <c r="N42" s="674"/>
    </row>
    <row r="43" spans="1:14" s="776" customFormat="1" ht="18.75" hidden="1" customHeight="1">
      <c r="A43" s="777">
        <f t="shared" si="0"/>
        <v>17</v>
      </c>
      <c r="B43" s="1311" t="s">
        <v>995</v>
      </c>
      <c r="C43" s="1681"/>
      <c r="D43" s="778"/>
      <c r="E43" s="1681"/>
      <c r="F43" s="1681"/>
      <c r="G43" s="1681"/>
      <c r="H43" s="1681"/>
      <c r="I43" s="1682"/>
      <c r="J43" s="779">
        <v>1</v>
      </c>
      <c r="K43" s="780" t="s">
        <v>43</v>
      </c>
      <c r="L43" s="781" t="s">
        <v>22</v>
      </c>
      <c r="M43" s="782" t="s">
        <v>22</v>
      </c>
      <c r="N43" s="674"/>
    </row>
    <row r="44" spans="1:14" s="776" customFormat="1" ht="18.75" hidden="1" customHeight="1">
      <c r="A44" s="777">
        <f t="shared" si="0"/>
        <v>18</v>
      </c>
      <c r="B44" s="1311" t="s">
        <v>996</v>
      </c>
      <c r="C44" s="1681"/>
      <c r="D44" s="778"/>
      <c r="E44" s="1681"/>
      <c r="F44" s="1681"/>
      <c r="G44" s="1681"/>
      <c r="H44" s="1681"/>
      <c r="I44" s="1682"/>
      <c r="J44" s="779">
        <v>1</v>
      </c>
      <c r="K44" s="780" t="s">
        <v>43</v>
      </c>
      <c r="L44" s="781" t="s">
        <v>22</v>
      </c>
      <c r="M44" s="782" t="s">
        <v>22</v>
      </c>
      <c r="N44" s="674"/>
    </row>
    <row r="45" spans="1:14" s="776" customFormat="1" ht="18.75" hidden="1" customHeight="1">
      <c r="A45" s="777">
        <f t="shared" si="0"/>
        <v>19</v>
      </c>
      <c r="B45" s="1311" t="s">
        <v>997</v>
      </c>
      <c r="C45" s="1681"/>
      <c r="D45" s="778"/>
      <c r="E45" s="1681"/>
      <c r="F45" s="1681"/>
      <c r="G45" s="1681"/>
      <c r="H45" s="1681"/>
      <c r="I45" s="1682"/>
      <c r="J45" s="779">
        <v>1</v>
      </c>
      <c r="K45" s="780" t="s">
        <v>43</v>
      </c>
      <c r="L45" s="781" t="s">
        <v>22</v>
      </c>
      <c r="M45" s="782" t="s">
        <v>22</v>
      </c>
      <c r="N45" s="674"/>
    </row>
    <row r="46" spans="1:14" s="776" customFormat="1" ht="18.75" hidden="1" customHeight="1">
      <c r="A46" s="777">
        <f t="shared" si="0"/>
        <v>20</v>
      </c>
      <c r="B46" s="1311" t="s">
        <v>998</v>
      </c>
      <c r="C46" s="1681"/>
      <c r="D46" s="778"/>
      <c r="E46" s="1681"/>
      <c r="F46" s="1681"/>
      <c r="G46" s="1681"/>
      <c r="H46" s="1681"/>
      <c r="I46" s="1682"/>
      <c r="J46" s="779">
        <v>1</v>
      </c>
      <c r="K46" s="780" t="s">
        <v>43</v>
      </c>
      <c r="L46" s="781" t="s">
        <v>22</v>
      </c>
      <c r="M46" s="782" t="s">
        <v>22</v>
      </c>
      <c r="N46" s="674"/>
    </row>
    <row r="47" spans="1:14" s="776" customFormat="1" ht="18.75" hidden="1" customHeight="1">
      <c r="A47" s="777">
        <f t="shared" si="0"/>
        <v>21</v>
      </c>
      <c r="B47" s="1311" t="s">
        <v>999</v>
      </c>
      <c r="C47" s="1681"/>
      <c r="D47" s="778"/>
      <c r="E47" s="1681"/>
      <c r="F47" s="1681"/>
      <c r="G47" s="1681"/>
      <c r="H47" s="1681"/>
      <c r="I47" s="1682"/>
      <c r="J47" s="779">
        <v>1</v>
      </c>
      <c r="K47" s="780" t="s">
        <v>43</v>
      </c>
      <c r="L47" s="781" t="s">
        <v>22</v>
      </c>
      <c r="M47" s="782" t="s">
        <v>22</v>
      </c>
      <c r="N47" s="674"/>
    </row>
    <row r="48" spans="1:14" s="776" customFormat="1" ht="18.75" hidden="1" customHeight="1">
      <c r="A48" s="777">
        <f t="shared" si="0"/>
        <v>22</v>
      </c>
      <c r="B48" s="1311" t="s">
        <v>1000</v>
      </c>
      <c r="C48" s="1681"/>
      <c r="D48" s="778"/>
      <c r="E48" s="1681"/>
      <c r="F48" s="1681"/>
      <c r="G48" s="1681"/>
      <c r="H48" s="1681"/>
      <c r="I48" s="1682"/>
      <c r="J48" s="779">
        <v>1</v>
      </c>
      <c r="K48" s="780" t="s">
        <v>43</v>
      </c>
      <c r="L48" s="781" t="s">
        <v>22</v>
      </c>
      <c r="M48" s="782" t="s">
        <v>22</v>
      </c>
      <c r="N48" s="674"/>
    </row>
    <row r="49" spans="1:14" s="776" customFormat="1" ht="18.75" hidden="1" customHeight="1">
      <c r="A49" s="777">
        <f t="shared" si="0"/>
        <v>23</v>
      </c>
      <c r="B49" s="1311" t="s">
        <v>1001</v>
      </c>
      <c r="C49" s="1681"/>
      <c r="D49" s="778"/>
      <c r="E49" s="1681"/>
      <c r="F49" s="1681"/>
      <c r="G49" s="1681"/>
      <c r="H49" s="1681"/>
      <c r="I49" s="1682"/>
      <c r="J49" s="779">
        <v>1</v>
      </c>
      <c r="K49" s="780" t="s">
        <v>43</v>
      </c>
      <c r="L49" s="781" t="s">
        <v>22</v>
      </c>
      <c r="M49" s="782" t="s">
        <v>22</v>
      </c>
      <c r="N49" s="674"/>
    </row>
    <row r="50" spans="1:14" s="776" customFormat="1" ht="18.75" hidden="1" customHeight="1">
      <c r="A50" s="777">
        <f t="shared" si="0"/>
        <v>24</v>
      </c>
      <c r="B50" s="1311" t="s">
        <v>1002</v>
      </c>
      <c r="C50" s="1681"/>
      <c r="D50" s="778"/>
      <c r="E50" s="1681"/>
      <c r="F50" s="1681"/>
      <c r="G50" s="1681"/>
      <c r="H50" s="1681"/>
      <c r="I50" s="1682"/>
      <c r="J50" s="779">
        <v>1</v>
      </c>
      <c r="K50" s="780" t="s">
        <v>43</v>
      </c>
      <c r="L50" s="781" t="s">
        <v>22</v>
      </c>
      <c r="M50" s="782" t="s">
        <v>22</v>
      </c>
      <c r="N50" s="674"/>
    </row>
    <row r="51" spans="1:14" s="776" customFormat="1" ht="18.75" hidden="1" customHeight="1">
      <c r="A51" s="777">
        <f t="shared" si="0"/>
        <v>25</v>
      </c>
      <c r="B51" s="1311" t="s">
        <v>1003</v>
      </c>
      <c r="C51" s="1681"/>
      <c r="D51" s="778"/>
      <c r="E51" s="1681"/>
      <c r="F51" s="1681"/>
      <c r="G51" s="1681"/>
      <c r="H51" s="1681"/>
      <c r="I51" s="1682"/>
      <c r="J51" s="779">
        <v>1</v>
      </c>
      <c r="K51" s="780" t="s">
        <v>43</v>
      </c>
      <c r="L51" s="781" t="s">
        <v>22</v>
      </c>
      <c r="M51" s="782" t="s">
        <v>22</v>
      </c>
      <c r="N51" s="674"/>
    </row>
    <row r="52" spans="1:14" s="776" customFormat="1" ht="18.75" hidden="1" customHeight="1">
      <c r="A52" s="777">
        <f t="shared" si="0"/>
        <v>26</v>
      </c>
      <c r="B52" s="1311" t="s">
        <v>1004</v>
      </c>
      <c r="C52" s="1681"/>
      <c r="D52" s="778"/>
      <c r="E52" s="1681"/>
      <c r="F52" s="1681"/>
      <c r="G52" s="1681"/>
      <c r="H52" s="1681"/>
      <c r="I52" s="1682"/>
      <c r="J52" s="779">
        <v>1</v>
      </c>
      <c r="K52" s="780" t="s">
        <v>43</v>
      </c>
      <c r="L52" s="781" t="s">
        <v>22</v>
      </c>
      <c r="M52" s="782" t="s">
        <v>22</v>
      </c>
      <c r="N52" s="674"/>
    </row>
    <row r="53" spans="1:14" s="776" customFormat="1" ht="18.75" hidden="1" customHeight="1">
      <c r="A53" s="777">
        <f t="shared" si="0"/>
        <v>27</v>
      </c>
      <c r="B53" s="1311" t="s">
        <v>1005</v>
      </c>
      <c r="C53" s="1681"/>
      <c r="D53" s="778"/>
      <c r="E53" s="1681"/>
      <c r="F53" s="1681"/>
      <c r="G53" s="1681"/>
      <c r="H53" s="1681"/>
      <c r="I53" s="1682"/>
      <c r="J53" s="779">
        <v>1</v>
      </c>
      <c r="K53" s="780" t="s">
        <v>43</v>
      </c>
      <c r="L53" s="781" t="s">
        <v>22</v>
      </c>
      <c r="M53" s="782" t="s">
        <v>22</v>
      </c>
      <c r="N53" s="674"/>
    </row>
    <row r="54" spans="1:14" s="776" customFormat="1" ht="18.75" hidden="1" customHeight="1">
      <c r="A54" s="777">
        <f t="shared" si="0"/>
        <v>28</v>
      </c>
      <c r="B54" s="1311" t="s">
        <v>1006</v>
      </c>
      <c r="C54" s="1681"/>
      <c r="D54" s="778"/>
      <c r="E54" s="1681"/>
      <c r="F54" s="1681"/>
      <c r="G54" s="1681"/>
      <c r="H54" s="1681"/>
      <c r="I54" s="1682"/>
      <c r="J54" s="779">
        <v>1</v>
      </c>
      <c r="K54" s="780" t="s">
        <v>43</v>
      </c>
      <c r="L54" s="781" t="s">
        <v>22</v>
      </c>
      <c r="M54" s="782" t="s">
        <v>22</v>
      </c>
      <c r="N54" s="674"/>
    </row>
    <row r="55" spans="1:14" s="776" customFormat="1" ht="18.75" hidden="1" customHeight="1">
      <c r="A55" s="777">
        <f t="shared" si="0"/>
        <v>29</v>
      </c>
      <c r="B55" s="1311" t="s">
        <v>1007</v>
      </c>
      <c r="C55" s="1681"/>
      <c r="D55" s="778"/>
      <c r="E55" s="1681"/>
      <c r="F55" s="1681"/>
      <c r="G55" s="1681"/>
      <c r="H55" s="1681"/>
      <c r="I55" s="1682"/>
      <c r="J55" s="779">
        <v>1</v>
      </c>
      <c r="K55" s="780" t="s">
        <v>43</v>
      </c>
      <c r="L55" s="781" t="s">
        <v>22</v>
      </c>
      <c r="M55" s="782" t="s">
        <v>22</v>
      </c>
      <c r="N55" s="674"/>
    </row>
    <row r="56" spans="1:14" s="776" customFormat="1" ht="18.75" hidden="1" customHeight="1">
      <c r="A56" s="777">
        <f t="shared" si="0"/>
        <v>30</v>
      </c>
      <c r="B56" s="1311" t="s">
        <v>1008</v>
      </c>
      <c r="C56" s="1681"/>
      <c r="D56" s="778"/>
      <c r="E56" s="1681"/>
      <c r="F56" s="1681"/>
      <c r="G56" s="1681"/>
      <c r="H56" s="1681"/>
      <c r="I56" s="1682"/>
      <c r="J56" s="779">
        <v>1</v>
      </c>
      <c r="K56" s="780" t="s">
        <v>43</v>
      </c>
      <c r="L56" s="781" t="s">
        <v>22</v>
      </c>
      <c r="M56" s="782" t="s">
        <v>22</v>
      </c>
      <c r="N56" s="674"/>
    </row>
    <row r="57" spans="1:14" s="776" customFormat="1" ht="18.75" hidden="1" customHeight="1">
      <c r="A57" s="777">
        <f t="shared" si="0"/>
        <v>31</v>
      </c>
      <c r="B57" s="1311" t="s">
        <v>1009</v>
      </c>
      <c r="C57" s="1681"/>
      <c r="D57" s="778"/>
      <c r="E57" s="1681"/>
      <c r="F57" s="1681"/>
      <c r="G57" s="1681"/>
      <c r="H57" s="1681"/>
      <c r="I57" s="1682"/>
      <c r="J57" s="779">
        <v>1</v>
      </c>
      <c r="K57" s="780" t="s">
        <v>43</v>
      </c>
      <c r="L57" s="781" t="s">
        <v>22</v>
      </c>
      <c r="M57" s="782" t="s">
        <v>22</v>
      </c>
      <c r="N57" s="674"/>
    </row>
    <row r="58" spans="1:14" s="776" customFormat="1" ht="18.75" hidden="1" customHeight="1">
      <c r="A58" s="777">
        <f t="shared" si="0"/>
        <v>32</v>
      </c>
      <c r="B58" s="1311" t="s">
        <v>1010</v>
      </c>
      <c r="C58" s="1681"/>
      <c r="D58" s="778"/>
      <c r="E58" s="1681"/>
      <c r="F58" s="1681"/>
      <c r="G58" s="1681"/>
      <c r="H58" s="1681"/>
      <c r="I58" s="1682"/>
      <c r="J58" s="779">
        <v>1</v>
      </c>
      <c r="K58" s="780" t="s">
        <v>43</v>
      </c>
      <c r="L58" s="781" t="s">
        <v>22</v>
      </c>
      <c r="M58" s="782" t="s">
        <v>22</v>
      </c>
      <c r="N58" s="674"/>
    </row>
    <row r="59" spans="1:14" s="776" customFormat="1" ht="18.75" customHeight="1">
      <c r="A59" s="777">
        <f>A42+1</f>
        <v>17</v>
      </c>
      <c r="B59" s="1311" t="s">
        <v>1011</v>
      </c>
      <c r="C59" s="1681"/>
      <c r="D59" s="778"/>
      <c r="E59" s="1681"/>
      <c r="F59" s="1681"/>
      <c r="G59" s="1681"/>
      <c r="H59" s="1681"/>
      <c r="I59" s="1682"/>
      <c r="J59" s="779">
        <v>1</v>
      </c>
      <c r="K59" s="780" t="s">
        <v>914</v>
      </c>
      <c r="L59" s="781" t="s">
        <v>913</v>
      </c>
      <c r="M59" s="782" t="s">
        <v>913</v>
      </c>
      <c r="N59" s="674"/>
    </row>
    <row r="60" spans="1:14" s="776" customFormat="1" ht="18.75" hidden="1" customHeight="1">
      <c r="A60" s="777">
        <f t="shared" si="0"/>
        <v>18</v>
      </c>
      <c r="B60" s="1311" t="s">
        <v>1012</v>
      </c>
      <c r="C60" s="1681"/>
      <c r="D60" s="778"/>
      <c r="E60" s="1681"/>
      <c r="F60" s="1681"/>
      <c r="G60" s="1681"/>
      <c r="H60" s="1681"/>
      <c r="I60" s="1682"/>
      <c r="J60" s="779">
        <v>1</v>
      </c>
      <c r="K60" s="780" t="s">
        <v>914</v>
      </c>
      <c r="L60" s="781" t="s">
        <v>22</v>
      </c>
      <c r="M60" s="782" t="s">
        <v>22</v>
      </c>
      <c r="N60" s="674"/>
    </row>
    <row r="61" spans="1:14" s="776" customFormat="1" ht="18.75" hidden="1" customHeight="1">
      <c r="A61" s="777">
        <f t="shared" si="0"/>
        <v>19</v>
      </c>
      <c r="B61" s="1311" t="s">
        <v>1013</v>
      </c>
      <c r="C61" s="1681"/>
      <c r="D61" s="778"/>
      <c r="E61" s="1681"/>
      <c r="F61" s="1681"/>
      <c r="G61" s="1681"/>
      <c r="H61" s="1681"/>
      <c r="I61" s="1682"/>
      <c r="J61" s="779">
        <v>1</v>
      </c>
      <c r="K61" s="780" t="s">
        <v>43</v>
      </c>
      <c r="L61" s="781" t="s">
        <v>22</v>
      </c>
      <c r="M61" s="782" t="s">
        <v>22</v>
      </c>
      <c r="N61" s="674"/>
    </row>
    <row r="62" spans="1:14" s="776" customFormat="1" ht="18.75" hidden="1" customHeight="1">
      <c r="A62" s="777">
        <f t="shared" si="0"/>
        <v>20</v>
      </c>
      <c r="B62" s="1311" t="s">
        <v>1014</v>
      </c>
      <c r="C62" s="1681"/>
      <c r="D62" s="778"/>
      <c r="E62" s="1681"/>
      <c r="F62" s="1681"/>
      <c r="G62" s="1681"/>
      <c r="H62" s="1681"/>
      <c r="I62" s="1682"/>
      <c r="J62" s="779">
        <v>1</v>
      </c>
      <c r="K62" s="780" t="s">
        <v>43</v>
      </c>
      <c r="L62" s="781" t="s">
        <v>22</v>
      </c>
      <c r="M62" s="782" t="s">
        <v>22</v>
      </c>
      <c r="N62" s="674"/>
    </row>
    <row r="63" spans="1:14" s="776" customFormat="1" ht="18.75" hidden="1" customHeight="1">
      <c r="A63" s="777">
        <f t="shared" si="0"/>
        <v>21</v>
      </c>
      <c r="B63" s="1311" t="s">
        <v>1015</v>
      </c>
      <c r="C63" s="1681"/>
      <c r="D63" s="778"/>
      <c r="E63" s="1681"/>
      <c r="F63" s="1681"/>
      <c r="G63" s="1681"/>
      <c r="H63" s="1681"/>
      <c r="I63" s="1682"/>
      <c r="J63" s="779">
        <v>1</v>
      </c>
      <c r="K63" s="780" t="s">
        <v>43</v>
      </c>
      <c r="L63" s="781" t="s">
        <v>22</v>
      </c>
      <c r="M63" s="782" t="s">
        <v>22</v>
      </c>
      <c r="N63" s="674"/>
    </row>
    <row r="64" spans="1:14" s="776" customFormat="1" ht="18.75" hidden="1" customHeight="1">
      <c r="A64" s="777">
        <f t="shared" si="0"/>
        <v>22</v>
      </c>
      <c r="B64" s="1311" t="s">
        <v>1016</v>
      </c>
      <c r="C64" s="1681"/>
      <c r="D64" s="778"/>
      <c r="E64" s="1681"/>
      <c r="F64" s="1681"/>
      <c r="G64" s="1681"/>
      <c r="H64" s="1681"/>
      <c r="I64" s="1682"/>
      <c r="J64" s="779">
        <v>1</v>
      </c>
      <c r="K64" s="780" t="s">
        <v>43</v>
      </c>
      <c r="L64" s="781" t="s">
        <v>22</v>
      </c>
      <c r="M64" s="782" t="s">
        <v>22</v>
      </c>
      <c r="N64" s="674"/>
    </row>
    <row r="65" spans="1:14" s="776" customFormat="1" ht="18.75" hidden="1" customHeight="1">
      <c r="A65" s="777">
        <f t="shared" si="0"/>
        <v>23</v>
      </c>
      <c r="B65" s="1311" t="s">
        <v>1017</v>
      </c>
      <c r="C65" s="1681"/>
      <c r="D65" s="778"/>
      <c r="E65" s="1681"/>
      <c r="F65" s="1681"/>
      <c r="G65" s="1681"/>
      <c r="H65" s="1681"/>
      <c r="I65" s="1682"/>
      <c r="J65" s="779">
        <v>1</v>
      </c>
      <c r="K65" s="780" t="s">
        <v>43</v>
      </c>
      <c r="L65" s="781" t="s">
        <v>22</v>
      </c>
      <c r="M65" s="782" t="s">
        <v>22</v>
      </c>
      <c r="N65" s="674"/>
    </row>
    <row r="66" spans="1:14" s="776" customFormat="1" ht="18.75" customHeight="1">
      <c r="A66" s="777">
        <f>A59+1</f>
        <v>18</v>
      </c>
      <c r="B66" s="1311" t="s">
        <v>490</v>
      </c>
      <c r="C66" s="1681"/>
      <c r="D66" s="778"/>
      <c r="E66" s="1681"/>
      <c r="F66" s="1681"/>
      <c r="G66" s="1681"/>
      <c r="H66" s="1681"/>
      <c r="I66" s="1682"/>
      <c r="J66" s="779">
        <v>1</v>
      </c>
      <c r="K66" s="780" t="s">
        <v>527</v>
      </c>
      <c r="L66" s="781" t="s">
        <v>22</v>
      </c>
      <c r="M66" s="782" t="s">
        <v>913</v>
      </c>
      <c r="N66" s="674"/>
    </row>
    <row r="67" spans="1:14" s="776" customFormat="1" ht="18.75" customHeight="1">
      <c r="A67" s="777">
        <f t="shared" si="0"/>
        <v>19</v>
      </c>
      <c r="B67" s="1311" t="s">
        <v>1018</v>
      </c>
      <c r="C67" s="1681"/>
      <c r="D67" s="778"/>
      <c r="E67" s="1681"/>
      <c r="F67" s="1681"/>
      <c r="G67" s="1681"/>
      <c r="H67" s="1681"/>
      <c r="I67" s="1682"/>
      <c r="J67" s="779">
        <v>1</v>
      </c>
      <c r="K67" s="780" t="s">
        <v>914</v>
      </c>
      <c r="L67" s="781" t="s">
        <v>913</v>
      </c>
      <c r="M67" s="782" t="s">
        <v>913</v>
      </c>
      <c r="N67" s="674"/>
    </row>
    <row r="68" spans="1:14" s="776" customFormat="1" ht="18.75" customHeight="1">
      <c r="A68" s="777">
        <f t="shared" si="0"/>
        <v>20</v>
      </c>
      <c r="B68" s="1311" t="s">
        <v>796</v>
      </c>
      <c r="C68" s="1681"/>
      <c r="D68" s="778"/>
      <c r="E68" s="1681"/>
      <c r="F68" s="1681"/>
      <c r="G68" s="1681"/>
      <c r="H68" s="1681"/>
      <c r="I68" s="1682"/>
      <c r="J68" s="779">
        <v>1</v>
      </c>
      <c r="K68" s="780" t="s">
        <v>914</v>
      </c>
      <c r="L68" s="781" t="s">
        <v>913</v>
      </c>
      <c r="M68" s="782" t="s">
        <v>913</v>
      </c>
      <c r="N68" s="674"/>
    </row>
    <row r="69" spans="1:14" s="776" customFormat="1" ht="18.75" customHeight="1">
      <c r="A69" s="777">
        <f t="shared" si="0"/>
        <v>21</v>
      </c>
      <c r="B69" s="1311" t="s">
        <v>1020</v>
      </c>
      <c r="C69" s="1681"/>
      <c r="D69" s="778"/>
      <c r="E69" s="1681"/>
      <c r="F69" s="1681"/>
      <c r="G69" s="1681"/>
      <c r="H69" s="1681"/>
      <c r="I69" s="1682"/>
      <c r="J69" s="779">
        <v>1</v>
      </c>
      <c r="K69" s="780" t="s">
        <v>914</v>
      </c>
      <c r="L69" s="781" t="s">
        <v>22</v>
      </c>
      <c r="M69" s="782" t="s">
        <v>913</v>
      </c>
      <c r="N69" s="674"/>
    </row>
    <row r="70" spans="1:14" s="776" customFormat="1" ht="18.75" customHeight="1">
      <c r="A70" s="777">
        <f t="shared" si="0"/>
        <v>22</v>
      </c>
      <c r="B70" s="1311" t="s">
        <v>1021</v>
      </c>
      <c r="C70" s="1681"/>
      <c r="D70" s="778"/>
      <c r="E70" s="1681"/>
      <c r="F70" s="1681"/>
      <c r="G70" s="1681"/>
      <c r="H70" s="1681"/>
      <c r="I70" s="1682"/>
      <c r="J70" s="779">
        <v>1</v>
      </c>
      <c r="K70" s="780" t="s">
        <v>914</v>
      </c>
      <c r="L70" s="781" t="s">
        <v>22</v>
      </c>
      <c r="M70" s="782" t="s">
        <v>913</v>
      </c>
      <c r="N70" s="674"/>
    </row>
    <row r="71" spans="1:14" s="776" customFormat="1" ht="18.75" customHeight="1" thickBot="1">
      <c r="A71" s="794">
        <f>A70+1</f>
        <v>23</v>
      </c>
      <c r="B71" s="1314" t="s">
        <v>1022</v>
      </c>
      <c r="C71" s="1683"/>
      <c r="D71" s="1683"/>
      <c r="E71" s="1683"/>
      <c r="F71" s="1683"/>
      <c r="G71" s="1683"/>
      <c r="H71" s="1683"/>
      <c r="I71" s="1684"/>
      <c r="J71" s="783">
        <v>1</v>
      </c>
      <c r="K71" s="784" t="s">
        <v>915</v>
      </c>
      <c r="L71" s="795" t="s">
        <v>22</v>
      </c>
      <c r="M71" s="796" t="s">
        <v>22</v>
      </c>
      <c r="N71" s="674"/>
    </row>
    <row r="73" spans="1:14" s="776" customFormat="1" hidden="1">
      <c r="A73" s="785"/>
      <c r="B73" s="786"/>
      <c r="C73" s="786"/>
      <c r="D73" s="786"/>
      <c r="E73" s="786"/>
      <c r="F73" s="786"/>
      <c r="G73" s="787"/>
      <c r="H73" s="770"/>
      <c r="I73" s="788" t="s">
        <v>12</v>
      </c>
      <c r="J73" s="789">
        <f>SUM(J7:J71)</f>
        <v>73</v>
      </c>
      <c r="K73" s="786"/>
      <c r="L73" s="772">
        <f>SUMIF(L7:L71,"YES",$J7:$J71)</f>
        <v>13</v>
      </c>
      <c r="M73" s="790">
        <f ca="1">SUMIF(M7:M71,"YES",$J7:$J71)</f>
        <v>18</v>
      </c>
    </row>
    <row r="74" spans="1:14" s="776" customFormat="1" ht="18.75" hidden="1" thickBot="1">
      <c r="A74" s="785"/>
      <c r="B74" s="786"/>
      <c r="C74" s="786"/>
      <c r="D74" s="786"/>
      <c r="E74" s="786"/>
      <c r="F74" s="786"/>
      <c r="G74" s="791"/>
      <c r="H74" s="792"/>
      <c r="I74" s="793" t="s">
        <v>40</v>
      </c>
      <c r="J74" s="794">
        <f>COUNT(J7:J71)</f>
        <v>65</v>
      </c>
      <c r="K74" s="786"/>
      <c r="L74" s="795" t="s">
        <v>23</v>
      </c>
      <c r="M74" s="796" t="s">
        <v>23</v>
      </c>
    </row>
    <row r="81" spans="1:13" s="707" customFormat="1" ht="15">
      <c r="A81" s="762">
        <v>15</v>
      </c>
      <c r="B81" s="1315" t="s">
        <v>11</v>
      </c>
      <c r="C81" s="763"/>
      <c r="D81" s="764"/>
      <c r="E81" s="763"/>
      <c r="F81" s="763"/>
      <c r="G81" s="763"/>
      <c r="H81" s="763"/>
      <c r="I81" s="763"/>
      <c r="J81" s="762">
        <v>1</v>
      </c>
      <c r="K81" s="765" t="s">
        <v>914</v>
      </c>
      <c r="L81" s="766" t="s">
        <v>913</v>
      </c>
      <c r="M81" s="766" t="s">
        <v>913</v>
      </c>
    </row>
    <row r="82" spans="1:13" s="707" customFormat="1" ht="15">
      <c r="A82" s="762">
        <v>16</v>
      </c>
      <c r="B82" s="1315" t="s">
        <v>7</v>
      </c>
      <c r="C82" s="763"/>
      <c r="D82" s="764"/>
      <c r="E82" s="763"/>
      <c r="F82" s="763"/>
      <c r="G82" s="763"/>
      <c r="H82" s="763"/>
      <c r="I82" s="763"/>
      <c r="J82" s="762">
        <v>1</v>
      </c>
      <c r="K82" s="765" t="s">
        <v>914</v>
      </c>
      <c r="L82" s="766" t="s">
        <v>22</v>
      </c>
      <c r="M82" s="766" t="s">
        <v>913</v>
      </c>
    </row>
    <row r="83" spans="1:13" s="707" customFormat="1" ht="15">
      <c r="A83" s="762">
        <v>17</v>
      </c>
      <c r="B83" s="1315" t="s">
        <v>8</v>
      </c>
      <c r="C83" s="763"/>
      <c r="D83" s="764"/>
      <c r="E83" s="763"/>
      <c r="F83" s="763"/>
      <c r="G83" s="763"/>
      <c r="H83" s="763"/>
      <c r="I83" s="763"/>
      <c r="J83" s="762">
        <v>1</v>
      </c>
      <c r="K83" s="765" t="s">
        <v>914</v>
      </c>
      <c r="L83" s="766" t="s">
        <v>22</v>
      </c>
      <c r="M83" s="766" t="s">
        <v>913</v>
      </c>
    </row>
    <row r="84" spans="1:13" s="707" customFormat="1" ht="15">
      <c r="A84" s="762">
        <v>18</v>
      </c>
      <c r="B84" s="1315" t="s">
        <v>9</v>
      </c>
      <c r="C84" s="763"/>
      <c r="D84" s="764"/>
      <c r="E84" s="763"/>
      <c r="F84" s="763"/>
      <c r="G84" s="763"/>
      <c r="H84" s="763"/>
      <c r="I84" s="763"/>
      <c r="J84" s="762">
        <v>1</v>
      </c>
      <c r="K84" s="765" t="s">
        <v>914</v>
      </c>
      <c r="L84" s="766" t="s">
        <v>22</v>
      </c>
      <c r="M84" s="766" t="s">
        <v>913</v>
      </c>
    </row>
  </sheetData>
  <sheetProtection sheet="1" objects="1" scenarios="1"/>
  <phoneticPr fontId="7" type="noConversion"/>
  <hyperlinks>
    <hyperlink ref="B9" location="'Basic Data'!A1" display="Bsic Data" xr:uid="{00000000-0004-0000-0000-000000000000}"/>
    <hyperlink ref="B16" location="'Initial Funding'!A1" display="Initial Funding" xr:uid="{00000000-0004-0000-0000-000001000000}"/>
    <hyperlink ref="B17" location="Loans!A1" display="Mortgages: Detail Calculations" xr:uid="{00000000-0004-0000-0000-000002000000}"/>
    <hyperlink ref="B81" location="'Bal. Inicial Previo'!A1" display="'Bal. Inicial Previo'!A1" xr:uid="{00000000-0004-0000-0000-000003000000}"/>
    <hyperlink ref="B82" location="'Bal. Año 0'!A1" display="'Bal. Año 0'!A1" xr:uid="{00000000-0004-0000-0000-000004000000}"/>
    <hyperlink ref="B83" location="'Bal. Año 1'!A1" display="'Bal. Año 1'!A1" xr:uid="{00000000-0004-0000-0000-000005000000}"/>
    <hyperlink ref="B84" location="'Bal. Año 2'!A1" display="'Bal. Año 2'!A1" xr:uid="{00000000-0004-0000-0000-000006000000}"/>
    <hyperlink ref="B28" location="'Balance Sheet Statements'!A1" display="Yearlly Balance Sheets" xr:uid="{00000000-0004-0000-0000-000007000000}"/>
    <hyperlink ref="B24" location="'Prices - DC'!A1" display="Prices - Direct Costs by lines" xr:uid="{00000000-0004-0000-0000-000008000000}"/>
    <hyperlink ref="B25" location="'Sales Forecasts'!A1" display="Estimaciones de Ventas: Data" xr:uid="{00000000-0004-0000-0000-000009000000}"/>
    <hyperlink ref="B40" location="'Yearly Income St'!A1" display="Yearly Income Statements: Comparative Analysis" xr:uid="{00000000-0004-0000-0000-00000A000000}"/>
    <hyperlink ref="B21" location="Staff!A1" display="Staff  (Human Resources)" xr:uid="{00000000-0004-0000-0000-00000B000000}"/>
    <hyperlink ref="B68" location="'Break Even Point'!A1" display="Break Even Point Analysis" xr:uid="{00000000-0004-0000-0000-00000C000000}"/>
    <hyperlink ref="B69" location="'Basic Ratios'!A1" display="Basic Ratio Analysis" xr:uid="{00000000-0004-0000-0000-00000D000000}"/>
    <hyperlink ref="B71" location="'Executive Summary'!A1" display="Executive Summary" xr:uid="{00000000-0004-0000-0000-00000E000000}"/>
    <hyperlink ref="B23" location="'Fixed Expenses Data'!A1" display="Fixed Expenses Data" xr:uid="{00000000-0004-0000-0000-00000F000000}"/>
    <hyperlink ref="B8" location="'Terms &amp; Conditions'!A1" display="Terms &amp; Conditions" xr:uid="{00000000-0004-0000-0000-000010000000}"/>
    <hyperlink ref="B66" location="Amortizations!A1" display="Amortizations" xr:uid="{00000000-0004-0000-0000-000011000000}"/>
    <hyperlink ref="B10" location="Parameters!A1" display="Parámetros" xr:uid="{00000000-0004-0000-0000-000012000000}"/>
    <hyperlink ref="B34" location="'5 years Sales Summary'!A1" display="Sales Forecast Summary" xr:uid="{00000000-0004-0000-0000-000013000000}"/>
    <hyperlink ref="B59" location="'Fixed Expenses Summary'!A1" display="Fixed Expenses Summary" xr:uid="{00000000-0004-0000-0000-000014000000}"/>
    <hyperlink ref="B60" location="'Financial Expenses'!A1" display="Financial Expenses &amp; Income" xr:uid="{00000000-0004-0000-0000-000015000000}"/>
    <hyperlink ref="B67" location="'Cash Flow Summary'!A1" display="5 year Monthly Cash Flow Summary" xr:uid="{00000000-0004-0000-0000-000016000000}"/>
    <hyperlink ref="B14" location="'Initial Expenses'!A1" display="Initial Expenses" xr:uid="{00000000-0004-0000-0000-000017000000}"/>
    <hyperlink ref="B11" location="'NCA Initial Invest.'!A1" display="Inversiones Iniciales Act. No Corrientes (Fijos)" xr:uid="{00000000-0004-0000-0000-000018000000}"/>
    <hyperlink ref="B13" location="'NCA Additional Invest.'!A1" display="NCA Additional Invest." xr:uid="{00000000-0004-0000-0000-000019000000}"/>
    <hyperlink ref="B15" location="Funding!A1" display="Funding" xr:uid="{00000000-0004-0000-0000-00001A000000}"/>
    <hyperlink ref="B22" location="'Detailed Staff'!A1" display="Monthly detailed staff" xr:uid="{00000000-0004-0000-0000-00001B000000}"/>
    <hyperlink ref="B18" location="Leasing!A1" display="Leasing: : Detail Calculations" xr:uid="{00000000-0004-0000-0000-00001C000000}"/>
    <hyperlink ref="B19" location="Renting!A1" display="Renting" xr:uid="{00000000-0004-0000-0000-00001D000000}"/>
    <hyperlink ref="B70" location="'Company Valuation'!A1" display="Company Valuation" xr:uid="{00000000-0004-0000-0000-00001E000000}"/>
    <hyperlink ref="B12" location="'Current Asset Invest.'!A1" display="NCA Additional Investment" xr:uid="{00000000-0004-0000-0000-00001F000000}"/>
    <hyperlink ref="B26" location="'Cashing &amp; Payment Policies'!A1" display="Cashing &amp; Payment Policies" xr:uid="{00000000-0004-0000-0000-000020000000}"/>
    <hyperlink ref="B27" location="'Initial Balance Sheet 00'!A1" display="Initial Balance Sheet" xr:uid="{00000000-0004-0000-0000-000021000000}"/>
    <hyperlink ref="B29" location="'Sales Forecast 0'!A1" display="Sales Forecast 0" xr:uid="{00000000-0004-0000-0000-000022000000}"/>
    <hyperlink ref="B30" location="'Sales Forecast 1'!A1" display="Sales Forecast 1" xr:uid="{00000000-0004-0000-0000-000023000000}"/>
    <hyperlink ref="B31" location="'Sales Forecast 2'!A1" display="Sales Forecast 2" xr:uid="{00000000-0004-0000-0000-000024000000}"/>
    <hyperlink ref="B32" location="'Sales Forecast 3'!A1" display="Sales Forecast 3" xr:uid="{00000000-0004-0000-0000-000025000000}"/>
    <hyperlink ref="B33" location="'Sales Forecast 4'!A1" display="Sales Forecast 4" xr:uid="{00000000-0004-0000-0000-000026000000}"/>
    <hyperlink ref="B35" location="'Income St 0'!A1" display="Income Statement 0" xr:uid="{00000000-0004-0000-0000-000027000000}"/>
    <hyperlink ref="B36" location="'Income St 1'!A1" display="Income Statement 1" xr:uid="{00000000-0004-0000-0000-000028000000}"/>
    <hyperlink ref="B37" location="'Income St 2'!A1" display="Income Statement 2" xr:uid="{00000000-0004-0000-0000-000029000000}"/>
    <hyperlink ref="B38" location="'Income St 3'!A1" display="Income Statement 3" xr:uid="{00000000-0004-0000-0000-00002A000000}"/>
    <hyperlink ref="B39" location="'Income St 4'!A1" display="Income Statement 4" xr:uid="{00000000-0004-0000-0000-00002B000000}"/>
    <hyperlink ref="B43" location="'Collections &amp; Payments 0'!A1" display="Collections &amp; Payments 0" xr:uid="{00000000-0004-0000-0000-00002C000000}"/>
    <hyperlink ref="B44" location="'Collections &amp; Payments 1'!A1" display="Collections &amp; Payments 1" xr:uid="{00000000-0004-0000-0000-00002D000000}"/>
    <hyperlink ref="B45" location="'Collections &amp; Payments 2'!A1" display="Collections &amp; Payments 2" xr:uid="{00000000-0004-0000-0000-00002E000000}"/>
    <hyperlink ref="B46" location="'Collections &amp; Payments 3'!A1" display="Collections &amp; Payments 3" xr:uid="{00000000-0004-0000-0000-00002F000000}"/>
    <hyperlink ref="B47" location="'Collections &amp; Payments 4'!A1" display="Collections &amp; Payments 4" xr:uid="{00000000-0004-0000-0000-000030000000}"/>
    <hyperlink ref="B48" location="'Personal Income Tax Calc.'!A1" display="Personal Income Tax Calculations" xr:uid="{00000000-0004-0000-0000-000031000000}"/>
    <hyperlink ref="B49" location="'Fixed Expenses 0'!A1" display="Fixed Expenses 0" xr:uid="{00000000-0004-0000-0000-000032000000}"/>
    <hyperlink ref="B50" location="'Fixed Expenses 1'!A1" display="Fixed Expenses 1" xr:uid="{00000000-0004-0000-0000-000033000000}"/>
    <hyperlink ref="B51" location="'Fixed Expenses 2'!A1" display="Fixed Expenses 2" xr:uid="{00000000-0004-0000-0000-000034000000}"/>
    <hyperlink ref="B52" location="'Cash Flow 3'!A1" display="Fixed Expenses 3" xr:uid="{00000000-0004-0000-0000-000035000000}"/>
    <hyperlink ref="B53" location="'Fixed Expenses 4'!A1" display="Fixed Expenses 4" xr:uid="{00000000-0004-0000-0000-000036000000}"/>
    <hyperlink ref="B54" location="'VAT 0'!A1" display="VAT 0" xr:uid="{00000000-0004-0000-0000-000037000000}"/>
    <hyperlink ref="B55" location="'VAT 1'!A1" display="VAT 1" xr:uid="{00000000-0004-0000-0000-000038000000}"/>
    <hyperlink ref="B56" location="'VAT 2'!A1" display="VAT 2" xr:uid="{00000000-0004-0000-0000-000039000000}"/>
    <hyperlink ref="B57" location="'VAT 3'!A1" display="VAT 3" xr:uid="{00000000-0004-0000-0000-00003A000000}"/>
    <hyperlink ref="B58" location="'VAT 4'!A1" display="VAT 4" xr:uid="{00000000-0004-0000-0000-00003B000000}"/>
    <hyperlink ref="B61" location="'Cash Flow 0'!A1" display="Cash Flow 0" xr:uid="{00000000-0004-0000-0000-00003C000000}"/>
    <hyperlink ref="B62" location="'Cash Flow 1'!A1" display="Cash Flow 1" xr:uid="{00000000-0004-0000-0000-00003D000000}"/>
    <hyperlink ref="B63" location="'Cash Flow 2'!A1" display="Cash Flow 2" xr:uid="{00000000-0004-0000-0000-00003E000000}"/>
    <hyperlink ref="B64" location="'Cash Flow 3'!A1" display="Cash Flow 3" xr:uid="{00000000-0004-0000-0000-00003F000000}"/>
    <hyperlink ref="B65" location="'Cash Flow 4'!A1" display="Cash Flow 4" xr:uid="{00000000-0004-0000-0000-000040000000}"/>
    <hyperlink ref="B41" location="Imp.Sociedades!A1" display="Impuesto de sociedades" xr:uid="{00000000-0004-0000-0000-000041000000}"/>
    <hyperlink ref="B42" location="'IRPF Prof y Autónomos'!A1" display="I.R.P.F. De Profesionales y Autónomos" xr:uid="{00000000-0004-0000-0000-000042000000}"/>
  </hyperlinks>
  <pageMargins left="1" right="0.61" top="0.78740157480314965" bottom="0.39370078740157483" header="0" footer="0.19685039370078741"/>
  <pageSetup paperSize="9" orientation="portrait" horizontalDpi="300" verticalDpi="300" r:id="rId1"/>
  <headerFooter alignWithMargins="0">
    <oddFooter>&amp;C&amp;"Tahoma,Normal"&amp;10&amp;A</oddFooter>
  </headerFooter>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pageSetUpPr fitToPage="1"/>
  </sheetPr>
  <dimension ref="A1:J84"/>
  <sheetViews>
    <sheetView showGridLines="0" topLeftCell="A4" zoomScale="70" zoomScaleNormal="70" workbookViewId="0">
      <selection activeCell="D17" sqref="D17"/>
    </sheetView>
  </sheetViews>
  <sheetFormatPr baseColWidth="10" defaultColWidth="11" defaultRowHeight="15"/>
  <cols>
    <col min="1" max="1" width="37.375" style="20" customWidth="1"/>
    <col min="2" max="2" width="22.375" style="20" customWidth="1"/>
    <col min="3" max="3" width="20.875" style="159" customWidth="1"/>
    <col min="4" max="8" width="20.875" style="20" customWidth="1"/>
    <col min="9" max="9" width="17.625" style="20" customWidth="1"/>
    <col min="10" max="10" width="16" style="20" customWidth="1"/>
    <col min="11" max="16384" width="11" style="20"/>
  </cols>
  <sheetData>
    <row r="1" spans="1:10" ht="30">
      <c r="A1" s="651" t="s">
        <v>420</v>
      </c>
      <c r="B1" s="651"/>
    </row>
    <row r="2" spans="1:10" ht="25.5">
      <c r="A2" s="552" t="str">
        <f>'Base Data'!B9</f>
        <v>WWW, Ltd.</v>
      </c>
      <c r="B2" s="552"/>
    </row>
    <row r="3" spans="1:10" ht="26.25" thickBot="1">
      <c r="A3" s="17"/>
      <c r="B3" s="17"/>
    </row>
    <row r="4" spans="1:10" ht="36" customHeight="1" thickBot="1">
      <c r="A4" s="2193" t="s">
        <v>421</v>
      </c>
      <c r="B4" s="2257"/>
      <c r="C4" s="2194"/>
      <c r="D4" s="2132"/>
      <c r="E4" s="2133"/>
      <c r="F4" s="2134"/>
      <c r="G4" s="2135"/>
      <c r="H4" s="2136"/>
    </row>
    <row r="5" spans="1:10" ht="36" customHeight="1">
      <c r="A5" s="2195"/>
      <c r="B5" s="2258"/>
      <c r="C5" s="2148"/>
      <c r="D5" s="1348" t="str">
        <f>CONCATENATE("Initial ",Parameters!B77)</f>
        <v>Initial Year 0:   2026</v>
      </c>
      <c r="E5" s="1348" t="str">
        <f t="array" ref="E5:H5">Parameters!C77:F77</f>
        <v>Year 1:   2027</v>
      </c>
      <c r="F5" s="1348" t="str">
        <v>Year 2:   2028</v>
      </c>
      <c r="G5" s="1348" t="str">
        <v>Year 3:   2029</v>
      </c>
      <c r="H5" s="1348" t="str">
        <v>Year 4:   2030</v>
      </c>
    </row>
    <row r="6" spans="1:10" s="34" customFormat="1" ht="25.5" customHeight="1">
      <c r="A6" s="2106" t="s">
        <v>427</v>
      </c>
      <c r="B6" s="2259"/>
      <c r="C6" s="805"/>
      <c r="D6" s="1346">
        <f>Amortizations!B19-Amortizations!C19+'Initial Expenses'!B26</f>
        <v>0</v>
      </c>
      <c r="E6" s="1347">
        <f t="array" ref="E6:H6">Amortizations!E19:H19</f>
        <v>0</v>
      </c>
      <c r="F6" s="1346">
        <v>0</v>
      </c>
      <c r="G6" s="1347">
        <v>0</v>
      </c>
      <c r="H6" s="1346">
        <v>0</v>
      </c>
    </row>
    <row r="7" spans="1:10" s="34" customFormat="1" ht="25.5" customHeight="1" thickBot="1">
      <c r="A7" s="2107" t="s">
        <v>428</v>
      </c>
      <c r="B7" s="2260"/>
      <c r="C7" s="1330"/>
      <c r="D7" s="811">
        <f t="array" aca="1" ref="D7:H7" ca="1">+'Current Asset Invest.'!B46:F46-'Current Asset Invest.'!B42:F42</f>
        <v>133.35</v>
      </c>
      <c r="E7" s="812">
        <f ca="1"/>
        <v>0</v>
      </c>
      <c r="F7" s="811">
        <f ca="1"/>
        <v>0</v>
      </c>
      <c r="G7" s="812">
        <f ca="1"/>
        <v>0</v>
      </c>
      <c r="H7" s="811">
        <f ca="1"/>
        <v>0</v>
      </c>
    </row>
    <row r="8" spans="1:10" s="34" customFormat="1" ht="12.75" customHeight="1" thickBot="1">
      <c r="A8" s="2128"/>
      <c r="B8" s="2261"/>
      <c r="C8" s="2129"/>
      <c r="D8" s="2130"/>
      <c r="E8" s="2130"/>
      <c r="F8" s="2130"/>
      <c r="G8" s="2130"/>
      <c r="H8" s="2131"/>
    </row>
    <row r="9" spans="1:10" ht="24" customHeight="1" thickBot="1">
      <c r="A9" s="452" t="s">
        <v>444</v>
      </c>
      <c r="B9" s="453"/>
      <c r="C9" s="2124"/>
      <c r="D9" s="2125">
        <f ca="1">SUM(D6:D7)</f>
        <v>133.35</v>
      </c>
      <c r="E9" s="2126">
        <f ca="1">SUM(E6:E7)</f>
        <v>0</v>
      </c>
      <c r="F9" s="2126">
        <f ca="1">SUM(F6:F7)</f>
        <v>0</v>
      </c>
      <c r="G9" s="2126">
        <f ca="1">SUM(G6:G7)</f>
        <v>0</v>
      </c>
      <c r="H9" s="2127">
        <f ca="1">SUM(H6:H7)</f>
        <v>0</v>
      </c>
    </row>
    <row r="10" spans="1:10">
      <c r="A10" s="665"/>
      <c r="B10" s="665"/>
      <c r="D10" s="664"/>
      <c r="E10" s="663"/>
      <c r="F10" s="663"/>
      <c r="G10" s="663"/>
      <c r="H10" s="663"/>
    </row>
    <row r="11" spans="1:10" ht="15" customHeight="1" thickBot="1">
      <c r="A11" s="665"/>
      <c r="B11" s="665"/>
      <c r="C11" s="1744">
        <f>+'Base Data'!$B$25</f>
        <v>3000</v>
      </c>
      <c r="D11" s="1738" t="str">
        <f>IF(D14+D15+C14+C15&lt;C11,"ERROR: Capital mínimo "&amp;TEXT(C11,"#.##0 €"),"")</f>
        <v/>
      </c>
      <c r="E11" s="1737"/>
      <c r="F11" s="1737"/>
      <c r="G11" s="1737"/>
      <c r="H11" s="1737"/>
    </row>
    <row r="12" spans="1:10" ht="36" customHeight="1" thickBot="1">
      <c r="A12" s="2193" t="s">
        <v>422</v>
      </c>
      <c r="B12" s="2257"/>
      <c r="C12" s="2194"/>
      <c r="D12" s="2132"/>
      <c r="E12" s="2133"/>
      <c r="F12" s="2134"/>
      <c r="G12" s="2135"/>
      <c r="H12" s="2136"/>
    </row>
    <row r="13" spans="1:10" ht="36.75" customHeight="1">
      <c r="A13" s="2196"/>
      <c r="B13" s="2262"/>
      <c r="C13" s="1348" t="s">
        <v>423</v>
      </c>
      <c r="D13" s="1348" t="str">
        <f t="array" ref="D13:H13">D$5:H$5</f>
        <v>Initial Year 0:   2026</v>
      </c>
      <c r="E13" s="1348" t="str">
        <v>Year 1:   2027</v>
      </c>
      <c r="F13" s="1348" t="str">
        <v>Year 2:   2028</v>
      </c>
      <c r="G13" s="1348" t="str">
        <v>Year 3:   2029</v>
      </c>
      <c r="H13" s="1348" t="str">
        <v>Year 4:   2030</v>
      </c>
    </row>
    <row r="14" spans="1:10" s="34" customFormat="1" ht="21.75" customHeight="1">
      <c r="A14" s="520" t="str">
        <f>'Balance Sheet Statements (EU)'!$A$27&amp;" &amp; increases of "&amp;'Balance Sheet Statements (EU)'!$A$27&amp;" (monetary contributions)"</f>
        <v>Capital Stock &amp; increases of Capital Stock (monetary contributions)</v>
      </c>
      <c r="B14" s="2263"/>
      <c r="C14" s="865">
        <f>'Prev. Initial Balance'!H10</f>
        <v>0</v>
      </c>
      <c r="D14" s="1992">
        <v>3000</v>
      </c>
      <c r="E14" s="1992">
        <v>0</v>
      </c>
      <c r="F14" s="1992">
        <v>0</v>
      </c>
      <c r="G14" s="1992">
        <v>0</v>
      </c>
      <c r="H14" s="2137">
        <v>0</v>
      </c>
      <c r="I14" s="20"/>
      <c r="J14" s="20"/>
    </row>
    <row r="15" spans="1:10" s="34" customFormat="1" ht="21.75" customHeight="1">
      <c r="A15" s="526" t="str">
        <f>'Balance Sheet Statements (EU)'!$A$27&amp;" &amp; increases of "&amp;'Balance Sheet Statements (EU)'!$A$27&amp;" (in kind contributions)"</f>
        <v>Capital Stock &amp; increases of Capital Stock (in kind contributions)</v>
      </c>
      <c r="B15" s="2264"/>
      <c r="C15" s="695">
        <v>0</v>
      </c>
      <c r="D15" s="695">
        <f>SUM('NCA Initial Invest.'!I63,'NCA Initial Invest.'!I55,'NCA Initial Invest.'!I50,'NCA Initial Invest.'!I43,'NCA Initial Invest.'!I37,'NCA Initial Invest.'!I31,'NCA Initial Invest.'!I26,'NCA Initial Invest.'!I20,'NCA Initial Invest.'!I10)+SUM('Current Asset Invest.'!D12:D14)</f>
        <v>0</v>
      </c>
      <c r="E15" s="696">
        <v>0</v>
      </c>
      <c r="F15" s="695">
        <v>0</v>
      </c>
      <c r="G15" s="695">
        <v>0</v>
      </c>
      <c r="H15" s="2138">
        <v>0</v>
      </c>
      <c r="J15" s="20"/>
    </row>
    <row r="16" spans="1:10" s="34" customFormat="1" ht="9.75" customHeight="1">
      <c r="A16" s="2139"/>
      <c r="B16" s="2265"/>
      <c r="C16" s="722"/>
      <c r="D16" s="722"/>
      <c r="E16" s="864"/>
      <c r="F16" s="722"/>
      <c r="G16" s="722"/>
      <c r="H16" s="2140"/>
    </row>
    <row r="17" spans="1:9" s="34" customFormat="1" ht="21.75" customHeight="1">
      <c r="A17" s="526" t="s">
        <v>426</v>
      </c>
      <c r="B17" s="2264"/>
      <c r="C17" s="695">
        <f>+'Prev. Initial Balance'!H21+'Prev. Initial Balance'!H13</f>
        <v>0</v>
      </c>
      <c r="D17" s="2334">
        <v>0</v>
      </c>
      <c r="E17" s="2334">
        <v>0</v>
      </c>
      <c r="F17" s="2334">
        <v>0</v>
      </c>
      <c r="G17" s="2334">
        <v>0</v>
      </c>
      <c r="H17" s="2363">
        <v>0</v>
      </c>
    </row>
    <row r="18" spans="1:9" s="34" customFormat="1" ht="10.5" customHeight="1">
      <c r="A18" s="526"/>
      <c r="B18" s="2264"/>
      <c r="C18" s="865"/>
      <c r="D18" s="865"/>
      <c r="E18" s="866"/>
      <c r="F18" s="865"/>
      <c r="G18" s="865"/>
      <c r="H18" s="2142"/>
    </row>
    <row r="19" spans="1:9" s="34" customFormat="1" ht="21.75" customHeight="1">
      <c r="A19" s="526" t="s">
        <v>254</v>
      </c>
      <c r="B19" s="2264"/>
      <c r="C19" s="695">
        <f>+'Prev. Initial Balance'!H14</f>
        <v>0</v>
      </c>
      <c r="D19" s="1992">
        <v>0</v>
      </c>
      <c r="E19" s="1992">
        <v>0</v>
      </c>
      <c r="F19" s="1992">
        <v>0</v>
      </c>
      <c r="G19" s="1992">
        <v>0</v>
      </c>
      <c r="H19" s="1992">
        <v>0</v>
      </c>
    </row>
    <row r="20" spans="1:9" s="34" customFormat="1" ht="10.5" customHeight="1">
      <c r="A20" s="2139"/>
      <c r="B20" s="2265"/>
      <c r="C20" s="695"/>
      <c r="D20" s="695"/>
      <c r="E20" s="696"/>
      <c r="F20" s="695"/>
      <c r="G20" s="695"/>
      <c r="H20" s="2138"/>
    </row>
    <row r="21" spans="1:9" ht="21.75" customHeight="1">
      <c r="A21" s="2139" t="s">
        <v>429</v>
      </c>
      <c r="B21" s="2265"/>
      <c r="C21" s="695">
        <f>+B31</f>
        <v>0</v>
      </c>
      <c r="D21" s="695">
        <f>+SUM(C31:D31)</f>
        <v>0</v>
      </c>
      <c r="E21" s="696">
        <f t="array" ref="E21:H21">E31:H31</f>
        <v>0</v>
      </c>
      <c r="F21" s="695">
        <v>0</v>
      </c>
      <c r="G21" s="695">
        <v>0</v>
      </c>
      <c r="H21" s="2138">
        <v>0</v>
      </c>
      <c r="I21" s="34"/>
    </row>
    <row r="22" spans="1:9" ht="10.5" customHeight="1">
      <c r="A22" s="2139"/>
      <c r="B22" s="2265"/>
      <c r="C22" s="695"/>
      <c r="D22" s="695"/>
      <c r="E22" s="696"/>
      <c r="F22" s="695"/>
      <c r="G22" s="695"/>
      <c r="H22" s="2138"/>
      <c r="I22" s="34"/>
    </row>
    <row r="23" spans="1:9" ht="21.75" customHeight="1" thickBot="1">
      <c r="A23" s="2143" t="s">
        <v>430</v>
      </c>
      <c r="B23" s="2266"/>
      <c r="C23" s="798">
        <f>+B57</f>
        <v>0</v>
      </c>
      <c r="D23" s="798">
        <f>C57+D57</f>
        <v>0</v>
      </c>
      <c r="E23" s="1686">
        <f t="array" ref="E23:H23">E57:H57</f>
        <v>0</v>
      </c>
      <c r="F23" s="798">
        <v>0</v>
      </c>
      <c r="G23" s="798">
        <v>0</v>
      </c>
      <c r="H23" s="2144">
        <v>0</v>
      </c>
      <c r="I23" s="34"/>
    </row>
    <row r="24" spans="1:9" ht="15.75" thickBot="1">
      <c r="A24" s="2147"/>
      <c r="B24" s="2149"/>
      <c r="C24" s="2148"/>
      <c r="D24" s="2148"/>
      <c r="E24" s="2149"/>
      <c r="F24" s="2149"/>
      <c r="G24" s="2149"/>
      <c r="H24" s="2150"/>
    </row>
    <row r="25" spans="1:9" ht="24" customHeight="1" thickBot="1">
      <c r="A25" s="2145" t="s">
        <v>445</v>
      </c>
      <c r="B25" s="2267"/>
      <c r="C25" s="2146">
        <f t="shared" ref="C25:H25" si="0">SUM(C14:C23)</f>
        <v>0</v>
      </c>
      <c r="D25" s="2146">
        <f t="shared" si="0"/>
        <v>3000</v>
      </c>
      <c r="E25" s="2146">
        <f t="shared" si="0"/>
        <v>0</v>
      </c>
      <c r="F25" s="2146">
        <f t="shared" si="0"/>
        <v>0</v>
      </c>
      <c r="G25" s="2146">
        <f t="shared" si="0"/>
        <v>0</v>
      </c>
      <c r="H25" s="2146">
        <f t="shared" si="0"/>
        <v>0</v>
      </c>
    </row>
    <row r="26" spans="1:9">
      <c r="D26" s="159"/>
    </row>
    <row r="27" spans="1:9" ht="24" customHeight="1">
      <c r="A27" s="1487" t="s">
        <v>49</v>
      </c>
      <c r="B27" s="1487"/>
      <c r="C27" s="1488"/>
      <c r="D27" s="1278">
        <f ca="1">'Current Asset Invest.'!I26-tesoreriasec+Funding!D49</f>
        <v>1201.6500000000001</v>
      </c>
      <c r="E27" s="1278">
        <f ca="1">-'Cash Flow 1'!$C$39</f>
        <v>-12108.752120000003</v>
      </c>
      <c r="F27" s="1278">
        <f ca="1">-'Cash Flow 2'!$C$39</f>
        <v>-17183.992667300008</v>
      </c>
      <c r="G27" s="1278">
        <f ca="1">-'Cash Flow 3'!$C$39</f>
        <v>-21941.566436814501</v>
      </c>
      <c r="H27" s="1278">
        <f ca="1">-'Cash Flow 4'!$C$39</f>
        <v>-26337.283433767447</v>
      </c>
      <c r="I27" s="1334">
        <f ca="1">MIN(D27:H27)-tesoreriasec*0</f>
        <v>-26337.283433767447</v>
      </c>
    </row>
    <row r="28" spans="1:9" ht="25.5" customHeight="1" thickBot="1">
      <c r="C28" s="1930" t="s">
        <v>1111</v>
      </c>
      <c r="D28" s="1278">
        <f ca="1">-'Cash Flow 0'!$C$39</f>
        <v>-6756.8779999999988</v>
      </c>
      <c r="F28" s="1685" t="str">
        <f ca="1">IF(D27&lt;&gt;"","Tesorería de seguridad: "&amp;TEXT(tesoreriasec,"#.##0 €")&amp;" mínimo.","")</f>
        <v>Tesorería de seguridad: 1.000 € mínimo.</v>
      </c>
    </row>
    <row r="29" spans="1:9" s="34" customFormat="1" ht="32.25" customHeight="1" thickBot="1">
      <c r="A29" s="1349" t="s">
        <v>424</v>
      </c>
      <c r="B29" s="1349"/>
      <c r="C29" s="1350"/>
      <c r="D29" s="1350"/>
      <c r="E29" s="1350"/>
      <c r="F29" s="1350"/>
      <c r="G29" s="1350"/>
      <c r="H29" s="1350"/>
    </row>
    <row r="30" spans="1:9" s="34" customFormat="1" ht="33.75" customHeight="1" thickBot="1">
      <c r="A30" s="848"/>
      <c r="B30" s="662" t="str">
        <f>+$C$13</f>
        <v>Previous
(Initial Balance)</v>
      </c>
      <c r="C30" s="662" t="str">
        <f>CONCATENATE("Loan nº 1  ",Parameters!B77)</f>
        <v>Loan nº 1  Year 0:   2026</v>
      </c>
      <c r="D30" s="1348" t="str">
        <f>SUBSTITUTE(C30,"mo 1","mo 2")</f>
        <v>Loan nº 1  Year 0:   2026</v>
      </c>
      <c r="E30" s="662" t="str">
        <f t="array" ref="E30:H30">E$13:H$13</f>
        <v>Year 1:   2027</v>
      </c>
      <c r="F30" s="662" t="str">
        <v>Year 2:   2028</v>
      </c>
      <c r="G30" s="662" t="str">
        <v>Year 3:   2029</v>
      </c>
      <c r="H30" s="662" t="str">
        <v>Year 4:   2030</v>
      </c>
    </row>
    <row r="31" spans="1:9" s="34" customFormat="1" ht="24.75" customHeight="1">
      <c r="A31" s="902" t="s">
        <v>16</v>
      </c>
      <c r="B31" s="2354">
        <f>+'Prev. Initial Balance'!H39</f>
        <v>0</v>
      </c>
      <c r="C31" s="1993">
        <v>0</v>
      </c>
      <c r="D31" s="1993">
        <v>0</v>
      </c>
      <c r="E31" s="1994">
        <v>0</v>
      </c>
      <c r="F31" s="1994">
        <v>0</v>
      </c>
      <c r="G31" s="1994">
        <v>0</v>
      </c>
      <c r="H31" s="1994">
        <v>0</v>
      </c>
    </row>
    <row r="32" spans="1:9" s="34" customFormat="1" ht="20.25" customHeight="1">
      <c r="A32" s="849" t="s">
        <v>1040</v>
      </c>
      <c r="B32" s="2272">
        <f>+'Prev. Initial Balance'!H40</f>
        <v>0.08</v>
      </c>
      <c r="C32" s="1995">
        <v>7.0000000000000007E-2</v>
      </c>
      <c r="D32" s="1995">
        <v>4.4999999999999998E-2</v>
      </c>
      <c r="E32" s="1995">
        <f>D32</f>
        <v>4.4999999999999998E-2</v>
      </c>
      <c r="F32" s="1995">
        <v>0.05</v>
      </c>
      <c r="G32" s="1995">
        <f>F32</f>
        <v>0.05</v>
      </c>
      <c r="H32" s="1995">
        <f>G32</f>
        <v>0.05</v>
      </c>
    </row>
    <row r="33" spans="1:9" s="34" customFormat="1" ht="20.25" customHeight="1">
      <c r="A33" s="849" t="s">
        <v>432</v>
      </c>
      <c r="B33" s="2272">
        <v>0</v>
      </c>
      <c r="C33" s="1995">
        <v>5.0000000000000001E-3</v>
      </c>
      <c r="D33" s="1995">
        <v>5.0000000000000001E-3</v>
      </c>
      <c r="E33" s="1995">
        <f t="shared" ref="E33:H36" si="1">D33</f>
        <v>5.0000000000000001E-3</v>
      </c>
      <c r="F33" s="1995">
        <f t="shared" si="1"/>
        <v>5.0000000000000001E-3</v>
      </c>
      <c r="G33" s="1995">
        <f t="shared" si="1"/>
        <v>5.0000000000000001E-3</v>
      </c>
      <c r="H33" s="1995">
        <f t="shared" si="1"/>
        <v>5.0000000000000001E-3</v>
      </c>
    </row>
    <row r="34" spans="1:9" s="34" customFormat="1" ht="20.25" customHeight="1">
      <c r="A34" s="849" t="s">
        <v>431</v>
      </c>
      <c r="B34" s="2354">
        <f>+'Prev. Initial Balance'!H41</f>
        <v>78</v>
      </c>
      <c r="C34" s="1996">
        <f>12*7</f>
        <v>84</v>
      </c>
      <c r="D34" s="1996">
        <v>20</v>
      </c>
      <c r="E34" s="1996">
        <v>120</v>
      </c>
      <c r="F34" s="1996">
        <f t="shared" si="1"/>
        <v>120</v>
      </c>
      <c r="G34" s="1996">
        <f t="shared" si="1"/>
        <v>120</v>
      </c>
      <c r="H34" s="1996">
        <f t="shared" si="1"/>
        <v>120</v>
      </c>
    </row>
    <row r="35" spans="1:9" s="34" customFormat="1" ht="20.25" customHeight="1">
      <c r="A35" s="849" t="s">
        <v>455</v>
      </c>
      <c r="B35" s="2354">
        <f>+'Prev. Initial Balance'!H42</f>
        <v>4</v>
      </c>
      <c r="C35" s="1996">
        <v>12</v>
      </c>
      <c r="D35" s="1996">
        <v>12</v>
      </c>
      <c r="E35" s="1996">
        <f t="shared" si="1"/>
        <v>12</v>
      </c>
      <c r="F35" s="1996">
        <f t="shared" si="1"/>
        <v>12</v>
      </c>
      <c r="G35" s="1996">
        <f t="shared" si="1"/>
        <v>12</v>
      </c>
      <c r="H35" s="1996">
        <f t="shared" si="1"/>
        <v>12</v>
      </c>
    </row>
    <row r="36" spans="1:9" s="34" customFormat="1" ht="20.25" customHeight="1" thickBot="1">
      <c r="A36" s="903" t="s">
        <v>437</v>
      </c>
      <c r="B36" s="2379">
        <v>0</v>
      </c>
      <c r="C36" s="2380">
        <v>0</v>
      </c>
      <c r="D36" s="2380">
        <v>0</v>
      </c>
      <c r="E36" s="2380">
        <f t="shared" si="1"/>
        <v>0</v>
      </c>
      <c r="F36" s="2380">
        <v>0</v>
      </c>
      <c r="G36" s="2380">
        <f t="shared" si="1"/>
        <v>0</v>
      </c>
      <c r="H36" s="2380">
        <f t="shared" si="1"/>
        <v>0</v>
      </c>
    </row>
    <row r="37" spans="1:9" ht="15.75" thickBot="1">
      <c r="D37" s="159"/>
      <c r="I37" s="34"/>
    </row>
    <row r="38" spans="1:9" ht="20.25" customHeight="1">
      <c r="A38" s="902" t="s">
        <v>438</v>
      </c>
      <c r="B38" s="2381">
        <f t="array" ref="B38:H38">B34:H34/B35:H35</f>
        <v>19.5</v>
      </c>
      <c r="C38" s="2381">
        <v>7</v>
      </c>
      <c r="D38" s="2381">
        <v>1.6666666666666667</v>
      </c>
      <c r="E38" s="2382">
        <v>10</v>
      </c>
      <c r="F38" s="2381">
        <v>10</v>
      </c>
      <c r="G38" s="2382">
        <v>10</v>
      </c>
      <c r="H38" s="2381">
        <v>10</v>
      </c>
      <c r="I38" s="34"/>
    </row>
    <row r="39" spans="1:9" s="34" customFormat="1" ht="20.25" customHeight="1">
      <c r="A39" s="849" t="s">
        <v>436</v>
      </c>
      <c r="B39" s="905">
        <f t="array" ref="B39:H39">IF(B31:H31=0,0,TEXT(PMT(B32:H32/B35:H35,B34:H34,-B31:H31),"#.##0,#0")&amp;VLOOKUP(B35:H35,periodicidad,2))</f>
        <v>0</v>
      </c>
      <c r="C39" s="905">
        <v>0</v>
      </c>
      <c r="D39" s="905">
        <v>0</v>
      </c>
      <c r="E39" s="904">
        <v>0</v>
      </c>
      <c r="F39" s="905">
        <v>0</v>
      </c>
      <c r="G39" s="904">
        <v>0</v>
      </c>
      <c r="H39" s="905">
        <v>0</v>
      </c>
    </row>
    <row r="40" spans="1:9" s="34" customFormat="1" ht="20.25" customHeight="1">
      <c r="A40" s="849" t="s">
        <v>433</v>
      </c>
      <c r="B40" s="1689">
        <f t="array" ref="B40:H40">IF(B35:H35*B34:H34=0,0,PMT(B32:H32/B35:H35,B34:H34,-B31:H31)*B34:H34)</f>
        <v>0</v>
      </c>
      <c r="C40" s="1689">
        <v>0</v>
      </c>
      <c r="D40" s="1689">
        <v>0</v>
      </c>
      <c r="E40" s="1688">
        <v>0</v>
      </c>
      <c r="F40" s="1689">
        <v>0</v>
      </c>
      <c r="G40" s="1688">
        <v>0</v>
      </c>
      <c r="H40" s="1689">
        <v>0</v>
      </c>
    </row>
    <row r="41" spans="1:9" s="34" customFormat="1" ht="20.25" customHeight="1">
      <c r="A41" s="849" t="s">
        <v>434</v>
      </c>
      <c r="B41" s="1689">
        <f t="array" ref="B41:H41">B40:H40-B31:H31</f>
        <v>0</v>
      </c>
      <c r="C41" s="1689">
        <v>0</v>
      </c>
      <c r="D41" s="1689">
        <v>0</v>
      </c>
      <c r="E41" s="1688">
        <v>0</v>
      </c>
      <c r="F41" s="1689">
        <v>0</v>
      </c>
      <c r="G41" s="1688">
        <v>0</v>
      </c>
      <c r="H41" s="1689">
        <v>0</v>
      </c>
    </row>
    <row r="42" spans="1:9" s="34" customFormat="1" ht="20.25" customHeight="1">
      <c r="A42" s="849" t="str">
        <f>+A33</f>
        <v>Loan Constitution expenses</v>
      </c>
      <c r="B42" s="1689">
        <v>0</v>
      </c>
      <c r="C42" s="1689">
        <f t="array" ref="C42:H42">C33:H33*C31:H31</f>
        <v>0</v>
      </c>
      <c r="D42" s="1689">
        <v>0</v>
      </c>
      <c r="E42" s="1688">
        <v>0</v>
      </c>
      <c r="F42" s="1689">
        <v>0</v>
      </c>
      <c r="G42" s="1688">
        <v>0</v>
      </c>
      <c r="H42" s="1689">
        <v>0</v>
      </c>
    </row>
    <row r="43" spans="1:9" s="34" customFormat="1" ht="20.25" customHeight="1">
      <c r="A43" s="849" t="s">
        <v>485</v>
      </c>
      <c r="B43" s="1689">
        <v>0</v>
      </c>
      <c r="C43" s="1689">
        <f t="array" ref="C43:H43">C31:H31*C32:H32/C35:H35*C36:H36</f>
        <v>0</v>
      </c>
      <c r="D43" s="1689">
        <v>0</v>
      </c>
      <c r="E43" s="1688">
        <v>0</v>
      </c>
      <c r="F43" s="1689">
        <v>0</v>
      </c>
      <c r="G43" s="1688">
        <v>0</v>
      </c>
      <c r="H43" s="1689">
        <v>0</v>
      </c>
    </row>
    <row r="44" spans="1:9" ht="20.25" customHeight="1" thickBot="1">
      <c r="A44" s="906" t="s">
        <v>435</v>
      </c>
      <c r="B44" s="1691">
        <f t="array" ref="B44:H44">B43:H43+B41:H41+B42:H42</f>
        <v>0</v>
      </c>
      <c r="C44" s="1691">
        <v>0</v>
      </c>
      <c r="D44" s="1691">
        <v>0</v>
      </c>
      <c r="E44" s="1690">
        <v>0</v>
      </c>
      <c r="F44" s="1691">
        <v>0</v>
      </c>
      <c r="G44" s="1690">
        <v>0</v>
      </c>
      <c r="H44" s="1691">
        <v>0</v>
      </c>
    </row>
    <row r="46" spans="1:9" ht="15.75" thickBot="1"/>
    <row r="47" spans="1:9" s="34" customFormat="1" ht="32.25" customHeight="1" thickBot="1">
      <c r="A47" s="1349" t="s">
        <v>425</v>
      </c>
      <c r="B47" s="1349"/>
      <c r="C47" s="1350"/>
      <c r="D47" s="1350"/>
      <c r="E47" s="1350"/>
      <c r="F47" s="1350"/>
      <c r="G47" s="1350"/>
      <c r="H47" s="1350"/>
    </row>
    <row r="48" spans="1:9" s="34" customFormat="1" ht="24.75" customHeight="1" thickBot="1">
      <c r="A48" s="1763"/>
      <c r="B48" s="2270"/>
      <c r="D48" s="662" t="str">
        <f t="array" ref="D48:H48">anni</f>
        <v>Year 0:   2026</v>
      </c>
      <c r="E48" s="662" t="str">
        <v>Year 1:   2027</v>
      </c>
      <c r="F48" s="662" t="str">
        <v>Year 2:   2028</v>
      </c>
      <c r="G48" s="662" t="str">
        <v>Year 3:   2029</v>
      </c>
      <c r="H48" s="662" t="str">
        <v>Year 4:   2030</v>
      </c>
    </row>
    <row r="49" spans="1:9" ht="21" customHeight="1">
      <c r="A49" s="1764" t="s">
        <v>1039</v>
      </c>
      <c r="B49" s="2268"/>
      <c r="C49" s="1767"/>
      <c r="D49" s="1993">
        <v>0</v>
      </c>
      <c r="E49" s="1993">
        <f>D49</f>
        <v>0</v>
      </c>
      <c r="F49" s="1994">
        <f>E49</f>
        <v>0</v>
      </c>
      <c r="G49" s="1994">
        <f>F49</f>
        <v>0</v>
      </c>
      <c r="H49" s="1994">
        <f>G49</f>
        <v>0</v>
      </c>
    </row>
    <row r="50" spans="1:9" ht="21" customHeight="1">
      <c r="A50" s="2532" t="s">
        <v>1038</v>
      </c>
      <c r="B50" s="2533"/>
      <c r="C50" s="2534"/>
      <c r="D50" s="808">
        <v>5.0000000000000001E-3</v>
      </c>
      <c r="E50" s="808">
        <v>5.0000000000000001E-3</v>
      </c>
      <c r="F50" s="808">
        <v>5.0000000000000001E-3</v>
      </c>
      <c r="G50" s="808">
        <v>5.0000000000000001E-3</v>
      </c>
      <c r="H50" s="808">
        <v>5.0000000000000001E-3</v>
      </c>
    </row>
    <row r="51" spans="1:9" s="34" customFormat="1" ht="22.5" customHeight="1">
      <c r="A51" s="1765" t="s">
        <v>1042</v>
      </c>
      <c r="B51" s="2269"/>
      <c r="C51" s="1768"/>
      <c r="D51" s="808">
        <v>7.0000000000000007E-2</v>
      </c>
      <c r="E51" s="808">
        <f t="shared" ref="E51:H52" si="2">D51</f>
        <v>7.0000000000000007E-2</v>
      </c>
      <c r="F51" s="808">
        <f t="shared" si="2"/>
        <v>7.0000000000000007E-2</v>
      </c>
      <c r="G51" s="808">
        <f t="shared" si="2"/>
        <v>7.0000000000000007E-2</v>
      </c>
      <c r="H51" s="808">
        <f t="shared" si="2"/>
        <v>7.0000000000000007E-2</v>
      </c>
    </row>
    <row r="52" spans="1:9" ht="24" customHeight="1" thickBot="1">
      <c r="A52" s="1766" t="s">
        <v>1043</v>
      </c>
      <c r="B52" s="2271"/>
      <c r="C52" s="1769"/>
      <c r="D52" s="1335">
        <v>0.02</v>
      </c>
      <c r="E52" s="1335">
        <f t="shared" si="2"/>
        <v>0.02</v>
      </c>
      <c r="F52" s="1335">
        <f t="shared" si="2"/>
        <v>0.02</v>
      </c>
      <c r="G52" s="1335">
        <f t="shared" si="2"/>
        <v>0.02</v>
      </c>
      <c r="H52" s="1335">
        <f t="shared" si="2"/>
        <v>0.02</v>
      </c>
    </row>
    <row r="53" spans="1:9" ht="18">
      <c r="A53" s="1487" t="s">
        <v>1112</v>
      </c>
      <c r="B53" s="1487"/>
      <c r="C53" s="1488"/>
      <c r="D53" s="1278">
        <f t="array" ref="D53:H53" ca="1">D27:H27</f>
        <v>1201.6500000000001</v>
      </c>
      <c r="E53" s="1278">
        <f ca="1"/>
        <v>-12108.752120000003</v>
      </c>
      <c r="F53" s="1278">
        <f ca="1"/>
        <v>-17183.992667300008</v>
      </c>
      <c r="G53" s="1278">
        <f ca="1"/>
        <v>-21941.566436814501</v>
      </c>
      <c r="H53" s="1278">
        <f ca="1"/>
        <v>-26337.283433767447</v>
      </c>
      <c r="I53" s="1334">
        <f ca="1">I27</f>
        <v>-26337.283433767447</v>
      </c>
    </row>
    <row r="54" spans="1:9" ht="15.75" thickBot="1"/>
    <row r="55" spans="1:9" ht="29.25" customHeight="1" thickBot="1">
      <c r="A55" s="1351" t="s">
        <v>447</v>
      </c>
      <c r="B55" s="1331"/>
      <c r="C55" s="1692"/>
      <c r="D55" s="1331"/>
      <c r="E55" s="799"/>
      <c r="F55" s="799"/>
      <c r="G55" s="799"/>
      <c r="H55" s="800"/>
    </row>
    <row r="56" spans="1:9" ht="30.75" thickBot="1">
      <c r="A56" s="1332"/>
      <c r="B56" s="662" t="str">
        <f>+$C$13</f>
        <v>Previous
(Initial Balance)</v>
      </c>
      <c r="C56" s="662" t="str">
        <f>CONCATENATE("Leasing 1 
",Parameters!B77)</f>
        <v>Leasing 1 
Year 0:   2026</v>
      </c>
      <c r="D56" s="662" t="str">
        <f>SUBSTITUTE(C56,"ing 1","ing 2")</f>
        <v>Leasing 2 
Year 0:   2026</v>
      </c>
      <c r="E56" s="662" t="str">
        <f t="array" ref="E56:H56">E$13:H$13</f>
        <v>Year 1:   2027</v>
      </c>
      <c r="F56" s="662" t="str">
        <v>Year 2:   2028</v>
      </c>
      <c r="G56" s="662" t="str">
        <v>Year 3:   2029</v>
      </c>
      <c r="H56" s="662" t="str">
        <v>Year 4:   2030</v>
      </c>
    </row>
    <row r="57" spans="1:9" ht="18.75" customHeight="1">
      <c r="A57" s="1667" t="s">
        <v>16</v>
      </c>
      <c r="B57" s="2355">
        <f>+'Prev. Initial Balance'!H47</f>
        <v>0</v>
      </c>
      <c r="C57" s="1997">
        <v>0</v>
      </c>
      <c r="D57" s="1997">
        <v>0</v>
      </c>
      <c r="E57" s="1997">
        <v>0</v>
      </c>
      <c r="F57" s="1997">
        <v>0</v>
      </c>
      <c r="G57" s="1997">
        <v>0</v>
      </c>
      <c r="H57" s="1997">
        <v>0</v>
      </c>
      <c r="I57" s="1799"/>
    </row>
    <row r="58" spans="1:9" ht="18.75" customHeight="1">
      <c r="A58" s="1667" t="s">
        <v>1040</v>
      </c>
      <c r="B58" s="2356">
        <f>+'Prev. Initial Balance'!H48</f>
        <v>0.12</v>
      </c>
      <c r="C58" s="808">
        <v>0.15</v>
      </c>
      <c r="D58" s="808">
        <v>0.15</v>
      </c>
      <c r="E58" s="808">
        <f>D58</f>
        <v>0.15</v>
      </c>
      <c r="F58" s="801">
        <f>E58</f>
        <v>0.15</v>
      </c>
      <c r="G58" s="808">
        <f>F58</f>
        <v>0.15</v>
      </c>
      <c r="H58" s="804">
        <f>G58</f>
        <v>0.15</v>
      </c>
      <c r="I58" s="1799"/>
    </row>
    <row r="59" spans="1:9" ht="18.75" customHeight="1">
      <c r="A59" s="1667" t="s">
        <v>1041</v>
      </c>
      <c r="B59" s="2357">
        <f>+'Prev. Initial Balance'!H49</f>
        <v>0</v>
      </c>
      <c r="C59" s="1669">
        <v>0</v>
      </c>
      <c r="D59" s="1669">
        <v>0</v>
      </c>
      <c r="E59" s="1669">
        <v>0</v>
      </c>
      <c r="F59" s="1670">
        <v>0</v>
      </c>
      <c r="G59" s="1669">
        <v>0</v>
      </c>
      <c r="H59" s="1671">
        <v>0</v>
      </c>
      <c r="I59" s="1799"/>
    </row>
    <row r="60" spans="1:9" ht="18.75" customHeight="1">
      <c r="A60" s="1667" t="s">
        <v>440</v>
      </c>
      <c r="B60" s="2272">
        <v>0</v>
      </c>
      <c r="C60" s="808">
        <v>5.0000000000000001E-3</v>
      </c>
      <c r="D60" s="808">
        <v>5.0000000000000001E-3</v>
      </c>
      <c r="E60" s="808">
        <f>D60</f>
        <v>5.0000000000000001E-3</v>
      </c>
      <c r="F60" s="808">
        <f>E60</f>
        <v>5.0000000000000001E-3</v>
      </c>
      <c r="G60" s="808">
        <f>F60</f>
        <v>5.0000000000000001E-3</v>
      </c>
      <c r="H60" s="808">
        <f>G60</f>
        <v>5.0000000000000001E-3</v>
      </c>
    </row>
    <row r="61" spans="1:9" ht="18.75" customHeight="1">
      <c r="A61" s="1676" t="s">
        <v>431</v>
      </c>
      <c r="B61" s="2358">
        <f>+'Prev. Initial Balance'!H50</f>
        <v>60</v>
      </c>
      <c r="C61" s="809">
        <f t="shared" ref="C61:H61" si="3">12*5</f>
        <v>60</v>
      </c>
      <c r="D61" s="809">
        <f t="shared" si="3"/>
        <v>60</v>
      </c>
      <c r="E61" s="809">
        <f t="shared" si="3"/>
        <v>60</v>
      </c>
      <c r="F61" s="802">
        <f t="shared" si="3"/>
        <v>60</v>
      </c>
      <c r="G61" s="809">
        <f t="shared" si="3"/>
        <v>60</v>
      </c>
      <c r="H61" s="806">
        <f t="shared" si="3"/>
        <v>60</v>
      </c>
    </row>
    <row r="62" spans="1:9" ht="18.75" customHeight="1">
      <c r="A62" s="1667" t="s">
        <v>455</v>
      </c>
      <c r="B62" s="2358">
        <f>+'Prev. Initial Balance'!H51</f>
        <v>12</v>
      </c>
      <c r="C62" s="809">
        <v>12</v>
      </c>
      <c r="D62" s="809">
        <v>12</v>
      </c>
      <c r="E62" s="809">
        <v>12</v>
      </c>
      <c r="F62" s="802">
        <v>12</v>
      </c>
      <c r="G62" s="809">
        <v>12</v>
      </c>
      <c r="H62" s="806">
        <v>12</v>
      </c>
    </row>
    <row r="63" spans="1:9" ht="11.25" customHeight="1" thickBot="1">
      <c r="A63" s="1668"/>
      <c r="B63" s="1668"/>
      <c r="C63" s="810"/>
      <c r="D63" s="810"/>
      <c r="E63" s="810"/>
      <c r="F63" s="803"/>
      <c r="G63" s="810"/>
      <c r="H63" s="807"/>
    </row>
    <row r="64" spans="1:9" ht="18.75" customHeight="1" thickBot="1">
      <c r="A64" s="1333" t="s">
        <v>448</v>
      </c>
      <c r="B64" s="1333"/>
      <c r="C64" s="1693">
        <f t="shared" ref="C64:H64" si="4">IF(C57&gt;0,TEXT(PMT(C58/12,C61,-C57,C59),"#.##0,00")&amp;VLOOKUP(C62,periodicidad,2,1),0)</f>
        <v>0</v>
      </c>
      <c r="D64" s="1693">
        <f t="shared" si="4"/>
        <v>0</v>
      </c>
      <c r="E64" s="1693">
        <f t="shared" si="4"/>
        <v>0</v>
      </c>
      <c r="F64" s="1694">
        <f t="shared" si="4"/>
        <v>0</v>
      </c>
      <c r="G64" s="1693">
        <f t="shared" si="4"/>
        <v>0</v>
      </c>
      <c r="H64" s="1695">
        <f t="shared" si="4"/>
        <v>0</v>
      </c>
    </row>
    <row r="65" spans="1:8" ht="18.75" thickBot="1">
      <c r="D65" s="1287" t="str">
        <f>IF(MAX(C59-C57,D59-D57,E59-E57,F59-F57,G59-G57,H59-H57)&gt;0.4,"ERROR: Algún Leasing tiene valor residual superior al Principal ","")</f>
        <v/>
      </c>
    </row>
    <row r="66" spans="1:8" ht="32.25" customHeight="1" thickBot="1">
      <c r="A66" s="1351" t="s">
        <v>446</v>
      </c>
      <c r="B66" s="1331"/>
      <c r="C66" s="1692"/>
      <c r="D66" s="1331"/>
      <c r="E66" s="799"/>
      <c r="F66" s="799"/>
      <c r="G66" s="799"/>
      <c r="H66" s="1961" t="s">
        <v>439</v>
      </c>
    </row>
    <row r="67" spans="1:8" ht="35.25" customHeight="1" thickBot="1">
      <c r="A67" s="1332"/>
      <c r="B67" s="662" t="str">
        <f>+$C$13</f>
        <v>Previous
(Initial Balance)</v>
      </c>
      <c r="C67" s="1348" t="str">
        <f>SUBSTITUTE(C56,"Leasing","Renting")</f>
        <v>Renting 1 
Year 0:   2026</v>
      </c>
      <c r="D67" s="1348" t="str">
        <f>SUBSTITUTE(C67,"ing 1","ing 2")</f>
        <v>Renting 2 
Year 0:   2026</v>
      </c>
      <c r="E67" s="662" t="str">
        <f t="array" ref="E67:H67">E$13:H$13</f>
        <v>Year 1:   2027</v>
      </c>
      <c r="F67" s="662" t="str">
        <v>Year 2:   2028</v>
      </c>
      <c r="G67" s="662" t="str">
        <v>Year 3:   2029</v>
      </c>
      <c r="H67" s="662" t="str">
        <v>Year 4:   2030</v>
      </c>
    </row>
    <row r="68" spans="1:8" ht="21" customHeight="1">
      <c r="A68" s="1667" t="s">
        <v>16</v>
      </c>
      <c r="B68" s="2355">
        <v>0</v>
      </c>
      <c r="C68" s="1997">
        <v>0</v>
      </c>
      <c r="D68" s="1997">
        <v>0</v>
      </c>
      <c r="E68" s="1997">
        <v>0</v>
      </c>
      <c r="F68" s="1997">
        <v>0</v>
      </c>
      <c r="G68" s="1997">
        <v>0</v>
      </c>
      <c r="H68" s="1998">
        <v>0</v>
      </c>
    </row>
    <row r="69" spans="1:8" ht="21" customHeight="1">
      <c r="A69" s="1667" t="s">
        <v>1040</v>
      </c>
      <c r="B69" s="2356">
        <f>+'Prev. Initial Balance'!D54</f>
        <v>0.18</v>
      </c>
      <c r="C69" s="808">
        <v>0.18</v>
      </c>
      <c r="D69" s="808">
        <v>0.15</v>
      </c>
      <c r="E69" s="808">
        <f t="shared" ref="E69:H70" si="5">D69</f>
        <v>0.15</v>
      </c>
      <c r="F69" s="801">
        <f t="shared" si="5"/>
        <v>0.15</v>
      </c>
      <c r="G69" s="808">
        <f t="shared" si="5"/>
        <v>0.15</v>
      </c>
      <c r="H69" s="804">
        <f t="shared" si="5"/>
        <v>0.15</v>
      </c>
    </row>
    <row r="70" spans="1:8" ht="21" customHeight="1">
      <c r="A70" s="1667" t="s">
        <v>441</v>
      </c>
      <c r="B70" s="2272">
        <v>0</v>
      </c>
      <c r="C70" s="808">
        <v>5.0000000000000001E-3</v>
      </c>
      <c r="D70" s="808">
        <v>5.0000000000000001E-3</v>
      </c>
      <c r="E70" s="808">
        <f t="shared" si="5"/>
        <v>5.0000000000000001E-3</v>
      </c>
      <c r="F70" s="808">
        <f t="shared" si="5"/>
        <v>5.0000000000000001E-3</v>
      </c>
      <c r="G70" s="808">
        <f t="shared" si="5"/>
        <v>5.0000000000000001E-3</v>
      </c>
      <c r="H70" s="808">
        <f t="shared" si="5"/>
        <v>5.0000000000000001E-3</v>
      </c>
    </row>
    <row r="71" spans="1:8" ht="20.25" customHeight="1">
      <c r="A71" s="1676" t="s">
        <v>431</v>
      </c>
      <c r="B71" s="2358">
        <f>+'Prev. Initial Balance'!D55</f>
        <v>60</v>
      </c>
      <c r="C71" s="809">
        <f t="shared" ref="C71:H71" si="6">12*3</f>
        <v>36</v>
      </c>
      <c r="D71" s="809">
        <f t="shared" si="6"/>
        <v>36</v>
      </c>
      <c r="E71" s="809">
        <f t="shared" si="6"/>
        <v>36</v>
      </c>
      <c r="F71" s="802">
        <f t="shared" si="6"/>
        <v>36</v>
      </c>
      <c r="G71" s="809">
        <f t="shared" si="6"/>
        <v>36</v>
      </c>
      <c r="H71" s="806">
        <f t="shared" si="6"/>
        <v>36</v>
      </c>
    </row>
    <row r="72" spans="1:8" ht="18.75" customHeight="1">
      <c r="A72" s="1667" t="s">
        <v>455</v>
      </c>
      <c r="B72" s="2358">
        <f>+'Prev. Initial Balance'!D56</f>
        <v>12</v>
      </c>
      <c r="C72" s="809">
        <v>12</v>
      </c>
      <c r="D72" s="809">
        <v>12</v>
      </c>
      <c r="E72" s="809">
        <v>12</v>
      </c>
      <c r="F72" s="802">
        <v>12</v>
      </c>
      <c r="G72" s="809">
        <v>12</v>
      </c>
      <c r="H72" s="806">
        <v>12</v>
      </c>
    </row>
    <row r="73" spans="1:8" ht="9" customHeight="1" thickBot="1">
      <c r="A73" s="1668"/>
      <c r="B73" s="1668"/>
      <c r="C73" s="810"/>
      <c r="D73" s="810"/>
      <c r="E73" s="810"/>
      <c r="F73" s="803"/>
      <c r="G73" s="810"/>
      <c r="H73" s="807"/>
    </row>
    <row r="74" spans="1:8" ht="19.5" customHeight="1" thickBot="1">
      <c r="A74" s="1333" t="s">
        <v>449</v>
      </c>
      <c r="B74" s="1333"/>
      <c r="C74" s="1696">
        <f t="array" ref="C74:H74">IF(C68:H68&gt;0,TEXT(PMT(C69:H69/12,C71:H71,-C68:H68),"#.##0,00")&amp;VLOOKUP(C72:H72,periodicidad,2),0)</f>
        <v>0</v>
      </c>
      <c r="D74" s="1696">
        <v>0</v>
      </c>
      <c r="E74" s="1696">
        <v>0</v>
      </c>
      <c r="F74" s="1697">
        <v>0</v>
      </c>
      <c r="G74" s="1696">
        <v>0</v>
      </c>
      <c r="H74" s="1698">
        <v>0</v>
      </c>
    </row>
    <row r="76" spans="1:8" ht="18">
      <c r="A76" s="907" t="s">
        <v>450</v>
      </c>
      <c r="B76" s="907"/>
      <c r="D76" s="1287" t="str">
        <f>IF(MIN(Funding!C71:H71)/12&lt;2,"ERROR: Renting must be at least 2 years long","")</f>
        <v/>
      </c>
    </row>
    <row r="77" spans="1:8">
      <c r="A77" s="908" t="s">
        <v>453</v>
      </c>
      <c r="B77" s="908"/>
    </row>
    <row r="78" spans="1:8">
      <c r="A78" s="908" t="s">
        <v>454</v>
      </c>
      <c r="B78" s="908"/>
    </row>
    <row r="79" spans="1:8">
      <c r="A79" s="908" t="s">
        <v>452</v>
      </c>
      <c r="B79" s="908"/>
    </row>
    <row r="80" spans="1:8">
      <c r="A80" s="908" t="s">
        <v>58</v>
      </c>
      <c r="B80" s="908"/>
    </row>
    <row r="81" spans="1:10">
      <c r="A81" s="908" t="s">
        <v>451</v>
      </c>
      <c r="B81" s="908"/>
    </row>
    <row r="82" spans="1:10">
      <c r="A82" s="907"/>
      <c r="B82" s="907"/>
    </row>
    <row r="83" spans="1:10" ht="18.75" customHeight="1">
      <c r="A83" s="908"/>
      <c r="B83" s="908"/>
    </row>
    <row r="84" spans="1:10" s="1687" customFormat="1" ht="27" customHeight="1">
      <c r="A84" s="1685" t="s">
        <v>442</v>
      </c>
      <c r="B84" s="2327"/>
      <c r="C84" s="2327" t="str">
        <f ca="1">'Balance Sheet Statements (EU)'!D53</f>
        <v/>
      </c>
      <c r="D84" s="2327" t="str">
        <f ca="1">'Balance Sheet Statements (EU)'!F53</f>
        <v/>
      </c>
      <c r="E84" s="2327" t="str">
        <f ca="1">'Balance Sheet Statements (EU)'!H53</f>
        <v/>
      </c>
      <c r="F84" s="2327" t="str">
        <f ca="1">'Balance Sheet Statements (EU)'!J53</f>
        <v/>
      </c>
      <c r="G84" s="2327" t="str">
        <f ca="1">'Balance Sheet Statements (EU)'!L53</f>
        <v/>
      </c>
      <c r="H84" s="2327" t="str">
        <f ca="1">'Balance Sheet Statements (EU)'!N53</f>
        <v/>
      </c>
      <c r="I84" s="2327">
        <f ca="1">SUM(C84:H84)</f>
        <v>0</v>
      </c>
      <c r="J84" s="2327"/>
    </row>
  </sheetData>
  <sheetProtection sheet="1" objects="1" scenarios="1"/>
  <phoneticPr fontId="7" type="noConversion"/>
  <conditionalFormatting sqref="A27:C27 A53:C53">
    <cfRule type="expression" dxfId="40" priority="4" stopIfTrue="1">
      <formula>$I$27&lt;-0.4</formula>
    </cfRule>
  </conditionalFormatting>
  <conditionalFormatting sqref="A84:J84">
    <cfRule type="expression" dxfId="39" priority="2" stopIfTrue="1">
      <formula>$I$84&lt;&gt;0</formula>
    </cfRule>
  </conditionalFormatting>
  <conditionalFormatting sqref="C28">
    <cfRule type="expression" dxfId="38" priority="7" stopIfTrue="1">
      <formula>$D$28&lt;0</formula>
    </cfRule>
    <cfRule type="expression" dxfId="37" priority="8" stopIfTrue="1">
      <formula>$I$27&lt;0</formula>
    </cfRule>
  </conditionalFormatting>
  <conditionalFormatting sqref="D27:H27 D28 D53:H53">
    <cfRule type="cellIs" dxfId="36" priority="5" stopIfTrue="1" operator="lessThan">
      <formula>0</formula>
    </cfRule>
    <cfRule type="expression" dxfId="35" priority="6" stopIfTrue="1">
      <formula>$I$27&lt;0</formula>
    </cfRule>
  </conditionalFormatting>
  <conditionalFormatting sqref="F28">
    <cfRule type="expression" dxfId="34" priority="1" stopIfTrue="1">
      <formula>$I$27&lt;0</formula>
    </cfRule>
  </conditionalFormatting>
  <conditionalFormatting sqref="I27 I53">
    <cfRule type="expression" dxfId="33" priority="3" stopIfTrue="1">
      <formula>"""=suma($B$58:$F$58)&lt;0,5"""</formula>
    </cfRule>
  </conditionalFormatting>
  <dataValidations xWindow="575" yWindow="358" count="16">
    <dataValidation type="decimal" allowBlank="1" showInputMessage="1" showErrorMessage="1" error="El valor residual no puede ser negativo ni inferior al valor del principal." sqref="C59:H59" xr:uid="{00000000-0002-0000-0900-000000000000}">
      <formula1>0</formula1>
      <formula2>C57</formula2>
    </dataValidation>
    <dataValidation type="whole" operator="greaterThanOrEqual" allowBlank="1" showInputMessage="1" showErrorMessage="1" sqref="D14" xr:uid="{00000000-0002-0000-0900-000001000000}">
      <formula1>C11-C14</formula1>
    </dataValidation>
    <dataValidation type="decimal" allowBlank="1" showInputMessage="1" showErrorMessage="1" error="El importe a financiar mediante Leasing no puede ser superior a la inversión en Activos No corrientes del mismo año." sqref="H57" xr:uid="{00000000-0002-0000-0900-000002000000}">
      <formula1>0</formula1>
      <formula2>$H$6</formula2>
    </dataValidation>
    <dataValidation type="decimal" allowBlank="1" showInputMessage="1" showErrorMessage="1" sqref="D52:H52" xr:uid="{00000000-0002-0000-0900-000003000000}">
      <formula1>0</formula1>
      <formula2>D51</formula2>
    </dataValidation>
    <dataValidation type="list" allowBlank="1" showInputMessage="1" showErrorMessage="1" prompt="  1 = 1 solo pago anual_x000a_  2 = pagos semestrales_x000a_  3 = pagos cuatrimestrales_x000a_  4 = pagos trimestrales_x000a_  6 = pagos bimensuales_x000a_12 = pagos mensuales" sqref="C72:H72 C62:H62 D35:H35" xr:uid="{00000000-0002-0000-0900-000004000000}">
      <formula1>"1,2,3,4,6,12"</formula1>
    </dataValidation>
    <dataValidation type="whole" operator="greaterThanOrEqual" allowBlank="1" showInputMessage="1" showErrorMessage="1" sqref="C71:H71 C61:H61" xr:uid="{00000000-0002-0000-0900-000005000000}">
      <formula1>24</formula1>
    </dataValidation>
    <dataValidation type="decimal" operator="greaterThanOrEqual" allowBlank="1" showInputMessage="1" showErrorMessage="1" sqref="D19:H19 D21:H23 D17:H17 C68:H68" xr:uid="{00000000-0002-0000-0900-000006000000}">
      <formula1>0</formula1>
    </dataValidation>
    <dataValidation type="decimal" allowBlank="1" showInputMessage="1" showErrorMessage="1" sqref="C70:H70 C60:H60 C33:H33 D50:H50" xr:uid="{00000000-0002-0000-0900-000007000000}">
      <formula1>0</formula1>
      <formula2>0.05</formula2>
    </dataValidation>
    <dataValidation allowBlank="1" showInputMessage="1" showErrorMessage="1" prompt="Tipo nominal anual" sqref="E51:H51 D32:H32" xr:uid="{00000000-0002-0000-0900-000008000000}"/>
    <dataValidation type="decimal" allowBlank="1" showInputMessage="1" showErrorMessage="1" error="El importe a Financiar mediante Leasing no puede ser superior a la inversión en Activos No Corrientes." sqref="C57:D57" xr:uid="{00000000-0002-0000-0900-000009000000}">
      <formula1>0</formula1>
      <formula2>$D$6</formula2>
    </dataValidation>
    <dataValidation type="whole" allowBlank="1" showInputMessage="1" showErrorMessage="1" sqref="D36:H36" xr:uid="{00000000-0002-0000-0900-00000A000000}">
      <formula1>0</formula1>
      <formula2>plazo/npagos*12</formula2>
    </dataValidation>
    <dataValidation type="whole" allowBlank="1" showInputMessage="1" showErrorMessage="1" sqref="C34:H34" xr:uid="{00000000-0002-0000-0900-00000B000000}">
      <formula1>0</formula1>
      <formula2>400</formula2>
    </dataValidation>
    <dataValidation type="whole" operator="greaterThanOrEqual" allowBlank="1" showInputMessage="1" showErrorMessage="1" sqref="E14:H14" xr:uid="{00000000-0002-0000-0900-00000C000000}">
      <formula1>0</formula1>
    </dataValidation>
    <dataValidation type="decimal" allowBlank="1" showInputMessage="1" showErrorMessage="1" error="El importe a financiar mediante Leasing no puede ser superior a la inversión en Activos No corrientes del mismo año." sqref="E57" xr:uid="{00000000-0002-0000-0900-00000D000000}">
      <formula1>0</formula1>
      <formula2>$E$6</formula2>
    </dataValidation>
    <dataValidation type="decimal" allowBlank="1" showInputMessage="1" showErrorMessage="1" error="El importe a financiar mediante Leasing no puede ser superior a la inversión en Activos No corrientes del mismo año." sqref="F57" xr:uid="{00000000-0002-0000-0900-00000E000000}">
      <formula1>0</formula1>
      <formula2>$F$6</formula2>
    </dataValidation>
    <dataValidation type="decimal" allowBlank="1" showInputMessage="1" showErrorMessage="1" error="El importe a financiar mediante Leasing no puede ser superior a la inversión en Activos No corrientes del mismo año." sqref="G57" xr:uid="{00000000-0002-0000-0900-00000F000000}">
      <formula1>0</formula1>
      <formula2>$G$6</formula2>
    </dataValidation>
  </dataValidations>
  <printOptions horizontalCentered="1"/>
  <pageMargins left="0.78740157480314965" right="0.78740157480314965" top="0.5" bottom="0.6" header="0.37" footer="0.42"/>
  <pageSetup paperSize="9" scale="40" orientation="portrait" horizontalDpi="4294967292" verticalDpi="300" r:id="rId1"/>
  <headerFooter alignWithMargins="0">
    <oddFooter>&amp;C&amp;"Tahoma,Normal"&amp;10&amp;A</oddFooter>
  </headerFooter>
  <rowBreaks count="1" manualBreakCount="1">
    <brk id="10" max="6"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
    <tabColor indexed="42"/>
    <pageSetUpPr fitToPage="1"/>
  </sheetPr>
  <dimension ref="A1:F38"/>
  <sheetViews>
    <sheetView showGridLines="0" zoomScale="75" zoomScaleNormal="75" workbookViewId="0">
      <selection activeCell="C28" sqref="C28"/>
    </sheetView>
  </sheetViews>
  <sheetFormatPr baseColWidth="10" defaultColWidth="11" defaultRowHeight="15"/>
  <cols>
    <col min="1" max="1" width="68.375" style="20" customWidth="1"/>
    <col min="2" max="2" width="16.625" style="159" customWidth="1"/>
    <col min="3" max="3" width="17.125" style="20" customWidth="1"/>
    <col min="4" max="4" width="15.75" style="20" customWidth="1"/>
    <col min="5" max="5" width="17.75" style="20" customWidth="1"/>
    <col min="6" max="6" width="13.125" style="20" customWidth="1"/>
    <col min="7" max="7" width="17.625" style="20" customWidth="1"/>
    <col min="8" max="8" width="16" style="20" customWidth="1"/>
    <col min="9" max="16384" width="11" style="20"/>
  </cols>
  <sheetData>
    <row r="1" spans="1:5" ht="27">
      <c r="A1" s="25" t="s">
        <v>456</v>
      </c>
    </row>
    <row r="2" spans="1:5" ht="25.5">
      <c r="A2" s="552" t="str">
        <f>'Base Data'!B9</f>
        <v>WWW, Ltd.</v>
      </c>
    </row>
    <row r="3" spans="1:5" ht="26.25" thickBot="1">
      <c r="A3" s="17"/>
      <c r="D3" s="2376" t="str">
        <f>IF(consolidacion," (Init. Balance)","")</f>
        <v/>
      </c>
    </row>
    <row r="4" spans="1:5" ht="45.75" customHeight="1" thickBot="1">
      <c r="A4" s="2116" t="s">
        <v>457</v>
      </c>
      <c r="B4" s="2117"/>
      <c r="C4" s="2118"/>
      <c r="D4" s="2118"/>
      <c r="E4" s="2118"/>
    </row>
    <row r="5" spans="1:5" s="647" customFormat="1" ht="30" customHeight="1" thickBot="1">
      <c r="A5" s="2121"/>
      <c r="B5" s="2832" t="s">
        <v>1098</v>
      </c>
      <c r="C5" s="2809" t="str">
        <f>"Initial "&amp;'Base Data'!$B$18</f>
        <v>Initial Year 0</v>
      </c>
      <c r="D5" s="2833" t="s">
        <v>1104</v>
      </c>
      <c r="E5" s="2834" t="s">
        <v>39</v>
      </c>
    </row>
    <row r="6" spans="1:5" s="647" customFormat="1" ht="18" customHeight="1">
      <c r="A6" s="2103" t="s">
        <v>458</v>
      </c>
      <c r="B6" s="815">
        <f>SUM(B7:B14)</f>
        <v>0</v>
      </c>
      <c r="C6" s="815">
        <f>SUM(C7:C14)</f>
        <v>2335</v>
      </c>
      <c r="D6" s="815">
        <f>B6+C6</f>
        <v>2335</v>
      </c>
      <c r="E6" s="2104">
        <f t="array" aca="1" ref="E6:E14" ca="1">IF(D$32=0,"",D6:D14/$D$32)</f>
        <v>1</v>
      </c>
    </row>
    <row r="7" spans="1:5" s="647" customFormat="1" ht="18" customHeight="1">
      <c r="A7" s="1667" t="str">
        <f>Funding!A14</f>
        <v>Capital Stock &amp; increases of Capital Stock (monetary contributions)</v>
      </c>
      <c r="B7" s="814">
        <f>Funding!C14</f>
        <v>0</v>
      </c>
      <c r="C7" s="814">
        <f>+Funding!D14</f>
        <v>3000</v>
      </c>
      <c r="D7" s="814">
        <f>B7+C7</f>
        <v>3000</v>
      </c>
      <c r="E7" s="2105">
        <f ca="1"/>
        <v>1.2847965738758029</v>
      </c>
    </row>
    <row r="8" spans="1:5" s="647" customFormat="1" ht="18" customHeight="1">
      <c r="A8" s="1667" t="str">
        <f>Funding!A15</f>
        <v>Capital Stock &amp; increases of Capital Stock (in kind contributions)</v>
      </c>
      <c r="B8" s="814">
        <f>Funding!C15</f>
        <v>0</v>
      </c>
      <c r="C8" s="814">
        <f>+Funding!D15</f>
        <v>0</v>
      </c>
      <c r="D8" s="814">
        <f t="shared" ref="D8:D14" si="0">B8+C8</f>
        <v>0</v>
      </c>
      <c r="E8" s="2105">
        <f ca="1"/>
        <v>0</v>
      </c>
    </row>
    <row r="9" spans="1:5" s="647" customFormat="1" ht="18" customHeight="1">
      <c r="A9" s="1667" t="str">
        <f>'Initial Expenses'!A7</f>
        <v>Constitution Expenses</v>
      </c>
      <c r="B9" s="814">
        <v>0</v>
      </c>
      <c r="C9" s="814">
        <f>-'Initial Expenses'!B12</f>
        <v>-665</v>
      </c>
      <c r="D9" s="814">
        <f t="shared" si="0"/>
        <v>-665</v>
      </c>
      <c r="E9" s="2105">
        <f ca="1"/>
        <v>-0.28479657387580298</v>
      </c>
    </row>
    <row r="10" spans="1:5" s="647" customFormat="1" ht="18" customHeight="1">
      <c r="A10" s="2254" t="str">
        <f>"Retained Earnings (Reserves)" &amp;$D$3</f>
        <v>Retained Earnings (Reserves)</v>
      </c>
      <c r="B10" s="814">
        <f>IF('Prev. Initial Balance'!H11&gt;0,'Prev. Initial Balance'!H11,0)+'Prev. Initial Balance'!H22</f>
        <v>0</v>
      </c>
      <c r="C10" s="814">
        <v>0</v>
      </c>
      <c r="D10" s="814">
        <f t="shared" si="0"/>
        <v>0</v>
      </c>
      <c r="E10" s="2105">
        <f ca="1"/>
        <v>0</v>
      </c>
    </row>
    <row r="11" spans="1:5" s="647" customFormat="1" ht="18" customHeight="1">
      <c r="A11" s="2254" t="str">
        <f>"Cummulative losses " &amp;$D$3</f>
        <v xml:space="preserve">Cummulative losses </v>
      </c>
      <c r="B11" s="814">
        <f>IF('Prev. Initial Balance'!H11&lt;0,'Prev. Initial Balance'!H11,0)</f>
        <v>0</v>
      </c>
      <c r="C11" s="814">
        <v>0</v>
      </c>
      <c r="D11" s="814">
        <f t="shared" si="0"/>
        <v>0</v>
      </c>
      <c r="E11" s="2105">
        <f ca="1"/>
        <v>0</v>
      </c>
    </row>
    <row r="12" spans="1:5" s="647" customFormat="1" ht="18" customHeight="1">
      <c r="A12" s="2254" t="str">
        <f>"Net income for the prev. Year " &amp;$D$3</f>
        <v xml:space="preserve">Net income for the prev. Year </v>
      </c>
      <c r="B12" s="814">
        <f>'Prev. Initial Balance'!H12</f>
        <v>0</v>
      </c>
      <c r="C12" s="814">
        <v>0</v>
      </c>
      <c r="D12" s="814">
        <f t="shared" si="0"/>
        <v>0</v>
      </c>
      <c r="E12" s="2105">
        <f ca="1"/>
        <v>0</v>
      </c>
    </row>
    <row r="13" spans="1:5" s="647" customFormat="1" ht="18" customHeight="1">
      <c r="A13" s="2106" t="str">
        <f>Funding!A17</f>
        <v>Loans / Borrowings from the stockholders</v>
      </c>
      <c r="B13" s="814">
        <f>Funding!C17</f>
        <v>0</v>
      </c>
      <c r="C13" s="814">
        <f>Funding!D17</f>
        <v>0</v>
      </c>
      <c r="D13" s="814">
        <f t="shared" si="0"/>
        <v>0</v>
      </c>
      <c r="E13" s="2105">
        <f ca="1"/>
        <v>0</v>
      </c>
    </row>
    <row r="14" spans="1:5" s="647" customFormat="1" ht="18" customHeight="1" thickBot="1">
      <c r="A14" s="2107" t="str">
        <f>Funding!A19</f>
        <v>Subsidies</v>
      </c>
      <c r="B14" s="816">
        <f>Funding!C19</f>
        <v>0</v>
      </c>
      <c r="C14" s="816">
        <f>Funding!D19</f>
        <v>0</v>
      </c>
      <c r="D14" s="816">
        <f t="shared" si="0"/>
        <v>0</v>
      </c>
      <c r="E14" s="2108">
        <f ca="1"/>
        <v>0</v>
      </c>
    </row>
    <row r="15" spans="1:5" s="647" customFormat="1" ht="32.25" customHeight="1" thickBot="1">
      <c r="A15" s="2109"/>
      <c r="E15" s="2110"/>
    </row>
    <row r="16" spans="1:5" s="648" customFormat="1" ht="18" customHeight="1">
      <c r="A16" s="2103" t="s">
        <v>459</v>
      </c>
      <c r="B16" s="815">
        <f>B17+B22</f>
        <v>0</v>
      </c>
      <c r="C16" s="815">
        <f ca="1">C17+C22</f>
        <v>0</v>
      </c>
      <c r="D16" s="815">
        <f ca="1">B16+C16</f>
        <v>0</v>
      </c>
      <c r="E16" s="2104">
        <f t="array" aca="1" ref="E16:E20" ca="1">IF(D$32=0,"",D16:D20/$D$32)</f>
        <v>0</v>
      </c>
    </row>
    <row r="17" spans="1:5" s="647" customFormat="1" ht="18" customHeight="1">
      <c r="A17" s="2111" t="s">
        <v>460</v>
      </c>
      <c r="B17" s="813">
        <f>SUM(B18:B20)</f>
        <v>0</v>
      </c>
      <c r="C17" s="813">
        <f>SUM(C18:C20)</f>
        <v>0</v>
      </c>
      <c r="D17" s="814">
        <f>B17+C17</f>
        <v>0</v>
      </c>
      <c r="E17" s="2112">
        <f ca="1"/>
        <v>0</v>
      </c>
    </row>
    <row r="18" spans="1:5" s="647" customFormat="1" ht="18" customHeight="1">
      <c r="A18" s="2106" t="s">
        <v>462</v>
      </c>
      <c r="B18" s="814">
        <f>+Funding!B31-B23</f>
        <v>0</v>
      </c>
      <c r="C18" s="814">
        <f>SUM(Funding!C31:D31)-C23</f>
        <v>0</v>
      </c>
      <c r="D18" s="814">
        <f>B18+C18</f>
        <v>0</v>
      </c>
      <c r="E18" s="2105">
        <f ca="1"/>
        <v>0</v>
      </c>
    </row>
    <row r="19" spans="1:5" s="647" customFormat="1" ht="18" customHeight="1">
      <c r="A19" s="2106" t="s">
        <v>463</v>
      </c>
      <c r="B19" s="814">
        <f>Funding!B57-B24</f>
        <v>0</v>
      </c>
      <c r="C19" s="814">
        <f>+SUM(Funding!C57:D57)-C24</f>
        <v>0</v>
      </c>
      <c r="D19" s="814">
        <f>B19+C19</f>
        <v>0</v>
      </c>
      <c r="E19" s="2115">
        <f ca="1"/>
        <v>0</v>
      </c>
    </row>
    <row r="20" spans="1:5" s="647" customFormat="1" ht="18" customHeight="1" thickBot="1">
      <c r="A20" s="2256" t="str">
        <f>"Other L.T. Creditors " &amp;$D$3</f>
        <v xml:space="preserve">Other L.T. Creditors </v>
      </c>
      <c r="B20" s="816">
        <f>+'Prev. Initial Balance'!H20</f>
        <v>0</v>
      </c>
      <c r="C20" s="816">
        <v>0</v>
      </c>
      <c r="D20" s="816">
        <f>B20+C20</f>
        <v>0</v>
      </c>
      <c r="E20" s="2108">
        <f ca="1"/>
        <v>0</v>
      </c>
    </row>
    <row r="21" spans="1:5" s="647" customFormat="1" ht="15" customHeight="1" thickBot="1">
      <c r="A21" s="2109"/>
      <c r="E21" s="2110"/>
    </row>
    <row r="22" spans="1:5" s="647" customFormat="1" ht="18" customHeight="1">
      <c r="A22" s="2113" t="s">
        <v>461</v>
      </c>
      <c r="B22" s="815">
        <f>SUM(B23:B30)</f>
        <v>0</v>
      </c>
      <c r="C22" s="815">
        <f ca="1">SUM(C23:C30)</f>
        <v>0</v>
      </c>
      <c r="D22" s="815">
        <f ca="1">B22+C22</f>
        <v>0</v>
      </c>
      <c r="E22" s="2104">
        <f t="array" aca="1" ref="E22:E30" ca="1">IF(D$32=0,"",D22:D30/$D$32)</f>
        <v>0</v>
      </c>
    </row>
    <row r="23" spans="1:5" s="647" customFormat="1" ht="18" customHeight="1">
      <c r="A23" s="2106" t="s">
        <v>464</v>
      </c>
      <c r="B23" s="814">
        <f>Loans!J5</f>
        <v>0</v>
      </c>
      <c r="C23" s="814">
        <f>Loans!N24-B23</f>
        <v>0</v>
      </c>
      <c r="D23" s="814">
        <f t="shared" ref="D23:D30" si="1">B23+C23</f>
        <v>0</v>
      </c>
      <c r="E23" s="2105">
        <f ca="1"/>
        <v>0</v>
      </c>
    </row>
    <row r="24" spans="1:5" s="647" customFormat="1" ht="18" customHeight="1">
      <c r="A24" s="2106" t="s">
        <v>465</v>
      </c>
      <c r="B24" s="814">
        <f>Leasing!J5</f>
        <v>0</v>
      </c>
      <c r="C24" s="814">
        <f>Leasing!N23-B24</f>
        <v>0</v>
      </c>
      <c r="D24" s="814">
        <f t="shared" si="1"/>
        <v>0</v>
      </c>
      <c r="E24" s="2105">
        <f ca="1"/>
        <v>0</v>
      </c>
    </row>
    <row r="25" spans="1:5" s="647" customFormat="1" ht="18" customHeight="1">
      <c r="A25" s="2254" t="str">
        <f>"Dispuesto crédito mes al inicio" &amp;$D$3</f>
        <v>Dispuesto crédito mes al inicio</v>
      </c>
      <c r="B25" s="814">
        <f>'Prev. Initial Balance'!H27</f>
        <v>0</v>
      </c>
      <c r="C25" s="814">
        <v>0</v>
      </c>
      <c r="D25" s="814">
        <f t="shared" si="1"/>
        <v>0</v>
      </c>
      <c r="E25" s="2105">
        <f ca="1"/>
        <v>0</v>
      </c>
    </row>
    <row r="26" spans="1:5" s="647" customFormat="1" ht="18" customHeight="1">
      <c r="A26" s="2106" t="s">
        <v>466</v>
      </c>
      <c r="B26" s="814">
        <v>0</v>
      </c>
      <c r="C26" s="814">
        <f ca="1">'DC Distr 0'!B87+'DC Distr 0'!B106</f>
        <v>0</v>
      </c>
      <c r="D26" s="814">
        <f t="shared" ca="1" si="1"/>
        <v>0</v>
      </c>
      <c r="E26" s="2105">
        <f ca="1"/>
        <v>0</v>
      </c>
    </row>
    <row r="27" spans="1:5" s="647" customFormat="1" ht="18" customHeight="1">
      <c r="A27" s="2254" t="str">
        <f>"Trade creditors (suppliers)" &amp;$D$3</f>
        <v>Trade creditors (suppliers)</v>
      </c>
      <c r="B27" s="814">
        <f>'Prev. Initial Balance'!H28</f>
        <v>0</v>
      </c>
      <c r="C27" s="814">
        <v>0</v>
      </c>
      <c r="D27" s="814">
        <f t="shared" si="1"/>
        <v>0</v>
      </c>
      <c r="E27" s="2105">
        <f ca="1"/>
        <v>0</v>
      </c>
    </row>
    <row r="28" spans="1:5" s="647" customFormat="1" ht="18" customHeight="1">
      <c r="A28" s="2254" t="str">
        <f>"Output "&amp;'Base Data'!$A$28&amp;" payable" &amp;$D$3</f>
        <v>Output VAT payable</v>
      </c>
      <c r="B28" s="814">
        <f>'Prev. Initial Balance'!H29</f>
        <v>0</v>
      </c>
      <c r="C28" s="814">
        <v>0</v>
      </c>
      <c r="D28" s="814">
        <f t="shared" si="1"/>
        <v>0</v>
      </c>
      <c r="E28" s="2105">
        <f ca="1"/>
        <v>0</v>
      </c>
    </row>
    <row r="29" spans="1:5" s="647" customFormat="1" ht="18" customHeight="1">
      <c r="A29" s="2255" t="str">
        <f>IF(isoc&lt;&gt;0,'Base Data'!$I$44,'Base Data'!$I$43)&amp;" payable"&amp;$D$3</f>
        <v>C.I.T payable</v>
      </c>
      <c r="B29" s="814">
        <f>'Prev. Initial Balance'!H30</f>
        <v>0</v>
      </c>
      <c r="C29" s="814">
        <v>0</v>
      </c>
      <c r="D29" s="814">
        <f t="shared" si="1"/>
        <v>0</v>
      </c>
      <c r="E29" s="2115">
        <f ca="1"/>
        <v>0</v>
      </c>
    </row>
    <row r="30" spans="1:5" s="647" customFormat="1" ht="18" customHeight="1" thickBot="1">
      <c r="A30" s="2107" t="str">
        <f>"Other S.T. Creditors " &amp;$D$3</f>
        <v xml:space="preserve">Other S.T. Creditors </v>
      </c>
      <c r="B30" s="816">
        <f>'Prev. Initial Balance'!H31</f>
        <v>0</v>
      </c>
      <c r="C30" s="816">
        <f>'Fixed Expenses Data'!C33*'Fixed Expenses Data'!B21</f>
        <v>0</v>
      </c>
      <c r="D30" s="816">
        <f t="shared" si="1"/>
        <v>0</v>
      </c>
      <c r="E30" s="2108">
        <f ca="1"/>
        <v>0</v>
      </c>
    </row>
    <row r="31" spans="1:5" s="647" customFormat="1" ht="18" customHeight="1" thickBot="1">
      <c r="A31" s="2122"/>
      <c r="E31" s="2123"/>
    </row>
    <row r="32" spans="1:5" s="817" customFormat="1" ht="24" customHeight="1" thickBot="1">
      <c r="A32" s="2119" t="s">
        <v>467</v>
      </c>
      <c r="B32" s="2810">
        <f>B16+B6</f>
        <v>0</v>
      </c>
      <c r="C32" s="2810">
        <f ca="1">C16+C6</f>
        <v>2335</v>
      </c>
      <c r="D32" s="2810">
        <f ca="1">D16+D6</f>
        <v>2335</v>
      </c>
      <c r="E32" s="2120">
        <f ca="1">IF(D$32=0,"",D32/$D$32)</f>
        <v>1</v>
      </c>
    </row>
    <row r="33" spans="1:6" s="647" customFormat="1" ht="18" customHeight="1">
      <c r="A33" s="648"/>
      <c r="B33" s="649"/>
      <c r="C33" s="650"/>
      <c r="E33" s="20"/>
      <c r="F33" s="20"/>
    </row>
    <row r="34" spans="1:6" s="647" customFormat="1" ht="18" customHeight="1">
      <c r="B34" s="1287" t="str">
        <f ca="1">IF('Current Asset Invest.'!I26-tesoreriasec+Funding!D49&lt;-0.5,TEXT(tesoreriasec-'Current Asset Invest.'!I26-Funding!D49,"#.##0 €")&amp;" de déficit de Financiación","")</f>
        <v/>
      </c>
      <c r="E34" s="20"/>
      <c r="F34" s="20"/>
    </row>
    <row r="35" spans="1:6" ht="18" customHeight="1">
      <c r="B35" s="1287" t="str">
        <f ca="1">IF(B34&lt;&gt;"","Increase initial funding","")</f>
        <v/>
      </c>
    </row>
    <row r="36" spans="1:6" ht="18" customHeight="1">
      <c r="B36" s="1566">
        <f ca="1">D32-('Current Asset Invest.'!I28+Amortizations!B19-Amortizations!C19+'Initial Expenses'!B26)</f>
        <v>0</v>
      </c>
    </row>
    <row r="37" spans="1:6" ht="18">
      <c r="B37" s="1299" t="str">
        <f ca="1">IF(ABS(B36)&gt;0.4," DESCUADRE EN BALANCE INICIAL","")</f>
        <v/>
      </c>
    </row>
    <row r="38" spans="1:6" ht="18" customHeight="1">
      <c r="B38" s="1300" t="str">
        <f ca="1">IF(B37&lt;&gt;"",'Balance Sheet Statements (EU)'!D24-'Balance Sheet Statements (EU)'!D46,"")</f>
        <v/>
      </c>
    </row>
  </sheetData>
  <sheetProtection sheet="1" objects="1" scenarios="1"/>
  <phoneticPr fontId="7" type="noConversion"/>
  <printOptions horizontalCentered="1"/>
  <pageMargins left="0.78740157480314965" right="0.78740157480314965" top="0.85" bottom="0.92" header="0.37" footer="0.51181102362204722"/>
  <pageSetup paperSize="9" scale="63" orientation="landscape" horizontalDpi="4294967292" verticalDpi="300" r:id="rId1"/>
  <headerFooter alignWithMargins="0">
    <oddFooter>&amp;C&amp;"Tahoma,Normal"&amp;10&amp;A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56">
    <tabColor indexed="42"/>
    <pageSetUpPr fitToPage="1"/>
  </sheetPr>
  <dimension ref="A1:N63"/>
  <sheetViews>
    <sheetView showGridLines="0" zoomScale="75" zoomScaleNormal="75" workbookViewId="0">
      <pane xSplit="1" topLeftCell="B1" activePane="topRight" state="frozenSplit"/>
      <selection activeCell="C28" sqref="C28"/>
      <selection pane="topRight" activeCell="C28" sqref="C28"/>
    </sheetView>
  </sheetViews>
  <sheetFormatPr baseColWidth="10" defaultColWidth="11" defaultRowHeight="15"/>
  <cols>
    <col min="1" max="1" width="27.125" style="159" customWidth="1"/>
    <col min="2" max="7" width="14.375" style="159" customWidth="1"/>
    <col min="8" max="8" width="11.75" style="159" customWidth="1"/>
    <col min="9" max="9" width="11.875" style="159" customWidth="1"/>
    <col min="10" max="13" width="14.625" style="159" bestFit="1" customWidth="1"/>
    <col min="14" max="14" width="12.875" style="159" customWidth="1"/>
    <col min="15" max="16384" width="11" style="159"/>
  </cols>
  <sheetData>
    <row r="1" spans="1:10" ht="25.5">
      <c r="A1" s="162" t="s">
        <v>496</v>
      </c>
      <c r="E1" s="163"/>
      <c r="F1" s="164"/>
    </row>
    <row r="2" spans="1:10" ht="25.5">
      <c r="A2" s="162" t="str">
        <f>'Base Data'!B9</f>
        <v>WWW, Ltd.</v>
      </c>
      <c r="F2" s="162"/>
    </row>
    <row r="3" spans="1:10" ht="19.5" customHeight="1" thickBot="1">
      <c r="D3" s="160"/>
    </row>
    <row r="4" spans="1:10" s="3" customFormat="1" ht="36" customHeight="1" thickBot="1">
      <c r="A4" s="852" t="s">
        <v>468</v>
      </c>
      <c r="B4" s="858" t="str">
        <f t="array" ref="B4:H4">Funding!B30:H30</f>
        <v>Previous
(Initial Balance)</v>
      </c>
      <c r="C4" s="858" t="str">
        <v>Loan nº 1  Year 0:   2026</v>
      </c>
      <c r="D4" s="858" t="str">
        <v>Loan nº 1  Year 0:   2026</v>
      </c>
      <c r="E4" s="858" t="str">
        <v>Year 1:   2027</v>
      </c>
      <c r="F4" s="859" t="str">
        <v>Year 2:   2028</v>
      </c>
      <c r="G4" s="859" t="str">
        <v>Year 3:   2029</v>
      </c>
      <c r="H4" s="859" t="str">
        <v>Year 4:   2030</v>
      </c>
      <c r="J4" s="2811" t="s">
        <v>1100</v>
      </c>
    </row>
    <row r="5" spans="1:10" s="3" customFormat="1" ht="24.75" customHeight="1">
      <c r="A5" s="854" t="s">
        <v>469</v>
      </c>
      <c r="B5" s="853">
        <f t="array" ref="B5:H10">Funding!B31:H36</f>
        <v>0</v>
      </c>
      <c r="C5" s="853">
        <v>0</v>
      </c>
      <c r="D5" s="853">
        <v>0</v>
      </c>
      <c r="E5" s="853">
        <v>0</v>
      </c>
      <c r="F5" s="853">
        <v>0</v>
      </c>
      <c r="G5" s="853">
        <v>0</v>
      </c>
      <c r="H5" s="853">
        <v>0</v>
      </c>
      <c r="J5" s="176">
        <f>-IFERROR(CUMPRINC(B6/B9,B8,B5,B17,B17-1+B9,0),0)</f>
        <v>0</v>
      </c>
    </row>
    <row r="6" spans="1:10" ht="18" customHeight="1">
      <c r="A6" s="1280" t="s">
        <v>470</v>
      </c>
      <c r="B6" s="850">
        <v>0.08</v>
      </c>
      <c r="C6" s="850">
        <v>7.0000000000000007E-2</v>
      </c>
      <c r="D6" s="850">
        <v>4.4999999999999998E-2</v>
      </c>
      <c r="E6" s="850">
        <v>4.4999999999999998E-2</v>
      </c>
      <c r="F6" s="850">
        <v>0.05</v>
      </c>
      <c r="G6" s="850">
        <v>0.05</v>
      </c>
      <c r="H6" s="850">
        <v>0.05</v>
      </c>
    </row>
    <row r="7" spans="1:10" ht="18" customHeight="1">
      <c r="A7" s="1280" t="s">
        <v>471</v>
      </c>
      <c r="B7" s="850">
        <v>0</v>
      </c>
      <c r="C7" s="850">
        <v>5.0000000000000001E-3</v>
      </c>
      <c r="D7" s="850">
        <v>5.0000000000000001E-3</v>
      </c>
      <c r="E7" s="850">
        <v>5.0000000000000001E-3</v>
      </c>
      <c r="F7" s="850">
        <v>5.0000000000000001E-3</v>
      </c>
      <c r="G7" s="850">
        <v>5.0000000000000001E-3</v>
      </c>
      <c r="H7" s="850">
        <v>5.0000000000000001E-3</v>
      </c>
    </row>
    <row r="8" spans="1:10" ht="18" customHeight="1">
      <c r="A8" s="1280" t="s">
        <v>472</v>
      </c>
      <c r="B8" s="851">
        <v>78</v>
      </c>
      <c r="C8" s="851">
        <v>84</v>
      </c>
      <c r="D8" s="851">
        <v>20</v>
      </c>
      <c r="E8" s="851">
        <v>120</v>
      </c>
      <c r="F8" s="851">
        <v>120</v>
      </c>
      <c r="G8" s="851">
        <v>120</v>
      </c>
      <c r="H8" s="851">
        <v>120</v>
      </c>
    </row>
    <row r="9" spans="1:10" ht="18" customHeight="1">
      <c r="A9" s="1280" t="s">
        <v>455</v>
      </c>
      <c r="B9" s="851">
        <v>4</v>
      </c>
      <c r="C9" s="851">
        <v>12</v>
      </c>
      <c r="D9" s="851">
        <v>12</v>
      </c>
      <c r="E9" s="851">
        <v>12</v>
      </c>
      <c r="F9" s="851">
        <v>12</v>
      </c>
      <c r="G9" s="851">
        <v>12</v>
      </c>
      <c r="H9" s="851">
        <v>12</v>
      </c>
    </row>
    <row r="10" spans="1:10" ht="19.5" customHeight="1" thickBot="1">
      <c r="A10" s="1279" t="s">
        <v>477</v>
      </c>
      <c r="B10" s="2378">
        <v>0</v>
      </c>
      <c r="C10" s="2378">
        <v>0</v>
      </c>
      <c r="D10" s="2378">
        <v>0</v>
      </c>
      <c r="E10" s="2378">
        <v>0</v>
      </c>
      <c r="F10" s="2378">
        <v>0</v>
      </c>
      <c r="G10" s="2378">
        <v>0</v>
      </c>
      <c r="H10" s="2378">
        <v>0</v>
      </c>
    </row>
    <row r="11" spans="1:10" ht="19.5" customHeight="1" thickBot="1">
      <c r="F11" s="160"/>
    </row>
    <row r="12" spans="1:10" ht="19.5" customHeight="1" thickBot="1">
      <c r="A12" s="856" t="s">
        <v>473</v>
      </c>
      <c r="B12" s="855">
        <f t="array" ref="B12:H12">IF(ISERR(PMT(B$6:H6/B$9:H9,B$8:H8,-B$5:H5)),0,PMT(B$6:H6/B$9:H9,B$8:H8,-B$5:H5))</f>
        <v>0</v>
      </c>
      <c r="C12" s="855">
        <v>0</v>
      </c>
      <c r="D12" s="855">
        <v>0</v>
      </c>
      <c r="E12" s="855">
        <v>0</v>
      </c>
      <c r="F12" s="855">
        <v>0</v>
      </c>
      <c r="G12" s="855">
        <v>0</v>
      </c>
      <c r="H12" s="855">
        <v>0</v>
      </c>
    </row>
    <row r="13" spans="1:10" ht="19.5" customHeight="1" thickBot="1">
      <c r="D13" s="160"/>
      <c r="G13" s="160"/>
    </row>
    <row r="14" spans="1:10" ht="19.5" customHeight="1" thickBot="1">
      <c r="A14" s="1281" t="s">
        <v>474</v>
      </c>
      <c r="B14" s="857">
        <f t="array" ref="B14:H14">B10:H10*12/B9:H9</f>
        <v>0</v>
      </c>
      <c r="C14" s="857">
        <v>0</v>
      </c>
      <c r="D14" s="857">
        <v>0</v>
      </c>
      <c r="E14" s="857">
        <v>0</v>
      </c>
      <c r="F14" s="857">
        <v>0</v>
      </c>
      <c r="G14" s="857">
        <v>0</v>
      </c>
      <c r="H14" s="857">
        <v>0</v>
      </c>
    </row>
    <row r="15" spans="1:10" ht="19.5" customHeight="1" thickBot="1">
      <c r="A15" s="1281" t="s">
        <v>476</v>
      </c>
      <c r="B15" s="857">
        <f t="array" ref="B15:H15">B8:H8*12/B9:H9</f>
        <v>234</v>
      </c>
      <c r="C15" s="857">
        <v>84</v>
      </c>
      <c r="D15" s="857">
        <v>20</v>
      </c>
      <c r="E15" s="857">
        <v>120</v>
      </c>
      <c r="F15" s="857">
        <v>120</v>
      </c>
      <c r="G15" s="857">
        <v>120</v>
      </c>
      <c r="H15" s="857">
        <v>120</v>
      </c>
    </row>
    <row r="16" spans="1:10" ht="19.5" customHeight="1" thickBot="1">
      <c r="A16" s="1281" t="s">
        <v>475</v>
      </c>
      <c r="B16" s="857">
        <f>mes0</f>
        <v>1</v>
      </c>
      <c r="C16" s="857">
        <f>mes0</f>
        <v>1</v>
      </c>
      <c r="D16" s="857">
        <f>mes0</f>
        <v>1</v>
      </c>
      <c r="E16" s="857">
        <v>13</v>
      </c>
      <c r="F16" s="857">
        <v>25</v>
      </c>
      <c r="G16" s="857">
        <v>37</v>
      </c>
      <c r="H16" s="857">
        <v>49</v>
      </c>
    </row>
    <row r="17" spans="1:14" ht="19.5" customHeight="1" thickBot="1">
      <c r="A17" s="1281" t="s">
        <v>486</v>
      </c>
      <c r="B17" s="857">
        <f>mes0+B14</f>
        <v>1</v>
      </c>
      <c r="C17" s="857">
        <f>mes0+C14</f>
        <v>1</v>
      </c>
      <c r="D17" s="857">
        <f>mes0+D14</f>
        <v>1</v>
      </c>
      <c r="E17" s="857">
        <f t="array" ref="E17:H17">E16:H16+E14:H14</f>
        <v>13</v>
      </c>
      <c r="F17" s="857">
        <v>25</v>
      </c>
      <c r="G17" s="857">
        <v>37</v>
      </c>
      <c r="H17" s="857">
        <v>49</v>
      </c>
    </row>
    <row r="18" spans="1:14" ht="19.5" customHeight="1" thickBot="1">
      <c r="A18" s="1281" t="s">
        <v>487</v>
      </c>
      <c r="B18" s="857">
        <f t="array" ref="B18:H18">B17:H17+B15:H15-1</f>
        <v>234</v>
      </c>
      <c r="C18" s="857">
        <v>84</v>
      </c>
      <c r="D18" s="857">
        <v>20</v>
      </c>
      <c r="E18" s="857">
        <v>132</v>
      </c>
      <c r="F18" s="857">
        <v>144</v>
      </c>
      <c r="G18" s="857">
        <v>156</v>
      </c>
      <c r="H18" s="857">
        <v>168</v>
      </c>
    </row>
    <row r="19" spans="1:14" ht="19.5" customHeight="1">
      <c r="C19" s="160"/>
      <c r="F19" s="160"/>
    </row>
    <row r="20" spans="1:14" ht="19.5" customHeight="1" thickBot="1">
      <c r="A20" s="2377" t="str">
        <f>Parameters!$B$77</f>
        <v>Year 0:   2026</v>
      </c>
      <c r="B20" s="161"/>
      <c r="C20" s="160"/>
      <c r="D20" s="160"/>
      <c r="E20" s="160"/>
      <c r="F20" s="160"/>
      <c r="G20" s="160"/>
    </row>
    <row r="21" spans="1:14" s="3" customFormat="1" ht="19.5" customHeight="1" thickBot="1">
      <c r="A21" s="165" t="s">
        <v>488</v>
      </c>
      <c r="B21" s="166">
        <v>1</v>
      </c>
      <c r="C21" s="167">
        <v>2</v>
      </c>
      <c r="D21" s="167">
        <v>3</v>
      </c>
      <c r="E21" s="167">
        <v>4</v>
      </c>
      <c r="F21" s="167">
        <v>5</v>
      </c>
      <c r="G21" s="167">
        <v>6</v>
      </c>
      <c r="H21" s="167">
        <v>7</v>
      </c>
      <c r="I21" s="167">
        <v>8</v>
      </c>
      <c r="J21" s="167">
        <v>9</v>
      </c>
      <c r="K21" s="167">
        <v>10</v>
      </c>
      <c r="L21" s="167">
        <v>11</v>
      </c>
      <c r="M21" s="168">
        <v>12</v>
      </c>
      <c r="N21" s="169" t="s">
        <v>0</v>
      </c>
    </row>
    <row r="22" spans="1:14" s="3" customFormat="1" ht="19.5" customHeight="1">
      <c r="A22" s="170" t="s">
        <v>443</v>
      </c>
      <c r="B22" s="171">
        <f t="array" ref="B22:M22">B23:M23+B24:M24</f>
        <v>0</v>
      </c>
      <c r="C22" s="172">
        <v>0</v>
      </c>
      <c r="D22" s="172">
        <v>0</v>
      </c>
      <c r="E22" s="172">
        <v>0</v>
      </c>
      <c r="F22" s="172">
        <v>0</v>
      </c>
      <c r="G22" s="172">
        <v>0</v>
      </c>
      <c r="H22" s="172">
        <v>0</v>
      </c>
      <c r="I22" s="172">
        <v>0</v>
      </c>
      <c r="J22" s="172">
        <v>0</v>
      </c>
      <c r="K22" s="172">
        <v>0</v>
      </c>
      <c r="L22" s="172">
        <v>0</v>
      </c>
      <c r="M22" s="173">
        <v>0</v>
      </c>
      <c r="N22" s="174">
        <f>SUM(B22:M22)</f>
        <v>0</v>
      </c>
    </row>
    <row r="23" spans="1:14" s="3" customFormat="1" ht="19.5" customHeight="1">
      <c r="A23" s="175" t="s">
        <v>489</v>
      </c>
      <c r="B23" s="860">
        <f t="array" ref="B23:M23">IF(B21:M21=$B$16,$B$5*$B$7,0)+IF(B21:M21=$C$16,$C$5*$C$7,0)+IF(B21:M21=$D$16,$D$5*$D$7,0)
+IF(MOD((B21:M21-$B$16)*$B$9,12),0,IF(B21:M21&lt;$B$16,0,IF(B21:M21&lt;$B$17,$B$5*$B$6/$B$9,IF(B21:M21&lt;=$B$18,IPMT($B$6/$B$9,(B21:M21-$B$16)*$B$9/12-$B$10+1,$B$8,-$B$5),0))))
+IF(MOD((B21:M21-$C$16)*$C$9,12),0,IF(B21:M21&lt;$C$16,0,IF(B21:M21&lt;$C$17,$C$5*$C$6/$C$9,IF(B21:M21&lt;=$C$18,IPMT($C$6/$C$9,(B21:M21-$C$16)*$C$9/12-$C$10+1,$C$8,-$C$5),0))))
+IF(MOD((B21:M21-$D$16)*$D$9,12),0,IF(B21:M21&lt;$D$16,0,IF(B21:M21&lt;$D$17,$D$5*$D$6/$D$9,IF(B21:M21&lt;=$D$18,IPMT($D$6/$D$9,(B21:M21-$D$16)*$D$9/12-$D$10+1,$D$8,-$D$5),0))))</f>
        <v>0</v>
      </c>
      <c r="C23" s="176">
        <v>0</v>
      </c>
      <c r="D23" s="176">
        <v>0</v>
      </c>
      <c r="E23" s="176">
        <v>0</v>
      </c>
      <c r="F23" s="176">
        <v>0</v>
      </c>
      <c r="G23" s="176">
        <v>0</v>
      </c>
      <c r="H23" s="176">
        <v>0</v>
      </c>
      <c r="I23" s="176">
        <v>0</v>
      </c>
      <c r="J23" s="176">
        <v>0</v>
      </c>
      <c r="K23" s="176">
        <v>0</v>
      </c>
      <c r="L23" s="176">
        <v>0</v>
      </c>
      <c r="M23" s="177">
        <v>0</v>
      </c>
      <c r="N23" s="178">
        <f>SUM(B23:M23)</f>
        <v>0</v>
      </c>
    </row>
    <row r="24" spans="1:14" s="3" customFormat="1" ht="19.5" customHeight="1" thickBot="1">
      <c r="A24" s="180" t="s">
        <v>490</v>
      </c>
      <c r="B24" s="861">
        <f t="shared" ref="B24:M24" si="0">IF(AND(B21&gt;=$B$17,B21&lt;=$B$18,MOD((B21-$B$16)*$B$9,12)=0),PPMT($B$6/$B$9,(B21-$B$16)*$B$9/12-$B$10+1,$B$8,-$B$5),0)
+IF(AND(B21&gt;=$C$17,B21&lt;=$C$18,MOD((B21-$C$16)*$C$9,12)=0),PPMT($C$6/$C$9,(B21-$C$16)*$C$9/12-$C$10+1,$C$8,-$C$5),0)
+IF(AND(B21&gt;=$D$17,B21&lt;=$D$18,MOD((B21-$D$16)*$D$9,12)=0),PPMT($D$6/$D$9,(B21-$D$16)*$D$9/12-$D$10+1,$D$8,-$D$5),0)</f>
        <v>0</v>
      </c>
      <c r="C24" s="862">
        <f t="shared" si="0"/>
        <v>0</v>
      </c>
      <c r="D24" s="862">
        <f t="shared" si="0"/>
        <v>0</v>
      </c>
      <c r="E24" s="862">
        <f t="shared" si="0"/>
        <v>0</v>
      </c>
      <c r="F24" s="862">
        <f t="shared" si="0"/>
        <v>0</v>
      </c>
      <c r="G24" s="862">
        <f t="shared" si="0"/>
        <v>0</v>
      </c>
      <c r="H24" s="862">
        <f t="shared" si="0"/>
        <v>0</v>
      </c>
      <c r="I24" s="862">
        <f t="shared" si="0"/>
        <v>0</v>
      </c>
      <c r="J24" s="862">
        <f t="shared" si="0"/>
        <v>0</v>
      </c>
      <c r="K24" s="862">
        <f t="shared" si="0"/>
        <v>0</v>
      </c>
      <c r="L24" s="862">
        <f t="shared" si="0"/>
        <v>0</v>
      </c>
      <c r="M24" s="863">
        <f t="shared" si="0"/>
        <v>0</v>
      </c>
      <c r="N24" s="179">
        <f>SUM(B24:M24)</f>
        <v>0</v>
      </c>
    </row>
    <row r="25" spans="1:14" ht="19.5" customHeight="1">
      <c r="A25" s="24"/>
    </row>
    <row r="26" spans="1:14" ht="19.5" customHeight="1">
      <c r="C26" s="160"/>
    </row>
    <row r="27" spans="1:14" ht="19.5" customHeight="1" thickBot="1">
      <c r="A27" s="2377" t="str">
        <f>Parameters!$C$77</f>
        <v>Year 1:   2027</v>
      </c>
      <c r="B27" s="161"/>
      <c r="C27" s="160"/>
    </row>
    <row r="28" spans="1:14" s="3" customFormat="1" ht="19.5" customHeight="1" thickBot="1">
      <c r="A28" s="165" t="str">
        <f t="array" ref="A28:A30">A21:A23</f>
        <v>Months</v>
      </c>
      <c r="B28" s="166">
        <v>13</v>
      </c>
      <c r="C28" s="167">
        <v>14</v>
      </c>
      <c r="D28" s="167">
        <v>15</v>
      </c>
      <c r="E28" s="167">
        <v>16</v>
      </c>
      <c r="F28" s="167">
        <v>17</v>
      </c>
      <c r="G28" s="167">
        <v>18</v>
      </c>
      <c r="H28" s="167">
        <v>19</v>
      </c>
      <c r="I28" s="167">
        <v>20</v>
      </c>
      <c r="J28" s="167">
        <v>21</v>
      </c>
      <c r="K28" s="167">
        <v>22</v>
      </c>
      <c r="L28" s="167">
        <v>23</v>
      </c>
      <c r="M28" s="168">
        <v>24</v>
      </c>
      <c r="N28" s="169" t="s">
        <v>0</v>
      </c>
    </row>
    <row r="29" spans="1:14" s="3" customFormat="1" ht="19.5" customHeight="1">
      <c r="A29" s="170" t="str">
        <v>Payments</v>
      </c>
      <c r="B29" s="171">
        <f t="array" ref="B29:M29">B30:M30+B32:M32</f>
        <v>0</v>
      </c>
      <c r="C29" s="172">
        <v>0</v>
      </c>
      <c r="D29" s="172">
        <v>0</v>
      </c>
      <c r="E29" s="172">
        <v>0</v>
      </c>
      <c r="F29" s="172">
        <v>0</v>
      </c>
      <c r="G29" s="172">
        <v>0</v>
      </c>
      <c r="H29" s="172">
        <v>0</v>
      </c>
      <c r="I29" s="172">
        <v>0</v>
      </c>
      <c r="J29" s="172">
        <v>0</v>
      </c>
      <c r="K29" s="172">
        <v>0</v>
      </c>
      <c r="L29" s="172">
        <v>0</v>
      </c>
      <c r="M29" s="173">
        <v>0</v>
      </c>
      <c r="N29" s="174">
        <f>SUM(B29:M29)</f>
        <v>0</v>
      </c>
    </row>
    <row r="30" spans="1:14" s="3" customFormat="1" ht="19.5" customHeight="1">
      <c r="A30" s="175" t="str">
        <v>Interests</v>
      </c>
      <c r="B30" s="860">
        <f t="array" ref="B30:M30">IF(B28:M28=$E$16,$E$7*$E$5,0)
+IF(MOD((B28:M28-$B$16)*$B$9,12),0,IF(B28:M28&lt;$B$16,0,IF(B28:M28&lt;$B$17,$B$5*$B$6/$B$9,IF(B28:M28&lt;=$B$18,IPMT($B$6/$B$9,(B28:M28-$B$16)*$B$9/12-$B$10+1,$B$8,-$B$5),0))))
+IF(MOD((B28:M28-$C$16)*$C$9,12),0,IF(B28:M28&lt;$C$16,0,IF(B28:M28&lt;$C$17,$C$5*$C$6/$C$9,IF(B28:M28&lt;=$C$18,IPMT($C$6/$C$9,(B28:M28-$C$16)*$C$9/12-$C$10+1,$C$8,-$C$5),0))))
+IF(MOD((B28:M28-$D$16)*$D$9,12),0,IF(B28:M28&lt;$D$16,0,IF(B28:M28&lt;$D$17,$D$5*$D$6/$D$9,IF(B28:M28&lt;=$D$18,IPMT($D$6/$D$9,(B28:M28-$D$16)*$D$9/12-$D$10+1,$D$8,-$D$5),0))))
+IF(MOD((B28:M28-$E$16)*$E$9,12),0,IF(B28:M28&lt;$E$17,$E$5*$E$6/$E$9,IF(B28:M28&lt;=$E$18,IPMT($E$6/$E$9,(B28:M28-$E$16)*$E$9/12-$E$10+1,$E$8,-$E$5),0)))</f>
        <v>0</v>
      </c>
      <c r="C30" s="176">
        <v>0</v>
      </c>
      <c r="D30" s="176">
        <v>0</v>
      </c>
      <c r="E30" s="176">
        <v>0</v>
      </c>
      <c r="F30" s="176">
        <v>0</v>
      </c>
      <c r="G30" s="176">
        <v>0</v>
      </c>
      <c r="H30" s="176">
        <v>0</v>
      </c>
      <c r="I30" s="176">
        <v>0</v>
      </c>
      <c r="J30" s="176">
        <v>0</v>
      </c>
      <c r="K30" s="176">
        <v>0</v>
      </c>
      <c r="L30" s="176">
        <v>0</v>
      </c>
      <c r="M30" s="177">
        <v>0</v>
      </c>
      <c r="N30" s="178">
        <f>SUM(B30:M30)</f>
        <v>0</v>
      </c>
    </row>
    <row r="31" spans="1:14" s="3" customFormat="1" ht="19.5" customHeight="1">
      <c r="A31" s="1956" t="s">
        <v>491</v>
      </c>
      <c r="B31" s="1957">
        <f t="shared" ref="B31:M31" si="1">+IF(AND(B28&gt;=$E$17,B28&lt;=$E$18,MOD((B28-$E$16)*$E$9,12)=0),PPMT($E$6/$E$9,(B28-$E$16)*$E$9/12-$E$10+1,$E$8,-$E$5),0)</f>
        <v>0</v>
      </c>
      <c r="C31" s="1958">
        <f t="shared" si="1"/>
        <v>0</v>
      </c>
      <c r="D31" s="1958">
        <f t="shared" si="1"/>
        <v>0</v>
      </c>
      <c r="E31" s="1958">
        <f t="shared" si="1"/>
        <v>0</v>
      </c>
      <c r="F31" s="1958">
        <f t="shared" si="1"/>
        <v>0</v>
      </c>
      <c r="G31" s="1958">
        <f t="shared" si="1"/>
        <v>0</v>
      </c>
      <c r="H31" s="1958">
        <f t="shared" si="1"/>
        <v>0</v>
      </c>
      <c r="I31" s="1958">
        <f t="shared" si="1"/>
        <v>0</v>
      </c>
      <c r="J31" s="1958">
        <f t="shared" si="1"/>
        <v>0</v>
      </c>
      <c r="K31" s="1958">
        <f t="shared" si="1"/>
        <v>0</v>
      </c>
      <c r="L31" s="1958">
        <f t="shared" si="1"/>
        <v>0</v>
      </c>
      <c r="M31" s="1959">
        <f t="shared" si="1"/>
        <v>0</v>
      </c>
      <c r="N31" s="178">
        <f>SUM(B31:M31)</f>
        <v>0</v>
      </c>
    </row>
    <row r="32" spans="1:14" s="3" customFormat="1" ht="19.5" customHeight="1" thickBot="1">
      <c r="A32" s="180" t="str">
        <f>A24</f>
        <v>Amortizations</v>
      </c>
      <c r="B32" s="861">
        <f t="shared" ref="B32:M32" si="2">IF(AND(B28&gt;=$B$17,B28&lt;=$B$18,MOD((B28-$B$16)*$B$9,12)=0),PPMT($B$6/$B$9,(B28-$B$16)*$B$9/12-$B$10+1,$B$8,-$B$5),0)
+IF(AND(B28&gt;=$C$17,B28&lt;=$C$18,MOD((B28-$C$16)*$C$9,12)=0),PPMT($C$6/$C$9,(B28-$C$16)*$C$9/12-$C$10+1,$C$8,-$C$5),0)
+IF(AND(B28&gt;=$D$17,B28&lt;=$D$18,MOD((B28-$D$16)*$D$9,12)=0),PPMT($D$6/$D$9,(B28-$D$16)*$D$9/12-$D$10+1,$D$8,-$D$5),0)
+IF(AND(B28&gt;=$E$17,B28&lt;=$E$18,MOD((B28-$E$16)*$E$9,12)=0),PPMT($E$6/$E$9,(B28-$E$16)*$E$9/12-$E$10+1,$E$8,-$E$5),0)</f>
        <v>0</v>
      </c>
      <c r="C32" s="862">
        <f t="shared" si="2"/>
        <v>0</v>
      </c>
      <c r="D32" s="862">
        <f t="shared" si="2"/>
        <v>0</v>
      </c>
      <c r="E32" s="862">
        <f t="shared" si="2"/>
        <v>0</v>
      </c>
      <c r="F32" s="862">
        <f t="shared" si="2"/>
        <v>0</v>
      </c>
      <c r="G32" s="862">
        <f t="shared" si="2"/>
        <v>0</v>
      </c>
      <c r="H32" s="862">
        <f t="shared" si="2"/>
        <v>0</v>
      </c>
      <c r="I32" s="862">
        <f t="shared" si="2"/>
        <v>0</v>
      </c>
      <c r="J32" s="862">
        <f t="shared" si="2"/>
        <v>0</v>
      </c>
      <c r="K32" s="862">
        <f t="shared" si="2"/>
        <v>0</v>
      </c>
      <c r="L32" s="862">
        <f t="shared" si="2"/>
        <v>0</v>
      </c>
      <c r="M32" s="863">
        <f t="shared" si="2"/>
        <v>0</v>
      </c>
      <c r="N32" s="179">
        <f>SUM(B32:M32)</f>
        <v>0</v>
      </c>
    </row>
    <row r="35" spans="1:14" ht="18.75" thickBot="1">
      <c r="A35" s="2377" t="str">
        <f>Parameters!$D$77</f>
        <v>Year 2:   2028</v>
      </c>
      <c r="B35" s="161"/>
    </row>
    <row r="36" spans="1:14" s="3" customFormat="1" ht="19.5" customHeight="1" thickBot="1">
      <c r="A36" s="165" t="str">
        <f t="array" ref="A36:A40">A$28:A$32</f>
        <v>Months</v>
      </c>
      <c r="B36" s="166">
        <v>25</v>
      </c>
      <c r="C36" s="167">
        <v>26</v>
      </c>
      <c r="D36" s="167">
        <v>27</v>
      </c>
      <c r="E36" s="167">
        <v>28</v>
      </c>
      <c r="F36" s="167">
        <v>29</v>
      </c>
      <c r="G36" s="167">
        <v>30</v>
      </c>
      <c r="H36" s="167">
        <v>31</v>
      </c>
      <c r="I36" s="167">
        <v>32</v>
      </c>
      <c r="J36" s="167">
        <v>33</v>
      </c>
      <c r="K36" s="167">
        <v>34</v>
      </c>
      <c r="L36" s="167">
        <v>35</v>
      </c>
      <c r="M36" s="168">
        <v>36</v>
      </c>
      <c r="N36" s="169" t="s">
        <v>0</v>
      </c>
    </row>
    <row r="37" spans="1:14" s="3" customFormat="1" ht="19.5" customHeight="1">
      <c r="A37" s="170" t="str">
        <v>Payments</v>
      </c>
      <c r="B37" s="171">
        <f t="array" ref="B37:M37">B38:M38+B40:M40</f>
        <v>0</v>
      </c>
      <c r="C37" s="172">
        <v>0</v>
      </c>
      <c r="D37" s="172">
        <v>0</v>
      </c>
      <c r="E37" s="172">
        <v>0</v>
      </c>
      <c r="F37" s="172">
        <v>0</v>
      </c>
      <c r="G37" s="172">
        <v>0</v>
      </c>
      <c r="H37" s="172">
        <v>0</v>
      </c>
      <c r="I37" s="172">
        <v>0</v>
      </c>
      <c r="J37" s="172">
        <v>0</v>
      </c>
      <c r="K37" s="172">
        <v>0</v>
      </c>
      <c r="L37" s="172">
        <v>0</v>
      </c>
      <c r="M37" s="173">
        <v>0</v>
      </c>
      <c r="N37" s="174">
        <f>SUM(B37:M37)</f>
        <v>0</v>
      </c>
    </row>
    <row r="38" spans="1:14" s="3" customFormat="1" ht="19.5" customHeight="1">
      <c r="A38" s="175" t="str">
        <v>Interests</v>
      </c>
      <c r="B38" s="860">
        <f t="array" ref="B38:M38">IF(B36:M36=$F$16,$F$7*$F$5,0)
+IF(MOD((B36:M36-$B$16)*$B$9,12),0,IF(B36:M36&lt;$B$17,$B$5*$B$6/$B$9,IF(B36:M36&lt;=$B$18,IPMT($B$6/$B$9,(B36:M36-$B$16)*$B$9/12-$B$10+1,$B$8,-$B$5),0)))
+IF(MOD((B36:M36-$C$16)*$C$9,12),0,IF(B36:M36&lt;$C$17,$C$5*$C$6/$C$9,IF(B36:M36&lt;=$C$18,IPMT($C$6/$C$9,(B36:M36-$C$16)*$C$9/12-$C$10+1,$C$8,-$C$5),0)))
+IF(MOD((B36:M36-$D$16)*$D$9,12),0,IF(B36:M36&lt;$D$17,$D$5*$D$6/$D$9,IF(B36:M36&lt;=$D$18,IPMT($D$6/$D$9,(B36:M36-$D$16)*$D$9/12-$D$10+1,$D$8,-$D$5),0)))
+IF(MOD((B36:M36-$E$16)*$E$9,12),0,IF(B36:M36&lt;$E$17,$E$5*$E$6/$E$9,IF(B36:M36&lt;=$E$18,IPMT($E$6/$E$9,(B36:M36-$E$16)*$E$9/12-$E$10+1,$E$8,-$E$5),0)))
+IF(MOD((B36:M36-$F$16)*$F$9,12),0,IF(B36:M36&lt;$F$17,$F$5*$F$6/$F$9,IF(B36:M36&lt;$F$18,IPMT($F$6/$F$9,(B36:M36-$F$16)*$F$9/12-$F$10+1,$F$8,-$F$5),0)))</f>
        <v>0</v>
      </c>
      <c r="C38" s="176">
        <v>0</v>
      </c>
      <c r="D38" s="176">
        <v>0</v>
      </c>
      <c r="E38" s="176">
        <v>0</v>
      </c>
      <c r="F38" s="176">
        <v>0</v>
      </c>
      <c r="G38" s="176">
        <v>0</v>
      </c>
      <c r="H38" s="176">
        <v>0</v>
      </c>
      <c r="I38" s="176">
        <v>0</v>
      </c>
      <c r="J38" s="176">
        <v>0</v>
      </c>
      <c r="K38" s="176">
        <v>0</v>
      </c>
      <c r="L38" s="176">
        <v>0</v>
      </c>
      <c r="M38" s="177">
        <v>0</v>
      </c>
      <c r="N38" s="178">
        <f>SUM(B38:M38)</f>
        <v>0</v>
      </c>
    </row>
    <row r="39" spans="1:14" s="3" customFormat="1" ht="19.5" customHeight="1">
      <c r="A39" s="1956" t="str">
        <v>New loan amortization</v>
      </c>
      <c r="B39" s="1957">
        <f t="shared" ref="B39:M39" si="3">+IF(AND(B36&gt;=$F$17,B36&lt;=$F$18,MOD((B36-$F$16)*$F$9,12)=0),PPMT($F$6/$F$9,(B36-$F$16)*$F$9/12-$F$10+1,$F$8,-$F$5),0)</f>
        <v>0</v>
      </c>
      <c r="C39" s="1958">
        <f t="shared" si="3"/>
        <v>0</v>
      </c>
      <c r="D39" s="1958">
        <f t="shared" si="3"/>
        <v>0</v>
      </c>
      <c r="E39" s="1958">
        <f t="shared" si="3"/>
        <v>0</v>
      </c>
      <c r="F39" s="1958">
        <f t="shared" si="3"/>
        <v>0</v>
      </c>
      <c r="G39" s="1958">
        <f t="shared" si="3"/>
        <v>0</v>
      </c>
      <c r="H39" s="1958">
        <f t="shared" si="3"/>
        <v>0</v>
      </c>
      <c r="I39" s="1958">
        <f t="shared" si="3"/>
        <v>0</v>
      </c>
      <c r="J39" s="1958">
        <f t="shared" si="3"/>
        <v>0</v>
      </c>
      <c r="K39" s="1958">
        <f t="shared" si="3"/>
        <v>0</v>
      </c>
      <c r="L39" s="1958">
        <f t="shared" si="3"/>
        <v>0</v>
      </c>
      <c r="M39" s="1959">
        <f t="shared" si="3"/>
        <v>0</v>
      </c>
      <c r="N39" s="178">
        <f>SUM(B39:M39)</f>
        <v>0</v>
      </c>
    </row>
    <row r="40" spans="1:14" s="3" customFormat="1" ht="19.5" customHeight="1" thickBot="1">
      <c r="A40" s="180" t="str">
        <v>Amortizations</v>
      </c>
      <c r="B40" s="861">
        <f t="shared" ref="B40:M40" si="4">IF(AND(B36&gt;=$B$17,B36&lt;=$B$18,MOD((B36-$B$16)*$B$9,12)=0),PPMT($B$6/$B$9,(B36-$B$16)*$B$9/12-$B$10+1,$B$8,-$B$5),0)
+IF(AND(B36&gt;=$C$17,B36&lt;=$C$18,MOD((B36-$C$16)*$C$9,12)=0),PPMT($C$6/$C$9,(B36-$C$16)*$C$9/12-$C$10+1,$C$8,-$C$5),0)
+IF(AND(B36&gt;=$D$17,B36&lt;=$D$18,MOD((B36-$D$16)*$D$9,12)=0),PPMT($D$6/$D$9,(B36-$D$16)*$D$9/12-$D$10+1,$D$8,-$D$5),0)
+IF(AND(B36&gt;=$E$17,B36&lt;=$E$18,MOD((B36-$E$16)*$E$9,12)=0),PPMT($E$6/$E$9,(B36-$E$16)*$E$9/12-$E$10+1,$E$8,-$E$5),0)
+IF(AND(B36&gt;=$F$17,B36&lt;=$F$18,MOD((B36-$F$16)*$F$9,12)=0),PPMT($F$6/$F$9,(B36-$F$16)*$F$9/12-$F$10+1,$F$8,-$F$5),0)</f>
        <v>0</v>
      </c>
      <c r="C40" s="862">
        <f t="shared" si="4"/>
        <v>0</v>
      </c>
      <c r="D40" s="862">
        <f t="shared" si="4"/>
        <v>0</v>
      </c>
      <c r="E40" s="862">
        <f t="shared" si="4"/>
        <v>0</v>
      </c>
      <c r="F40" s="862">
        <f t="shared" si="4"/>
        <v>0</v>
      </c>
      <c r="G40" s="862">
        <f t="shared" si="4"/>
        <v>0</v>
      </c>
      <c r="H40" s="862">
        <f t="shared" si="4"/>
        <v>0</v>
      </c>
      <c r="I40" s="862">
        <f t="shared" si="4"/>
        <v>0</v>
      </c>
      <c r="J40" s="862">
        <f t="shared" si="4"/>
        <v>0</v>
      </c>
      <c r="K40" s="862">
        <f t="shared" si="4"/>
        <v>0</v>
      </c>
      <c r="L40" s="862">
        <f t="shared" si="4"/>
        <v>0</v>
      </c>
      <c r="M40" s="863">
        <f t="shared" si="4"/>
        <v>0</v>
      </c>
      <c r="N40" s="179">
        <f>SUM(B40:M40)</f>
        <v>0</v>
      </c>
    </row>
    <row r="43" spans="1:14" ht="18.75" thickBot="1">
      <c r="A43" s="2377" t="str">
        <f>Parameters!$E$77</f>
        <v>Year 3:   2029</v>
      </c>
      <c r="B43" s="161"/>
    </row>
    <row r="44" spans="1:14" s="3" customFormat="1" ht="19.5" customHeight="1" thickBot="1">
      <c r="A44" s="165" t="str">
        <f t="array" ref="A44:A48">A$28:A$32</f>
        <v>Months</v>
      </c>
      <c r="B44" s="166">
        <v>37</v>
      </c>
      <c r="C44" s="167">
        <v>38</v>
      </c>
      <c r="D44" s="167">
        <v>39</v>
      </c>
      <c r="E44" s="167">
        <v>40</v>
      </c>
      <c r="F44" s="167">
        <v>41</v>
      </c>
      <c r="G44" s="167">
        <v>42</v>
      </c>
      <c r="H44" s="167">
        <v>43</v>
      </c>
      <c r="I44" s="167">
        <v>44</v>
      </c>
      <c r="J44" s="167">
        <v>45</v>
      </c>
      <c r="K44" s="167">
        <v>46</v>
      </c>
      <c r="L44" s="167">
        <v>47</v>
      </c>
      <c r="M44" s="168">
        <v>48</v>
      </c>
      <c r="N44" s="169" t="s">
        <v>0</v>
      </c>
    </row>
    <row r="45" spans="1:14" s="3" customFormat="1" ht="19.5" customHeight="1">
      <c r="A45" s="170" t="str">
        <v>Payments</v>
      </c>
      <c r="B45" s="171">
        <f t="array" ref="B45:M45">B46:M46+B48:M48</f>
        <v>0</v>
      </c>
      <c r="C45" s="172">
        <v>0</v>
      </c>
      <c r="D45" s="172">
        <v>0</v>
      </c>
      <c r="E45" s="172">
        <v>0</v>
      </c>
      <c r="F45" s="172">
        <v>0</v>
      </c>
      <c r="G45" s="172">
        <v>0</v>
      </c>
      <c r="H45" s="172">
        <v>0</v>
      </c>
      <c r="I45" s="172">
        <v>0</v>
      </c>
      <c r="J45" s="172">
        <v>0</v>
      </c>
      <c r="K45" s="172">
        <v>0</v>
      </c>
      <c r="L45" s="172">
        <v>0</v>
      </c>
      <c r="M45" s="173">
        <v>0</v>
      </c>
      <c r="N45" s="174">
        <f>SUM(B45:M45)</f>
        <v>0</v>
      </c>
    </row>
    <row r="46" spans="1:14" s="3" customFormat="1" ht="19.5" customHeight="1">
      <c r="A46" s="175" t="str">
        <v>Interests</v>
      </c>
      <c r="B46" s="860">
        <f t="array" ref="B46:M46">IF(B44:M44=$G$16,$G$7*$G$5,0)
+IF(MOD((B44:M44-$B$16)*$B$9,12),0,IF(B44:M44&lt;$B$17,$B$5*$B$6/$B$9,IF(B44:M44&lt;=$B$18,IPMT($B$6/$B$9,(B44:M44-$B$16)*$B$9/12-$B$10+1,$B$8,-$B$5),0)))
+IF(MOD((B44:M44-$C$16)*$C$9,12),0,IF(B44:M44&lt;$C$17,$C$5*$C$6/$C$9,IF(B44:M44&lt;=$C$18,IPMT($C$6/$C$9,(B44:M44-$C$16)*$C$9/12-$C$10+1,$C$8,-$C$5),0)))
+IF(MOD((B44:M44-$D$16)*$D$9,12),0,IF(B44:M44&lt;$D$17,$D$5*$D$6/$D$9,IF(B44:M44&lt;=$D$18,IPMT($D$6/$D$9,(B44:M44-$D$16)*$D$9/12-$D$10+1,$D$8,-$D$5),0)))
+IF(MOD((B44:M44-$E$16)*$E$9,12),0,IF(B44:M44&lt;$E$17,$E$5*$E$6/$E$9,IF(B44:M44&lt;=$E$18,IPMT($E$6/$E$9,(B44:M44-$E$16)*$E$9/12-$E$10+1,$E$8,-$E$5),0)))
+IF(MOD((B44:M44-$F$16)*$F$9,12),0,IF(B44:M44&lt;$F$17,$F$5*$F$6/$F$9,IF(B44:M44&lt;=$F$18,IPMT($F$6/$F$9,(B44:M44-$F$16)*$F$9/12-$F$10+1,$F$8,-$F$5),0)))
+IF(MOD((B44:M44-$G$16)*$G$9,12),0,IF(B44:M44&lt;$G$17,$G$5*$G$6/$G$9,IF(B44:M44&lt;=$G$18,IPMT($G$6/$G$9,(B44:M44-$G$16)*$G$9/12-$G$10+1,$G$8,-$G$5),0)))</f>
        <v>0</v>
      </c>
      <c r="C46" s="176">
        <v>0</v>
      </c>
      <c r="D46" s="176">
        <v>0</v>
      </c>
      <c r="E46" s="176">
        <v>0</v>
      </c>
      <c r="F46" s="176">
        <v>0</v>
      </c>
      <c r="G46" s="176">
        <v>0</v>
      </c>
      <c r="H46" s="176">
        <v>0</v>
      </c>
      <c r="I46" s="176">
        <v>0</v>
      </c>
      <c r="J46" s="176">
        <v>0</v>
      </c>
      <c r="K46" s="176">
        <v>0</v>
      </c>
      <c r="L46" s="176">
        <v>0</v>
      </c>
      <c r="M46" s="177">
        <v>0</v>
      </c>
      <c r="N46" s="178">
        <f>SUM(B46:M46)</f>
        <v>0</v>
      </c>
    </row>
    <row r="47" spans="1:14" s="3" customFormat="1" ht="19.5" customHeight="1">
      <c r="A47" s="1956" t="str">
        <v>New loan amortization</v>
      </c>
      <c r="B47" s="1957">
        <f t="shared" ref="B47:M47" si="5">+IF(AND(B44&gt;=$G$17,B44&lt;=$G$18,MOD((B44-$G$16)*$G$9,12)=0),PPMT($G$6/$G$9,(B44-$G$16)*$G$9/12-$G$10+1,$G$8,-$G$5),0)</f>
        <v>0</v>
      </c>
      <c r="C47" s="1958">
        <f t="shared" si="5"/>
        <v>0</v>
      </c>
      <c r="D47" s="1958">
        <f t="shared" si="5"/>
        <v>0</v>
      </c>
      <c r="E47" s="1958">
        <f t="shared" si="5"/>
        <v>0</v>
      </c>
      <c r="F47" s="1958">
        <f t="shared" si="5"/>
        <v>0</v>
      </c>
      <c r="G47" s="1958">
        <f t="shared" si="5"/>
        <v>0</v>
      </c>
      <c r="H47" s="1958">
        <f t="shared" si="5"/>
        <v>0</v>
      </c>
      <c r="I47" s="1958">
        <f t="shared" si="5"/>
        <v>0</v>
      </c>
      <c r="J47" s="1958">
        <f t="shared" si="5"/>
        <v>0</v>
      </c>
      <c r="K47" s="1958">
        <f t="shared" si="5"/>
        <v>0</v>
      </c>
      <c r="L47" s="1958">
        <f t="shared" si="5"/>
        <v>0</v>
      </c>
      <c r="M47" s="1959">
        <f t="shared" si="5"/>
        <v>0</v>
      </c>
      <c r="N47" s="1960">
        <f>SUM(B47:M47)</f>
        <v>0</v>
      </c>
    </row>
    <row r="48" spans="1:14" s="3" customFormat="1" ht="19.5" customHeight="1" thickBot="1">
      <c r="A48" s="180" t="str">
        <v>Amortizations</v>
      </c>
      <c r="B48" s="861">
        <f t="shared" ref="B48:M48" si="6">IF(AND(B44&gt;=$B$17,B44&lt;=$B$18,MOD((B44-$B$16)*$B$9,12)=0),PPMT($B$6/$B$9,(B44-$B$16)*$B$9/12-$B$10+1,$B$8,-$B$5),0)
+IF(AND(B44&gt;=$C$17,B44&lt;=$C$18,MOD((B44-$C$16)*$C$9,12)=0),PPMT($C$6/$C$9,(B44-$C$16)*$C$9/12-$C$10+1,$C$8,-$C$5),0)
+IF(AND(B44&gt;=$D$17,B44&lt;=$D$18,MOD((B44-$D$16)*$D$9,12)=0),PPMT($D$6/$D$9,(B44-$D$16)*$D$9/12-$D$10+1,$D$8,-$D$5),0)
+IF(AND(B44&gt;=$E$17,B44&lt;=$E$18,MOD((B44-$E$16)*$E$9,12)=0),PPMT($E$6/$E$9,(B44-$E$16)*$E$9/12-$E$10+1,$E$8,-$E$5),0)
+IF(AND(B44&gt;=$F$17,B44&lt;=$F$18,MOD((B44-$F$16)*$F$9,12)=0),PPMT($F$6/$F$9,(B44-$F$16)*$F$9/12-$F$10+1,$F$8,-$F$5),0)
+IF(AND(B44&gt;=$G$17,B44&lt;=$G$18,MOD((B44-$G$16)*$G$9,12)=0),PPMT($G$6/$G$9,(B44-$G$16)*$G$9/12-$G$10+1,$G$8,-$G$5),0)</f>
        <v>0</v>
      </c>
      <c r="C48" s="862">
        <f t="shared" si="6"/>
        <v>0</v>
      </c>
      <c r="D48" s="862">
        <f t="shared" si="6"/>
        <v>0</v>
      </c>
      <c r="E48" s="862">
        <f t="shared" si="6"/>
        <v>0</v>
      </c>
      <c r="F48" s="862">
        <f t="shared" si="6"/>
        <v>0</v>
      </c>
      <c r="G48" s="862">
        <f t="shared" si="6"/>
        <v>0</v>
      </c>
      <c r="H48" s="862">
        <f t="shared" si="6"/>
        <v>0</v>
      </c>
      <c r="I48" s="862">
        <f t="shared" si="6"/>
        <v>0</v>
      </c>
      <c r="J48" s="862">
        <f t="shared" si="6"/>
        <v>0</v>
      </c>
      <c r="K48" s="862">
        <f t="shared" si="6"/>
        <v>0</v>
      </c>
      <c r="L48" s="862">
        <f t="shared" si="6"/>
        <v>0</v>
      </c>
      <c r="M48" s="863">
        <f t="shared" si="6"/>
        <v>0</v>
      </c>
      <c r="N48" s="179">
        <f>SUM(B48:M48)</f>
        <v>0</v>
      </c>
    </row>
    <row r="51" spans="1:14" ht="18.75" thickBot="1">
      <c r="A51" s="2377" t="str">
        <f>Parameters!$F$77</f>
        <v>Year 4:   2030</v>
      </c>
      <c r="B51" s="161"/>
    </row>
    <row r="52" spans="1:14" s="3" customFormat="1" ht="19.5" customHeight="1" thickBot="1">
      <c r="A52" s="165" t="str">
        <f t="array" ref="A52:A56">A$28:A$32</f>
        <v>Months</v>
      </c>
      <c r="B52" s="166">
        <v>49</v>
      </c>
      <c r="C52" s="167">
        <v>50</v>
      </c>
      <c r="D52" s="167">
        <v>51</v>
      </c>
      <c r="E52" s="167">
        <v>52</v>
      </c>
      <c r="F52" s="167">
        <v>53</v>
      </c>
      <c r="G52" s="167">
        <v>54</v>
      </c>
      <c r="H52" s="167">
        <v>55</v>
      </c>
      <c r="I52" s="167">
        <v>56</v>
      </c>
      <c r="J52" s="167">
        <v>57</v>
      </c>
      <c r="K52" s="167">
        <v>58</v>
      </c>
      <c r="L52" s="167">
        <v>59</v>
      </c>
      <c r="M52" s="168">
        <v>60</v>
      </c>
      <c r="N52" s="169" t="s">
        <v>0</v>
      </c>
    </row>
    <row r="53" spans="1:14" s="3" customFormat="1" ht="19.5" customHeight="1">
      <c r="A53" s="170" t="str">
        <v>Payments</v>
      </c>
      <c r="B53" s="171">
        <f t="array" ref="B53:M53">B54:M54+B56:M56</f>
        <v>0</v>
      </c>
      <c r="C53" s="172">
        <v>0</v>
      </c>
      <c r="D53" s="172">
        <v>0</v>
      </c>
      <c r="E53" s="172">
        <v>0</v>
      </c>
      <c r="F53" s="172">
        <v>0</v>
      </c>
      <c r="G53" s="172">
        <v>0</v>
      </c>
      <c r="H53" s="172">
        <v>0</v>
      </c>
      <c r="I53" s="172">
        <v>0</v>
      </c>
      <c r="J53" s="172">
        <v>0</v>
      </c>
      <c r="K53" s="172">
        <v>0</v>
      </c>
      <c r="L53" s="172">
        <v>0</v>
      </c>
      <c r="M53" s="173">
        <v>0</v>
      </c>
      <c r="N53" s="174">
        <f>SUM(B53:M53)</f>
        <v>0</v>
      </c>
    </row>
    <row r="54" spans="1:14" s="3" customFormat="1" ht="19.5" customHeight="1">
      <c r="A54" s="175" t="str">
        <v>Interests</v>
      </c>
      <c r="B54" s="860">
        <f t="array" ref="B54:M54">IF(B52:M52=$H$16,$H$7*$H$5,0)
+IF(MOD((B52:M52-$B$16)*$B$9,12),0,IF(B52:M52&lt;$B$17,$B$5*$B$6/$B$9,IF(B52:M52&lt;=$B$18,IPMT($B$6/$B$9,(B52:M52-$B$16)*$B$9/12-$B$10+1,$B$8,-$B$5),0)))
+IF(MOD((B52:M52-$C$16)*$C$9,12),0,IF(B52:M52&lt;$C$17,$C$5*$C$6/$C$9,IF(B52:M52&lt;=$C$18,IPMT($C$6/$C$9,(B52:M52-$C$16)*$C$9/12-$C$10+1,$C$8,-$C$5),0)))
+IF(MOD((B52:M52-$D$16)*$D$9,12),0,IF(B52:M52&lt;$D$17,$D$5*$D$6/$D$9,IF(B52:M52&lt;=$D$18,IPMT($D$6/$D$9,(B52:M52-$D$16)*$D$9/12-$D$10+1,$D$8,-$D$5),0)))
+IF(MOD((B52:M52-$E$16)*$E$9,12),0,IF(B52:M52&lt;$E$17,$E$5*$E$6/$E$9,IF(B52:M52&lt;=$E$18,IPMT($E$6/$E$9,(B52:M52-$E$16)*$E$9/12-$E$10+1,$E$8,-$E$5),0)))
+IF(MOD((B52:M52-$F$16)*$F$9,12),0,IF(B52:M52&lt;$F$17,$F$5*$F$6/$F$9,IF(B52:M52&lt;=$F$18,IPMT($F$6/$F$9,(B52:M52-$F$16)*$F$9/12-$F$10+1,$F$8,-$F$5),0)))
+IF(MOD((B52:M52-$G$16)*$G$9,12),0,IF(B52:M52&lt;$G$17,$G$5*$G$6/$G$9,IF(B52:M52&lt;=$G$18,IPMT($G$6/$G$9,(B52:M52-$G$16)*$G$9/12-$G$10+1,$G$8,-$G$5),0)))
+IF(MOD((B52:M52-$H$16)*$H$9,12),0,IF(B52:M52&lt;$H$17,$H$5*$H$6/$H$9,IF(B52:M52&lt;=$H$18,IPMT($H$6/$H$9,(B52:M52-$H$16)*$H$9/12-$H$10+1,$H$8,-$H$5),0)))</f>
        <v>0</v>
      </c>
      <c r="C54" s="176">
        <v>0</v>
      </c>
      <c r="D54" s="176">
        <v>0</v>
      </c>
      <c r="E54" s="176">
        <v>0</v>
      </c>
      <c r="F54" s="176">
        <v>0</v>
      </c>
      <c r="G54" s="176">
        <v>0</v>
      </c>
      <c r="H54" s="176">
        <v>0</v>
      </c>
      <c r="I54" s="176">
        <v>0</v>
      </c>
      <c r="J54" s="176">
        <v>0</v>
      </c>
      <c r="K54" s="176">
        <v>0</v>
      </c>
      <c r="L54" s="176">
        <v>0</v>
      </c>
      <c r="M54" s="177">
        <v>0</v>
      </c>
      <c r="N54" s="178">
        <f>SUM(B54:M54)</f>
        <v>0</v>
      </c>
    </row>
    <row r="55" spans="1:14" s="3" customFormat="1" ht="19.5" customHeight="1">
      <c r="A55" s="1956" t="str">
        <v>New loan amortization</v>
      </c>
      <c r="B55" s="1957">
        <f t="shared" ref="B55:M55" si="7">+IF(AND(B52&gt;=$H$17,B52&lt;=$H$18,MOD((B52-$H$16)*$H$9,12)=0),PPMT($H$6/$H$9,(B52-$H$16)*$H$9/12-$H$10+1,$H$8,-$H$5),0)</f>
        <v>0</v>
      </c>
      <c r="C55" s="1958">
        <f t="shared" si="7"/>
        <v>0</v>
      </c>
      <c r="D55" s="1958">
        <f t="shared" si="7"/>
        <v>0</v>
      </c>
      <c r="E55" s="1958">
        <f t="shared" si="7"/>
        <v>0</v>
      </c>
      <c r="F55" s="1958">
        <f t="shared" si="7"/>
        <v>0</v>
      </c>
      <c r="G55" s="1958">
        <f t="shared" si="7"/>
        <v>0</v>
      </c>
      <c r="H55" s="1958">
        <f t="shared" si="7"/>
        <v>0</v>
      </c>
      <c r="I55" s="1958">
        <f t="shared" si="7"/>
        <v>0</v>
      </c>
      <c r="J55" s="1958">
        <f t="shared" si="7"/>
        <v>0</v>
      </c>
      <c r="K55" s="1958">
        <f t="shared" si="7"/>
        <v>0</v>
      </c>
      <c r="L55" s="1958">
        <f t="shared" si="7"/>
        <v>0</v>
      </c>
      <c r="M55" s="1959">
        <f t="shared" si="7"/>
        <v>0</v>
      </c>
      <c r="N55" s="178">
        <f>SUM(B55:M55)</f>
        <v>0</v>
      </c>
    </row>
    <row r="56" spans="1:14" s="3" customFormat="1" ht="19.5" customHeight="1" thickBot="1">
      <c r="A56" s="180" t="str">
        <v>Amortizations</v>
      </c>
      <c r="B56" s="861">
        <f t="shared" ref="B56:M56" si="8">IF(AND(B52&gt;=$B$17,B52&lt;=$B$18,MOD((B52-$B$16)*$B$9,12)=0),PPMT($B$6/$B$9,(B52-$B$16)*$B$9/12-$B$10+1,$B$8,-$B$5),0)
+IF(AND(B52&gt;=$C$17,B52&lt;=$C$18,MOD((B52-$C$16)*$C$9,12)=0),PPMT($C$6/$C$9,(B52-$C$16)*$C$9/12-$C$10+1,$C$8,-$C$5),0)
+IF(AND(B52&gt;=$D$17,B52&lt;=$D$18,MOD((B52-$D$16)*$D$9,12)=0),PPMT($D$6/$D$9,(B52-$D$16)*$D$9/12-$D$10+1,$D$8,-$D$5),0)
+IF(AND(B52&gt;=$E$17,B52&lt;=$E$18,MOD((B52-$E$16)*$E$9,12)=0),PPMT($E$6/$E$9,(B52-$E$16)*$E$9/12-$E$10+1,$E$8,-$E$5),0)
+IF(AND(B52&gt;=$F$17,B52&lt;=$F$18,MOD((B52-$F$16)*$F$9,12)=0),PPMT($F$6/$F$9,(B52-$F$16)*$F$9/12-$F$10+1,$F$8,-$F$5),0)
+IF(AND(B52&gt;=$G$17,B52&lt;=$G$18,MOD((B52-$G$16)*$G$9,12)=0),PPMT($G$6/$G$9,(B52-$G$16)*$G$9/12-$G$10+1,$G$8,-$G$5),0)
+IF(AND(B52&gt;=$H$17,B52&lt;=$H$18,MOD((B52-$H$16)*$H$9,12)=0),PPMT($H$6/$H$9,(B52-$H$16)*$H$9/12-$H$10+1,$H$8,-$H$5),0)</f>
        <v>0</v>
      </c>
      <c r="C56" s="862">
        <f t="shared" si="8"/>
        <v>0</v>
      </c>
      <c r="D56" s="862">
        <f t="shared" si="8"/>
        <v>0</v>
      </c>
      <c r="E56" s="862">
        <f t="shared" si="8"/>
        <v>0</v>
      </c>
      <c r="F56" s="862">
        <f t="shared" si="8"/>
        <v>0</v>
      </c>
      <c r="G56" s="862">
        <f t="shared" si="8"/>
        <v>0</v>
      </c>
      <c r="H56" s="862">
        <f t="shared" si="8"/>
        <v>0</v>
      </c>
      <c r="I56" s="862">
        <f t="shared" si="8"/>
        <v>0</v>
      </c>
      <c r="J56" s="862">
        <f t="shared" si="8"/>
        <v>0</v>
      </c>
      <c r="K56" s="862">
        <f t="shared" si="8"/>
        <v>0</v>
      </c>
      <c r="L56" s="862">
        <f t="shared" si="8"/>
        <v>0</v>
      </c>
      <c r="M56" s="863">
        <f t="shared" si="8"/>
        <v>0</v>
      </c>
      <c r="N56" s="179">
        <f>SUM(B56:M56)</f>
        <v>0</v>
      </c>
    </row>
    <row r="59" spans="1:14" ht="18.75" thickBot="1">
      <c r="A59" s="2377" t="str">
        <f>Parameters!$G$77</f>
        <v>Year 5 :   2031</v>
      </c>
      <c r="B59" s="161"/>
    </row>
    <row r="60" spans="1:14" s="3" customFormat="1" ht="19.5" customHeight="1" thickBot="1">
      <c r="A60" s="165" t="str">
        <f t="array" ref="A60:A63">A21:A24</f>
        <v>Months</v>
      </c>
      <c r="B60" s="166">
        <v>61</v>
      </c>
      <c r="C60" s="167">
        <v>62</v>
      </c>
      <c r="D60" s="167">
        <v>63</v>
      </c>
      <c r="E60" s="167">
        <v>64</v>
      </c>
      <c r="F60" s="167">
        <v>65</v>
      </c>
      <c r="G60" s="167">
        <v>66</v>
      </c>
      <c r="H60" s="167">
        <v>67</v>
      </c>
      <c r="I60" s="167">
        <v>68</v>
      </c>
      <c r="J60" s="167">
        <v>69</v>
      </c>
      <c r="K60" s="167">
        <v>70</v>
      </c>
      <c r="L60" s="167">
        <v>71</v>
      </c>
      <c r="M60" s="168">
        <v>72</v>
      </c>
      <c r="N60" s="169" t="s">
        <v>0</v>
      </c>
    </row>
    <row r="61" spans="1:14" s="3" customFormat="1" ht="19.5" customHeight="1">
      <c r="A61" s="170" t="str">
        <v>Payments</v>
      </c>
      <c r="B61" s="171">
        <f t="array" ref="B61:M61">B62:M62+B63:M63</f>
        <v>0</v>
      </c>
      <c r="C61" s="172">
        <v>0</v>
      </c>
      <c r="D61" s="172">
        <v>0</v>
      </c>
      <c r="E61" s="172">
        <v>0</v>
      </c>
      <c r="F61" s="172">
        <v>0</v>
      </c>
      <c r="G61" s="172">
        <v>0</v>
      </c>
      <c r="H61" s="172">
        <v>0</v>
      </c>
      <c r="I61" s="172">
        <v>0</v>
      </c>
      <c r="J61" s="172">
        <v>0</v>
      </c>
      <c r="K61" s="172">
        <v>0</v>
      </c>
      <c r="L61" s="172">
        <v>0</v>
      </c>
      <c r="M61" s="173">
        <v>0</v>
      </c>
      <c r="N61" s="174">
        <f>SUM(B61:M61)</f>
        <v>0</v>
      </c>
    </row>
    <row r="62" spans="1:14" s="3" customFormat="1" ht="19.5" customHeight="1">
      <c r="A62" s="175" t="str">
        <v>Interests</v>
      </c>
      <c r="B62" s="860">
        <f t="array" ref="B62:M62">IF(MOD((B60:M60-$B$16)*$B$9,12),0,IF(B60:M60&lt;$B$17,$B$5*$B$6/$B$9,IF(B60:M60&lt;=$B$18,IPMT($B$6/$B$9,(B60:M60-$B$16)*$B$9/12-$B$10+1,$B$8,-$B$5),0)))
+IF(MOD((B60:M60-$C$16)*$C$9,12),0,IF(B60:M60&lt;$C$17,$C$5*$C$6/$C$9,IF(B60:M60&lt;=$C$18,IPMT($C$6/$C$9,(B60:M60-$C$16)*$C$9/12-$C$10+1,$C$8,-$C$5),0)))
+IF(MOD((B60:M60-$D$16)*$D$9,12),0,IF(B60:M60&lt;$D$17,$D$5*$D$6/$D$9,IF(B60:M60&lt;=$D$18,IPMT($D$6/$D$9,(B60:M60-$D$16)*$D$9/12-$D$10+1,$D$8,-$D$5),0)))
+IF(MOD((B60:M60-$E$16)*$E$9,12),0,IF(B60:M60&lt;$E$17,$E$5*$E$6/$E$9,IF(B60:M60&lt;=$E$18,IPMT($E$6/$E$9,(B60:M60-$E$16)*$E$9/12-$E$10+1,$E$8,-$E$5),0)))
+IF(MOD((B60:M60-$F$16)*$F$9,12),0,IF(B60:M60&lt;$F$17,$F$5*$F$6/$F$9,IF(B60:M60&lt;=$F$18,IPMT($F$6/$F$9,(B60:M60-$F$16)*$F$9/12-$F$10+1,$F$8,-$F$5),0)))
+IF(MOD((B60:M60-$G$16)*$G$9,12),0,IF(B60:M60&lt;$G$17,$G$5*$G$6/$G$9,IF(B60:M60&lt;=$G$18,IPMT($G$6/$G$9,(B60:M60-$G$16)*$G$9/12-$G$10+1,$G$8,-$G$5),0)))
+IF(MOD((B60:M60-$H$16)*$H$9,12),0,IF(B60:M60&lt;$H$17,$H$5*$H$6/$H$9,IF(B60:M60&lt;=$H$18,IPMT($H$6/$H$9,(B60:M60-$H$16)*$H$9/12-$H$10+1,$H$8,-$H$5),0)))</f>
        <v>0</v>
      </c>
      <c r="C62" s="176">
        <v>0</v>
      </c>
      <c r="D62" s="176">
        <v>0</v>
      </c>
      <c r="E62" s="176">
        <v>0</v>
      </c>
      <c r="F62" s="176">
        <v>0</v>
      </c>
      <c r="G62" s="176">
        <v>0</v>
      </c>
      <c r="H62" s="176">
        <v>0</v>
      </c>
      <c r="I62" s="176">
        <v>0</v>
      </c>
      <c r="J62" s="176">
        <v>0</v>
      </c>
      <c r="K62" s="176">
        <v>0</v>
      </c>
      <c r="L62" s="176">
        <v>0</v>
      </c>
      <c r="M62" s="177">
        <v>0</v>
      </c>
      <c r="N62" s="178">
        <f>SUM(B62:M62)</f>
        <v>0</v>
      </c>
    </row>
    <row r="63" spans="1:14" s="3" customFormat="1" ht="19.5" customHeight="1" thickBot="1">
      <c r="A63" s="180" t="str">
        <v>Amortizations</v>
      </c>
      <c r="B63" s="861">
        <f t="shared" ref="B63:M63" si="9">IF(AND(B60&gt;=$B$17,B60&lt;=$B$18,MOD((B60-$B$16)*$B$9,12)=0),PPMT($B$6/$B$9,(B60-$B$16)*$B$9/12-$B$10+1,$B$8,-$B$5),0)
+IF(AND(B60&gt;=$C$17,B60&lt;=$C$18,MOD((B60-$C$16)*$C$9,12)=0),PPMT($C$6/$C$9,(B60-$C$16)*$C$9/12-$C$10+1,$C$8,-$C$5),0)
+IF(AND(B60&gt;=$D$17,B60&lt;=$D$18,MOD((B60-$D$16)*$D$9,12)=0),PPMT($D$6/$D$9,(B60-$D$16)*$D$9/12-$D$10+1,$D$8,-$D$5),0)
+IF(AND(B60&gt;=$E$17,B60&lt;=$E$18,MOD((B60-$E$16)*$E$9,12)=0),PPMT($E$6/$E$9,(B60-$E$16)*$E$9/12-$E$10+1,$E$8,-$E$5),0)
+IF(AND(B60&gt;=$F$17,B60&lt;=$F$18,MOD((B60-$F$16)*$F$9,12)=0),PPMT($F$6/$F$9,(B60-$F$16)*$F$9/12-$F$10+1,$F$8,-$F$5),0)
+IF(AND(B60&gt;=$G$17,B60&lt;=$G$18,MOD((B60-$G$16)*$G$9,12)=0),PPMT($G$6/$G$9,(B60-$G$16)*$G$9/12-$G$10+1,$G$8,-$G$5),0)
+IF(AND(B60&gt;=$H$17,B60&lt;=$H$18,MOD((B60-$H$16)*$H$9,12)=0),PPMT($H$6/$H$9,(B60-$H$16)*$H$9/12-$H$10+1,$H$8,-$H$5),0)</f>
        <v>0</v>
      </c>
      <c r="C63" s="862">
        <f t="shared" si="9"/>
        <v>0</v>
      </c>
      <c r="D63" s="862">
        <f t="shared" si="9"/>
        <v>0</v>
      </c>
      <c r="E63" s="862">
        <f t="shared" si="9"/>
        <v>0</v>
      </c>
      <c r="F63" s="862">
        <f t="shared" si="9"/>
        <v>0</v>
      </c>
      <c r="G63" s="862">
        <f t="shared" si="9"/>
        <v>0</v>
      </c>
      <c r="H63" s="862">
        <f t="shared" si="9"/>
        <v>0</v>
      </c>
      <c r="I63" s="862">
        <f t="shared" si="9"/>
        <v>0</v>
      </c>
      <c r="J63" s="862">
        <f t="shared" si="9"/>
        <v>0</v>
      </c>
      <c r="K63" s="862">
        <f t="shared" si="9"/>
        <v>0</v>
      </c>
      <c r="L63" s="862">
        <f t="shared" si="9"/>
        <v>0</v>
      </c>
      <c r="M63" s="863">
        <f t="shared" si="9"/>
        <v>0</v>
      </c>
      <c r="N63" s="179">
        <f>SUM(B63:M63)</f>
        <v>0</v>
      </c>
    </row>
  </sheetData>
  <sheetProtection sheet="1" objects="1" scenarios="1"/>
  <phoneticPr fontId="7" type="noConversion"/>
  <dataValidations disablePrompts="1" xWindow="106" yWindow="209" count="5">
    <dataValidation type="whole" allowBlank="1" showInputMessage="1" showErrorMessage="1" sqref="D10:H10" xr:uid="{00000000-0002-0000-0B00-000000000000}">
      <formula1>0</formula1>
      <formula2>plazo/npagos*12</formula2>
    </dataValidation>
    <dataValidation type="list" allowBlank="1" showInputMessage="1" showErrorMessage="1" prompt="  1 = 1 solo pago anual_x000a_  2 = pagos semestrales_x000a_  3 = pagos cuatrimestrales_x000a_  4 = pagos trimestrales_x000a_  6 = pagos bimensuales_x000a_12 = pagos mensuales" sqref="D9:H9" xr:uid="{00000000-0002-0000-0B00-000001000000}">
      <formula1>"1,2,3,4,6,12"</formula1>
    </dataValidation>
    <dataValidation type="whole" allowBlank="1" showInputMessage="1" showErrorMessage="1" sqref="D8:H8" xr:uid="{00000000-0002-0000-0B00-000002000000}">
      <formula1>0</formula1>
      <formula2>400</formula2>
    </dataValidation>
    <dataValidation allowBlank="1" showInputMessage="1" showErrorMessage="1" prompt="Tipo nominal anual" sqref="D6:H6" xr:uid="{00000000-0002-0000-0B00-000003000000}"/>
    <dataValidation type="decimal" allowBlank="1" showInputMessage="1" showErrorMessage="1" sqref="D7:H7" xr:uid="{00000000-0002-0000-0B00-000004000000}">
      <formula1>0</formula1>
      <formula2>0.05</formula2>
    </dataValidation>
  </dataValidations>
  <printOptions horizontalCentered="1"/>
  <pageMargins left="0.56000000000000005" right="0.69" top="0.61" bottom="0.59" header="0.51181102362204722" footer="0.43"/>
  <pageSetup paperSize="9" scale="48" orientation="landscape" horizontalDpi="4294967292" verticalDpi="300" r:id="rId1"/>
  <headerFooter alignWithMargins="0">
    <oddFooter>&amp;C&amp;"Tahoma,Normal"&amp;10&amp;A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57">
    <tabColor indexed="42"/>
    <pageSetUpPr fitToPage="1"/>
  </sheetPr>
  <dimension ref="A1:N63"/>
  <sheetViews>
    <sheetView showGridLines="0" zoomScale="75" zoomScaleNormal="75" workbookViewId="0">
      <pane xSplit="1" topLeftCell="B1" activePane="topRight" state="frozenSplit"/>
      <selection activeCell="C28" sqref="C28"/>
      <selection pane="topRight" activeCell="C28" sqref="C28"/>
    </sheetView>
  </sheetViews>
  <sheetFormatPr baseColWidth="10" defaultColWidth="11" defaultRowHeight="15"/>
  <cols>
    <col min="1" max="1" width="24.125" style="159" customWidth="1"/>
    <col min="2" max="8" width="14.375" style="159" customWidth="1"/>
    <col min="9" max="9" width="11.875" style="159" customWidth="1"/>
    <col min="10" max="13" width="14.625" style="159" bestFit="1" customWidth="1"/>
    <col min="14" max="14" width="12.875" style="159" customWidth="1"/>
    <col min="15" max="16384" width="11" style="159"/>
  </cols>
  <sheetData>
    <row r="1" spans="1:10" ht="25.5">
      <c r="A1" s="162" t="s">
        <v>497</v>
      </c>
      <c r="E1" s="163"/>
      <c r="F1" s="164"/>
    </row>
    <row r="2" spans="1:10" ht="25.5">
      <c r="A2" s="162" t="str">
        <f>'Base Data'!B9</f>
        <v>WWW, Ltd.</v>
      </c>
      <c r="F2" s="162"/>
    </row>
    <row r="3" spans="1:10" ht="19.5" customHeight="1" thickBot="1">
      <c r="D3" s="160"/>
    </row>
    <row r="4" spans="1:10" s="3" customFormat="1" ht="45" customHeight="1" thickBot="1">
      <c r="A4" s="1677" t="s">
        <v>478</v>
      </c>
      <c r="B4" s="858" t="str">
        <f t="array" ref="B4:H4">Funding!B56:H56</f>
        <v>Previous
(Initial Balance)</v>
      </c>
      <c r="C4" s="858" t="str">
        <v>Leasing 1 
Year 0:   2026</v>
      </c>
      <c r="D4" s="858" t="str">
        <v>Leasing 2 
Year 0:   2026</v>
      </c>
      <c r="E4" s="858" t="str">
        <v>Year 1:   2027</v>
      </c>
      <c r="F4" s="859" t="str">
        <v>Year 2:   2028</v>
      </c>
      <c r="G4" s="859" t="str">
        <v>Year 3:   2029</v>
      </c>
      <c r="H4" s="859" t="str">
        <v>Year 4:   2030</v>
      </c>
      <c r="J4" s="2811" t="s">
        <v>1101</v>
      </c>
    </row>
    <row r="5" spans="1:10" s="3" customFormat="1" ht="24.75" customHeight="1">
      <c r="A5" s="1672" t="str">
        <f t="array" ref="A5:A6">Loans!A5:A6</f>
        <v>Principals (amounts)</v>
      </c>
      <c r="B5" s="1673">
        <f t="array" ref="B5:H10">Funding!B57:H62</f>
        <v>0</v>
      </c>
      <c r="C5" s="1673">
        <v>0</v>
      </c>
      <c r="D5" s="1673">
        <v>0</v>
      </c>
      <c r="E5" s="1673">
        <v>0</v>
      </c>
      <c r="F5" s="1673">
        <v>0</v>
      </c>
      <c r="G5" s="1673">
        <v>0</v>
      </c>
      <c r="H5" s="1673">
        <v>0</v>
      </c>
      <c r="J5" s="176">
        <f>IFERROR(CUMPRINC(B6/B10,B9,B5,B16,B16-1+B10,1),0)</f>
        <v>0</v>
      </c>
    </row>
    <row r="6" spans="1:10" ht="18" customHeight="1">
      <c r="A6" s="1280" t="str">
        <v>Nominal rates</v>
      </c>
      <c r="B6" s="850">
        <v>0.12</v>
      </c>
      <c r="C6" s="850">
        <v>0.15</v>
      </c>
      <c r="D6" s="850">
        <v>0.15</v>
      </c>
      <c r="E6" s="850">
        <v>0.15</v>
      </c>
      <c r="F6" s="850">
        <v>0.15</v>
      </c>
      <c r="G6" s="850">
        <v>0.15</v>
      </c>
      <c r="H6" s="850">
        <v>0.15</v>
      </c>
    </row>
    <row r="7" spans="1:10" ht="18" customHeight="1">
      <c r="A7" s="1280" t="s">
        <v>479</v>
      </c>
      <c r="B7" s="851">
        <v>0</v>
      </c>
      <c r="C7" s="851">
        <v>0</v>
      </c>
      <c r="D7" s="851">
        <v>0</v>
      </c>
      <c r="E7" s="851">
        <v>0</v>
      </c>
      <c r="F7" s="851">
        <v>0</v>
      </c>
      <c r="G7" s="851">
        <v>0</v>
      </c>
      <c r="H7" s="851">
        <v>0</v>
      </c>
    </row>
    <row r="8" spans="1:10" ht="18" customHeight="1">
      <c r="A8" s="1280" t="str">
        <f t="array" ref="A8:A10">Loans!A7:A9</f>
        <v>Initial expenses</v>
      </c>
      <c r="B8" s="850">
        <v>0</v>
      </c>
      <c r="C8" s="850">
        <v>5.0000000000000001E-3</v>
      </c>
      <c r="D8" s="850">
        <v>5.0000000000000001E-3</v>
      </c>
      <c r="E8" s="850">
        <v>5.0000000000000001E-3</v>
      </c>
      <c r="F8" s="850">
        <v>5.0000000000000001E-3</v>
      </c>
      <c r="G8" s="850">
        <v>5.0000000000000001E-3</v>
      </c>
      <c r="H8" s="850">
        <v>5.0000000000000001E-3</v>
      </c>
    </row>
    <row r="9" spans="1:10" ht="18" customHeight="1">
      <c r="A9" s="1280" t="str">
        <v>total nº of payments</v>
      </c>
      <c r="B9" s="851">
        <v>60</v>
      </c>
      <c r="C9" s="851">
        <v>60</v>
      </c>
      <c r="D9" s="851">
        <v>60</v>
      </c>
      <c r="E9" s="851">
        <v>60</v>
      </c>
      <c r="F9" s="851">
        <v>60</v>
      </c>
      <c r="G9" s="851">
        <v>60</v>
      </c>
      <c r="H9" s="851">
        <v>60</v>
      </c>
    </row>
    <row r="10" spans="1:10" ht="18" customHeight="1" thickBot="1">
      <c r="A10" s="1674" t="str">
        <v>payments per year</v>
      </c>
      <c r="B10" s="1675">
        <v>12</v>
      </c>
      <c r="C10" s="1675">
        <v>12</v>
      </c>
      <c r="D10" s="1675">
        <v>12</v>
      </c>
      <c r="E10" s="1675">
        <v>12</v>
      </c>
      <c r="F10" s="1675">
        <v>12</v>
      </c>
      <c r="G10" s="1675">
        <v>12</v>
      </c>
      <c r="H10" s="1675">
        <v>12</v>
      </c>
    </row>
    <row r="11" spans="1:10" ht="19.5" customHeight="1" thickBot="1">
      <c r="F11" s="160"/>
    </row>
    <row r="12" spans="1:10" ht="19.5" customHeight="1" thickBot="1">
      <c r="A12" s="856" t="s">
        <v>480</v>
      </c>
      <c r="B12" s="855">
        <f t="array" ref="B12:H12">IF(ISERR(PMT(B$6:H6/B$10:H10,B$9:H9,-B$5:H5,B$7)),0,PMT(B$6:B6/B$10:H10,B$9:H9,-B$5:H5,B$7:H7))</f>
        <v>0</v>
      </c>
      <c r="C12" s="855">
        <v>0</v>
      </c>
      <c r="D12" s="855">
        <v>0</v>
      </c>
      <c r="E12" s="855">
        <v>0</v>
      </c>
      <c r="F12" s="855">
        <v>0</v>
      </c>
      <c r="G12" s="855">
        <v>0</v>
      </c>
      <c r="H12" s="855">
        <v>0</v>
      </c>
    </row>
    <row r="13" spans="1:10" ht="19.5" customHeight="1" thickBot="1">
      <c r="D13" s="160"/>
      <c r="G13" s="160"/>
    </row>
    <row r="14" spans="1:10" ht="19.5" customHeight="1" thickBot="1">
      <c r="A14" s="1281" t="s">
        <v>481</v>
      </c>
      <c r="B14" s="857">
        <f t="array" ref="B14:H14">B9:H9*12/B10:H10</f>
        <v>60</v>
      </c>
      <c r="C14" s="857">
        <v>60</v>
      </c>
      <c r="D14" s="857">
        <v>60</v>
      </c>
      <c r="E14" s="857">
        <v>60</v>
      </c>
      <c r="F14" s="857">
        <v>60</v>
      </c>
      <c r="G14" s="857">
        <v>60</v>
      </c>
      <c r="H14" s="857">
        <v>60</v>
      </c>
    </row>
    <row r="15" spans="1:10" ht="19.5" customHeight="1" thickBot="1">
      <c r="A15" s="1281" t="s">
        <v>482</v>
      </c>
      <c r="B15" s="857">
        <f t="shared" ref="B15:D16" si="0">mes0</f>
        <v>1</v>
      </c>
      <c r="C15" s="857">
        <f t="shared" si="0"/>
        <v>1</v>
      </c>
      <c r="D15" s="857">
        <f t="shared" si="0"/>
        <v>1</v>
      </c>
      <c r="E15" s="857">
        <v>13</v>
      </c>
      <c r="F15" s="857">
        <v>25</v>
      </c>
      <c r="G15" s="857">
        <v>37</v>
      </c>
      <c r="H15" s="857">
        <v>49</v>
      </c>
    </row>
    <row r="16" spans="1:10" ht="19.5" customHeight="1" thickBot="1">
      <c r="A16" s="1281" t="s">
        <v>483</v>
      </c>
      <c r="B16" s="857">
        <f t="shared" si="0"/>
        <v>1</v>
      </c>
      <c r="C16" s="857">
        <f t="shared" si="0"/>
        <v>1</v>
      </c>
      <c r="D16" s="857">
        <f t="shared" si="0"/>
        <v>1</v>
      </c>
      <c r="E16" s="857">
        <f t="array" ref="E16:H16">E15:H15</f>
        <v>13</v>
      </c>
      <c r="F16" s="857">
        <v>25</v>
      </c>
      <c r="G16" s="857">
        <v>37</v>
      </c>
      <c r="H16" s="857">
        <v>49</v>
      </c>
    </row>
    <row r="17" spans="1:14" ht="19.5" customHeight="1" thickBot="1">
      <c r="A17" s="1281" t="s">
        <v>484</v>
      </c>
      <c r="B17" s="857">
        <f t="array" ref="B17:H17">B16:H16+B14:H14-1</f>
        <v>60</v>
      </c>
      <c r="C17" s="857">
        <v>60</v>
      </c>
      <c r="D17" s="857">
        <v>60</v>
      </c>
      <c r="E17" s="857">
        <v>72</v>
      </c>
      <c r="F17" s="857">
        <v>84</v>
      </c>
      <c r="G17" s="857">
        <v>96</v>
      </c>
      <c r="H17" s="857">
        <v>108</v>
      </c>
    </row>
    <row r="18" spans="1:14" ht="19.5" customHeight="1">
      <c r="C18" s="160"/>
      <c r="F18" s="160"/>
    </row>
    <row r="19" spans="1:14" ht="19.5" customHeight="1" thickBot="1">
      <c r="A19" s="2377" t="str">
        <f>Parameters!$B$77</f>
        <v>Year 0:   2026</v>
      </c>
      <c r="B19" s="161"/>
      <c r="C19" s="160"/>
      <c r="D19" s="160"/>
      <c r="E19" s="160"/>
      <c r="F19" s="160"/>
      <c r="G19" s="160"/>
    </row>
    <row r="20" spans="1:14" s="3" customFormat="1" ht="19.5" customHeight="1" thickBot="1">
      <c r="A20" s="165" t="s">
        <v>488</v>
      </c>
      <c r="B20" s="166">
        <v>1</v>
      </c>
      <c r="C20" s="167">
        <v>2</v>
      </c>
      <c r="D20" s="167">
        <v>3</v>
      </c>
      <c r="E20" s="167">
        <v>4</v>
      </c>
      <c r="F20" s="167">
        <v>5</v>
      </c>
      <c r="G20" s="167">
        <v>6</v>
      </c>
      <c r="H20" s="167">
        <v>7</v>
      </c>
      <c r="I20" s="167">
        <v>8</v>
      </c>
      <c r="J20" s="167">
        <v>9</v>
      </c>
      <c r="K20" s="167">
        <v>10</v>
      </c>
      <c r="L20" s="167">
        <v>11</v>
      </c>
      <c r="M20" s="168">
        <v>12</v>
      </c>
      <c r="N20" s="169" t="s">
        <v>0</v>
      </c>
    </row>
    <row r="21" spans="1:14" s="3" customFormat="1" ht="19.5" customHeight="1">
      <c r="A21" s="170" t="s">
        <v>443</v>
      </c>
      <c r="B21" s="171">
        <f t="array" ref="B21:M21">B22:M22+B23:M23</f>
        <v>0</v>
      </c>
      <c r="C21" s="172">
        <v>0</v>
      </c>
      <c r="D21" s="172">
        <v>0</v>
      </c>
      <c r="E21" s="172">
        <v>0</v>
      </c>
      <c r="F21" s="172">
        <v>0</v>
      </c>
      <c r="G21" s="172">
        <v>0</v>
      </c>
      <c r="H21" s="172">
        <v>0</v>
      </c>
      <c r="I21" s="172">
        <v>0</v>
      </c>
      <c r="J21" s="172">
        <v>0</v>
      </c>
      <c r="K21" s="172">
        <v>0</v>
      </c>
      <c r="L21" s="172">
        <v>0</v>
      </c>
      <c r="M21" s="173">
        <v>0</v>
      </c>
      <c r="N21" s="174">
        <f>SUM(B21:M21)</f>
        <v>0</v>
      </c>
    </row>
    <row r="22" spans="1:14" s="3" customFormat="1" ht="19.5" customHeight="1">
      <c r="A22" s="175" t="s">
        <v>489</v>
      </c>
      <c r="B22" s="860">
        <f t="array" ref="B22:M22">IF(B20:M20=$B$15,$B$5*$B$8,0)+IF(B20:M20=$C$15,$C$5*$C$8,0)+IF(B20:M20=$D$15,$D$5*$D$8,0)
+IF(MOD((B20:M20-$B$15)*$B$10,12),0,IF(B20:M20&lt;$B$15,0,IF(B20:M20&lt;$B$16,$B$5*$B$6/$B$10,IF(B20:M20&lt;=$B$17,IPMT($B$6/$B$10,(B20:M20-$B$15)*$B$10/12+1,$B$9,-$B$5,$B$7),0))))
+IF(MOD((B20:M20-$C$15)*$C$10,12),0,IF(B20:M20&lt;$C$15,0,IF(B20:M20&lt;$C$16,$C$5*$C$6/$C$10,IF(B20:M20&lt;=$C$17,IPMT($C$6/$C$10,(B20:M20-$C$15)*$C$10/12+1,$C$9,-$C$5,$C$7),0))))
+IF(MOD((B20:M20-$D$15)*$D$10,12),0,IF(B20:M20&lt;$D$15,0,IF(B20:M20&lt;$D$16,$D$5*$D$6/$D$10,IF(B20:M20&lt;=$D$17,IPMT($D$6/$D$10,(B20:M20-$D$15)*$D$10/12+1,$D$9,-$D$5,$D$7),0))))</f>
        <v>0</v>
      </c>
      <c r="C22" s="176">
        <v>0</v>
      </c>
      <c r="D22" s="176">
        <v>0</v>
      </c>
      <c r="E22" s="176">
        <v>0</v>
      </c>
      <c r="F22" s="176">
        <v>0</v>
      </c>
      <c r="G22" s="176">
        <v>0</v>
      </c>
      <c r="H22" s="176">
        <v>0</v>
      </c>
      <c r="I22" s="176">
        <v>0</v>
      </c>
      <c r="J22" s="176">
        <v>0</v>
      </c>
      <c r="K22" s="176">
        <v>0</v>
      </c>
      <c r="L22" s="176">
        <v>0</v>
      </c>
      <c r="M22" s="177">
        <v>0</v>
      </c>
      <c r="N22" s="178">
        <f>SUM(B22:M22)</f>
        <v>0</v>
      </c>
    </row>
    <row r="23" spans="1:14" s="3" customFormat="1" ht="19.5" customHeight="1" thickBot="1">
      <c r="A23" s="180" t="s">
        <v>490</v>
      </c>
      <c r="B23" s="861">
        <f>IF(AND(B20&gt;=$B$16,B20&lt;=$B$17,MOD((B20-$B$15)*$B$10,12)=0),PPMT($B$6/$B$10,(B20-$B$15)*$B$10/12+1,$B$9,-$B$5,$B$7),0)
+IF(AND(B20&gt;=$C$16,B20&lt;=$C$17,MOD((B20-$C$15)*$C$10,12)=0),PPMT($C$6/$C$10,(B20-$C$15)*$C$10/12+1,$C$9,-$C$5,$C$7),0)
+IF(AND(B20&gt;=$D$16,B20&lt;=$D$17,MOD((B20-$D$15)*$D$10,12)=0),PPMT($D$6/$D$10,(B20-$D$15)*$D$10/12+1,$D$9,-$D$5,$D$7),0)</f>
        <v>0</v>
      </c>
      <c r="C23" s="862">
        <f t="shared" ref="C23:M23" si="1">IF(AND(C20&gt;=$B$16,C20&lt;=$B$17,MOD((C20-$B$15)*$B$10,12)=0),PPMT($B$6/$B$10,(C20-$B$15)*$B$10/12+1,$B$9,-$B$5,$B$7),0)
+IF(AND(C20&gt;=$C$16,C20&lt;=$C$17,MOD((C20-$C$15)*$C$10,12)=0),PPMT($C$6/$C$10,(C20-$C$15)*$C$10/12+1,$C$9,-$C$5,$C$7),0)
+IF(AND(C20&gt;=$D$16,C20&lt;=$D$17,MOD((C20-$D$15)*$D$10,12)=0),PPMT($D$6/$D$10,(C20-$D$15)*$D$10/12+1,$D$9,-$D$5,$D$7),0)</f>
        <v>0</v>
      </c>
      <c r="D23" s="862">
        <f t="shared" si="1"/>
        <v>0</v>
      </c>
      <c r="E23" s="862">
        <f t="shared" si="1"/>
        <v>0</v>
      </c>
      <c r="F23" s="862">
        <f t="shared" si="1"/>
        <v>0</v>
      </c>
      <c r="G23" s="862">
        <f t="shared" si="1"/>
        <v>0</v>
      </c>
      <c r="H23" s="862">
        <f t="shared" si="1"/>
        <v>0</v>
      </c>
      <c r="I23" s="862">
        <f t="shared" si="1"/>
        <v>0</v>
      </c>
      <c r="J23" s="862">
        <f t="shared" si="1"/>
        <v>0</v>
      </c>
      <c r="K23" s="862">
        <f t="shared" si="1"/>
        <v>0</v>
      </c>
      <c r="L23" s="862">
        <f t="shared" si="1"/>
        <v>0</v>
      </c>
      <c r="M23" s="863">
        <f t="shared" si="1"/>
        <v>0</v>
      </c>
      <c r="N23" s="179">
        <f>SUM(B23:M23)</f>
        <v>0</v>
      </c>
    </row>
    <row r="24" spans="1:14" ht="19.5" customHeight="1" thickBot="1">
      <c r="A24" s="180" t="str">
        <f>"Input "&amp;'Base Data'!$A$28&amp;" "</f>
        <v xml:space="preserve">Input VAT </v>
      </c>
      <c r="B24" s="861">
        <f t="array" ref="B24:M24">B21:M21*Parameters!$F$33</f>
        <v>0</v>
      </c>
      <c r="C24" s="862">
        <v>0</v>
      </c>
      <c r="D24" s="862">
        <v>0</v>
      </c>
      <c r="E24" s="862">
        <v>0</v>
      </c>
      <c r="F24" s="862">
        <v>0</v>
      </c>
      <c r="G24" s="862">
        <v>0</v>
      </c>
      <c r="H24" s="862">
        <v>0</v>
      </c>
      <c r="I24" s="862">
        <v>0</v>
      </c>
      <c r="J24" s="862">
        <v>0</v>
      </c>
      <c r="K24" s="862">
        <v>0</v>
      </c>
      <c r="L24" s="862">
        <v>0</v>
      </c>
      <c r="M24" s="863">
        <v>0</v>
      </c>
      <c r="N24" s="179">
        <f>SUM(B24:M24)</f>
        <v>0</v>
      </c>
    </row>
    <row r="25" spans="1:14" ht="19.5" customHeight="1">
      <c r="C25" s="160"/>
    </row>
    <row r="26" spans="1:14" ht="19.5" customHeight="1" thickBot="1">
      <c r="A26" s="2377" t="str">
        <f>Parameters!$C$77</f>
        <v>Year 1:   2027</v>
      </c>
      <c r="B26" s="161"/>
      <c r="C26" s="160"/>
    </row>
    <row r="27" spans="1:14" s="3" customFormat="1" ht="19.5" customHeight="1" thickBot="1">
      <c r="A27" s="165" t="str">
        <f t="array" ref="A27:A29">A20:A22</f>
        <v>Months</v>
      </c>
      <c r="B27" s="166">
        <v>13</v>
      </c>
      <c r="C27" s="167">
        <v>14</v>
      </c>
      <c r="D27" s="167">
        <v>15</v>
      </c>
      <c r="E27" s="167">
        <v>16</v>
      </c>
      <c r="F27" s="167">
        <v>17</v>
      </c>
      <c r="G27" s="167">
        <v>18</v>
      </c>
      <c r="H27" s="167">
        <v>19</v>
      </c>
      <c r="I27" s="167">
        <v>20</v>
      </c>
      <c r="J27" s="167">
        <v>21</v>
      </c>
      <c r="K27" s="167">
        <v>22</v>
      </c>
      <c r="L27" s="167">
        <v>23</v>
      </c>
      <c r="M27" s="168">
        <v>24</v>
      </c>
      <c r="N27" s="169" t="s">
        <v>0</v>
      </c>
    </row>
    <row r="28" spans="1:14" s="3" customFormat="1" ht="19.5" customHeight="1">
      <c r="A28" s="170" t="str">
        <v>Payments</v>
      </c>
      <c r="B28" s="171">
        <f t="array" ref="B28:M28">B29:M29+B31:M31</f>
        <v>0</v>
      </c>
      <c r="C28" s="172">
        <v>0</v>
      </c>
      <c r="D28" s="172">
        <v>0</v>
      </c>
      <c r="E28" s="172">
        <v>0</v>
      </c>
      <c r="F28" s="172">
        <v>0</v>
      </c>
      <c r="G28" s="172">
        <v>0</v>
      </c>
      <c r="H28" s="172">
        <v>0</v>
      </c>
      <c r="I28" s="172">
        <v>0</v>
      </c>
      <c r="J28" s="172">
        <v>0</v>
      </c>
      <c r="K28" s="172">
        <v>0</v>
      </c>
      <c r="L28" s="172">
        <v>0</v>
      </c>
      <c r="M28" s="173">
        <v>0</v>
      </c>
      <c r="N28" s="174">
        <f>SUM(B28:M28)</f>
        <v>0</v>
      </c>
    </row>
    <row r="29" spans="1:14" s="3" customFormat="1" ht="19.5" customHeight="1">
      <c r="A29" s="175" t="str">
        <v>Interests</v>
      </c>
      <c r="B29" s="860">
        <f t="array" ref="B29:M29">IF(B27:M27=$E$15,$E$8*$E$5,0)
+IF(MOD((B27:M27-$B$15)*$B$10,12),0,IF(B27:M27&lt;$B$15,0,IF(B27:M27&lt;$B$16,$B$5*$B$6/$B$10,IF(B27:M27&lt;=$B$17,IPMT($B$6/$B$10,(B27:M27-$B$15)*$B$10/12+1,$B$9,-$B$5,$B$7),0))))
+IF(MOD((B27:M27-$C$15)*$C$10,12),0,IF(B27:M27&lt;$C$15,0,IF(B27:M27&lt;$C$16,$C$5*$C$6/$C$10,IF(B27:M27&lt;=$C$17,IPMT($C$6/$C$10,(B27:M27-$C$15)*$C$10/12+1,$C$9,-$C$5,$C$7),0))))
+IF(MOD((B27:M27-$D$15)*$D$10,12),0,IF(B27:M27&lt;$D$15,0,IF(B27:M27&lt;$D$16,$D$5*$D$6/$D$10,IF(B27:M27&lt;=$D$17,IPMT($D$6/$D$10,(B27:M27-$D$15)*$D$10/12+1,$D$9,-$D$5,$D$7),0))))
+IF(MOD((B27:M27-$E$15)*$E$10,12),0,IF(B27:M27&lt;$E$16,$E$5*$E$6/$E$10,IF(B27:M27&lt;=$E$17,IPMT($E$6/$E$10,(B27:M27-$E$15)*$E$10/12+1,$E$9,-$E$5,$E$7),0)))</f>
        <v>0</v>
      </c>
      <c r="C29" s="176">
        <v>0</v>
      </c>
      <c r="D29" s="176">
        <v>0</v>
      </c>
      <c r="E29" s="176">
        <v>0</v>
      </c>
      <c r="F29" s="176">
        <v>0</v>
      </c>
      <c r="G29" s="176">
        <v>0</v>
      </c>
      <c r="H29" s="176">
        <v>0</v>
      </c>
      <c r="I29" s="176">
        <v>0</v>
      </c>
      <c r="J29" s="176">
        <v>0</v>
      </c>
      <c r="K29" s="176">
        <v>0</v>
      </c>
      <c r="L29" s="176">
        <v>0</v>
      </c>
      <c r="M29" s="177">
        <v>0</v>
      </c>
      <c r="N29" s="178">
        <f>SUM(B29:M29)</f>
        <v>0</v>
      </c>
    </row>
    <row r="30" spans="1:14" s="3" customFormat="1" ht="19.5" customHeight="1">
      <c r="A30" s="1956" t="s">
        <v>492</v>
      </c>
      <c r="B30" s="1957">
        <f t="shared" ref="B30:M30" si="2">+IF(AND(B27&gt;=$E$16,B27&lt;=$E$17,MOD((B27-$E$15)*$E$10,12)=0),PPMT($E$6/$E$10,(B27-$E$15)*$E$10/12+1,$E$9,-$E$5,$E$7),0)</f>
        <v>0</v>
      </c>
      <c r="C30" s="1958">
        <f t="shared" si="2"/>
        <v>0</v>
      </c>
      <c r="D30" s="1958">
        <f t="shared" si="2"/>
        <v>0</v>
      </c>
      <c r="E30" s="1958">
        <f t="shared" si="2"/>
        <v>0</v>
      </c>
      <c r="F30" s="1958">
        <f t="shared" si="2"/>
        <v>0</v>
      </c>
      <c r="G30" s="1958">
        <f t="shared" si="2"/>
        <v>0</v>
      </c>
      <c r="H30" s="1958">
        <f t="shared" si="2"/>
        <v>0</v>
      </c>
      <c r="I30" s="1958">
        <f t="shared" si="2"/>
        <v>0</v>
      </c>
      <c r="J30" s="1958">
        <f t="shared" si="2"/>
        <v>0</v>
      </c>
      <c r="K30" s="1958">
        <f t="shared" si="2"/>
        <v>0</v>
      </c>
      <c r="L30" s="1958">
        <f t="shared" si="2"/>
        <v>0</v>
      </c>
      <c r="M30" s="1959">
        <f t="shared" si="2"/>
        <v>0</v>
      </c>
      <c r="N30" s="178">
        <f>SUM(B30:M30)</f>
        <v>0</v>
      </c>
    </row>
    <row r="31" spans="1:14" s="3" customFormat="1" ht="19.5" customHeight="1" thickBot="1">
      <c r="A31" s="180" t="str">
        <f t="array" ref="A31:A32">A23:A24</f>
        <v>Amortizations</v>
      </c>
      <c r="B31" s="861">
        <f t="shared" ref="B31:M31" si="3">IF(AND(B27&gt;=$B$16,B27&lt;=$B$17,MOD((B27-$B$15)*$B$10,12)=0),PPMT($B$6/$B$10,(B27-$B$15)*$B$10/12+1,$B$9,-$B$5,$B$7),0)
+IF(AND(B27&gt;=$C$16,B27&lt;=$C$17,MOD((B27-$C$15)*$C$10,12)=0),PPMT($C$6/$C$10,(B27-$C$15)*$C$10/12+1,$C$9,-$C$5,$C$7),0)
+IF(AND(B27&gt;=$D$16,B27&lt;=$D$17,MOD((B27-$D$15)*$D$10,12)=0),PPMT($D$6/$D$10,(B27-$D$15)*$D$10/12+1,$D$9,-$D$5,$D$7),0)
+IF(AND(B27&gt;=$E$16,B27&lt;=$E$17,MOD((B27-$E$15)*$E$10,12)=0),PPMT($E$6/$E$10,(B27-$E$15)*$E$10/12+1,$E$9,-$E$5,$E$7),0)</f>
        <v>0</v>
      </c>
      <c r="C31" s="862">
        <f t="shared" si="3"/>
        <v>0</v>
      </c>
      <c r="D31" s="862">
        <f t="shared" si="3"/>
        <v>0</v>
      </c>
      <c r="E31" s="862">
        <f t="shared" si="3"/>
        <v>0</v>
      </c>
      <c r="F31" s="862">
        <f t="shared" si="3"/>
        <v>0</v>
      </c>
      <c r="G31" s="862">
        <f t="shared" si="3"/>
        <v>0</v>
      </c>
      <c r="H31" s="862">
        <f t="shared" si="3"/>
        <v>0</v>
      </c>
      <c r="I31" s="862">
        <f t="shared" si="3"/>
        <v>0</v>
      </c>
      <c r="J31" s="862">
        <f t="shared" si="3"/>
        <v>0</v>
      </c>
      <c r="K31" s="862">
        <f t="shared" si="3"/>
        <v>0</v>
      </c>
      <c r="L31" s="862">
        <f t="shared" si="3"/>
        <v>0</v>
      </c>
      <c r="M31" s="863">
        <f t="shared" si="3"/>
        <v>0</v>
      </c>
      <c r="N31" s="179">
        <f>SUM(B31:M31)</f>
        <v>0</v>
      </c>
    </row>
    <row r="32" spans="1:14" ht="15.75" thickBot="1">
      <c r="A32" s="180" t="str">
        <v xml:space="preserve">Input VAT </v>
      </c>
      <c r="B32" s="861">
        <f t="array" ref="B32:M32">B28:M28*Parameters!$F$33</f>
        <v>0</v>
      </c>
      <c r="C32" s="862">
        <v>0</v>
      </c>
      <c r="D32" s="862">
        <v>0</v>
      </c>
      <c r="E32" s="862">
        <v>0</v>
      </c>
      <c r="F32" s="862">
        <v>0</v>
      </c>
      <c r="G32" s="862">
        <v>0</v>
      </c>
      <c r="H32" s="862">
        <v>0</v>
      </c>
      <c r="I32" s="862">
        <v>0</v>
      </c>
      <c r="J32" s="862">
        <v>0</v>
      </c>
      <c r="K32" s="862">
        <v>0</v>
      </c>
      <c r="L32" s="862">
        <v>0</v>
      </c>
      <c r="M32" s="863">
        <v>0</v>
      </c>
      <c r="N32" s="179">
        <f>SUM(B32:M32)</f>
        <v>0</v>
      </c>
    </row>
    <row r="34" spans="1:14" ht="18.75" thickBot="1">
      <c r="A34" s="2377" t="str">
        <f>Parameters!$D$77</f>
        <v>Year 2:   2028</v>
      </c>
      <c r="B34" s="161"/>
    </row>
    <row r="35" spans="1:14" s="3" customFormat="1" ht="19.5" customHeight="1" thickBot="1">
      <c r="A35" s="165" t="str">
        <f t="array" ref="A35:A40">A$27:A$32</f>
        <v>Months</v>
      </c>
      <c r="B35" s="166">
        <v>25</v>
      </c>
      <c r="C35" s="167">
        <v>26</v>
      </c>
      <c r="D35" s="167">
        <v>27</v>
      </c>
      <c r="E35" s="167">
        <v>28</v>
      </c>
      <c r="F35" s="167">
        <v>29</v>
      </c>
      <c r="G35" s="167">
        <v>30</v>
      </c>
      <c r="H35" s="167">
        <v>31</v>
      </c>
      <c r="I35" s="167">
        <v>32</v>
      </c>
      <c r="J35" s="167">
        <v>33</v>
      </c>
      <c r="K35" s="167">
        <v>34</v>
      </c>
      <c r="L35" s="167">
        <v>35</v>
      </c>
      <c r="M35" s="168">
        <v>36</v>
      </c>
      <c r="N35" s="169" t="s">
        <v>0</v>
      </c>
    </row>
    <row r="36" spans="1:14" s="3" customFormat="1" ht="19.5" customHeight="1">
      <c r="A36" s="170" t="str">
        <v>Payments</v>
      </c>
      <c r="B36" s="171">
        <f t="array" ref="B36:M36">B37:M37+B39:M39</f>
        <v>0</v>
      </c>
      <c r="C36" s="172">
        <v>0</v>
      </c>
      <c r="D36" s="172">
        <v>0</v>
      </c>
      <c r="E36" s="172">
        <v>0</v>
      </c>
      <c r="F36" s="172">
        <v>0</v>
      </c>
      <c r="G36" s="172">
        <v>0</v>
      </c>
      <c r="H36" s="172">
        <v>0</v>
      </c>
      <c r="I36" s="172">
        <v>0</v>
      </c>
      <c r="J36" s="172">
        <v>0</v>
      </c>
      <c r="K36" s="172">
        <v>0</v>
      </c>
      <c r="L36" s="172">
        <v>0</v>
      </c>
      <c r="M36" s="173">
        <v>0</v>
      </c>
      <c r="N36" s="174">
        <f>SUM(B36:M36)</f>
        <v>0</v>
      </c>
    </row>
    <row r="37" spans="1:14" s="3" customFormat="1" ht="19.5" customHeight="1">
      <c r="A37" s="175" t="str">
        <v>Interests</v>
      </c>
      <c r="B37" s="860">
        <f t="array" ref="B37:M37">IF(B35:M35=$F$15,$F$8*$F$5,0)
+IF(MOD((B35:M35-$B$15)*$B$10,12),0,IF(B35:M35&lt;$B$16,$B$5*$B$6/$B$10,IF(B35:M35&lt;=$B$17,IPMT($B$6/$B$10,(B35:M35-$B$15)*$B$10/12+1,$B$9,-$B$5,$B$7),0)))
+IF(MOD((B35:M35-$C$15)*$C$10,12),0,IF(B35:M35&lt;$C$16,$C$5*$C$6/$C$10,IF(B35:M35&lt;=$C$17,IPMT($C$6/$C$10,(B35:M35-$C$15)*$C$10/12+1,$C$9,-$C$5,$C$7),0)))
+IF(MOD((B35:M35-$D$15)*$D$10,12),0,IF(B35:M35&lt;$D$16,$D$5*$D$6/$D$10,IF(B35:M35&lt;=$D$17,IPMT($D$6/$D$10,(B35:M35-$D$15)*$D$10/12+1,$D$9,-$D$5,$D$7),0)))
+IF(MOD((B35:M35-$E$15)*$E$10,12),0,IF(B35:M35&lt;$E$16,$E$5*$E$6/$E$10,IF(B35:M35&lt;=$E$17,IPMT($E$6/$E$10,(B35:M35-$E$15)*$E$10/12+1,$E$9,-$E$5,$E$7),0)))
+IF(MOD((B35:M35-$F$15)*$F$10,12),0,IF(B35:M35&lt;$F$16,$F$5*$F$6/$F$10,IF(B35:M35&lt;$F$17,IPMT($F$6/$F$10,(B35:M35-$F$15)*$F$10/12+1,$F$9,-$F$5,$F$7),0)))</f>
        <v>0</v>
      </c>
      <c r="C37" s="176">
        <v>0</v>
      </c>
      <c r="D37" s="176">
        <v>0</v>
      </c>
      <c r="E37" s="176">
        <v>0</v>
      </c>
      <c r="F37" s="176">
        <v>0</v>
      </c>
      <c r="G37" s="176">
        <v>0</v>
      </c>
      <c r="H37" s="176">
        <v>0</v>
      </c>
      <c r="I37" s="176">
        <v>0</v>
      </c>
      <c r="J37" s="176">
        <v>0</v>
      </c>
      <c r="K37" s="176">
        <v>0</v>
      </c>
      <c r="L37" s="176">
        <v>0</v>
      </c>
      <c r="M37" s="177">
        <v>0</v>
      </c>
      <c r="N37" s="178">
        <f>SUM(B37:M37)</f>
        <v>0</v>
      </c>
    </row>
    <row r="38" spans="1:14" s="3" customFormat="1" ht="19.5" customHeight="1">
      <c r="A38" s="1956" t="str">
        <v>New Leasing Amort.</v>
      </c>
      <c r="B38" s="1957">
        <f t="shared" ref="B38:M38" si="4">+IF(AND(B35&gt;=$F$16,B35&lt;=$F$17,MOD((B35-$F$15)*$F$10,12)=0),PPMT($F$6/$F$10,(B35-$F$15)*$F$10/12+1,$F$9,-$F$5,$F$7),0)</f>
        <v>0</v>
      </c>
      <c r="C38" s="1958">
        <f t="shared" si="4"/>
        <v>0</v>
      </c>
      <c r="D38" s="1958">
        <f t="shared" si="4"/>
        <v>0</v>
      </c>
      <c r="E38" s="1958">
        <f t="shared" si="4"/>
        <v>0</v>
      </c>
      <c r="F38" s="1958">
        <f t="shared" si="4"/>
        <v>0</v>
      </c>
      <c r="G38" s="1958">
        <f t="shared" si="4"/>
        <v>0</v>
      </c>
      <c r="H38" s="1958">
        <f t="shared" si="4"/>
        <v>0</v>
      </c>
      <c r="I38" s="1958">
        <f t="shared" si="4"/>
        <v>0</v>
      </c>
      <c r="J38" s="1958">
        <f t="shared" si="4"/>
        <v>0</v>
      </c>
      <c r="K38" s="1958">
        <f t="shared" si="4"/>
        <v>0</v>
      </c>
      <c r="L38" s="1958">
        <f t="shared" si="4"/>
        <v>0</v>
      </c>
      <c r="M38" s="1959">
        <f t="shared" si="4"/>
        <v>0</v>
      </c>
      <c r="N38" s="178">
        <f>SUM(B38:M38)</f>
        <v>0</v>
      </c>
    </row>
    <row r="39" spans="1:14" s="3" customFormat="1" ht="19.5" customHeight="1" thickBot="1">
      <c r="A39" s="180" t="str">
        <v>Amortizations</v>
      </c>
      <c r="B39" s="861">
        <f t="shared" ref="B39:M39" si="5">IF(AND(B35&gt;=$B$16,B35&lt;=$B$17,MOD((B35-$B$15)*$B$10,12)=0),PPMT($B$6/$B$10,(B35-$B$15)*$B$10/12+1,$B$9,-$B$5,$B$7),0)
+IF(AND(B35&gt;=$C$16,B35&lt;=$C$17,MOD((B35-$C$15)*$C$10,12)=0),PPMT($C$6/$C$10,(B35-$C$15)*$C$10/12+1,$C$9,-$C$5,$C$7),0)
+IF(AND(B35&gt;=$D$16,B35&lt;=$D$17,MOD((B35-$D$15)*$D$10,12)=0),PPMT($D$6/$D$10,(B35-$D$15)*$D$10/12+1,$D$9,-$D$5,$D$7),0)
+IF(AND(B35&gt;=$E$16,B35&lt;=$E$17,MOD((B35-$E$15)*$E$10,12)=0),PPMT($E$6/$E$10,(B35-$E$15)*$E$10/12+1,$E$9,-$E$5,$E$7),0)
+IF(AND(B35&gt;=$F$16,B35&lt;=$F$17,MOD((B35-$F$15)*$F$10,12)=0),PPMT($F$6/$F$10,(B35-$F$15)*$F$10/12+1,$F$9,-$F$5,$F$7),0)</f>
        <v>0</v>
      </c>
      <c r="C39" s="862">
        <f t="shared" si="5"/>
        <v>0</v>
      </c>
      <c r="D39" s="862">
        <f t="shared" si="5"/>
        <v>0</v>
      </c>
      <c r="E39" s="862">
        <f t="shared" si="5"/>
        <v>0</v>
      </c>
      <c r="F39" s="862">
        <f t="shared" si="5"/>
        <v>0</v>
      </c>
      <c r="G39" s="862">
        <f t="shared" si="5"/>
        <v>0</v>
      </c>
      <c r="H39" s="862">
        <f t="shared" si="5"/>
        <v>0</v>
      </c>
      <c r="I39" s="862">
        <f t="shared" si="5"/>
        <v>0</v>
      </c>
      <c r="J39" s="862">
        <f t="shared" si="5"/>
        <v>0</v>
      </c>
      <c r="K39" s="862">
        <f t="shared" si="5"/>
        <v>0</v>
      </c>
      <c r="L39" s="862">
        <f t="shared" si="5"/>
        <v>0</v>
      </c>
      <c r="M39" s="863">
        <f t="shared" si="5"/>
        <v>0</v>
      </c>
      <c r="N39" s="179">
        <f>SUM(B39:M39)</f>
        <v>0</v>
      </c>
    </row>
    <row r="40" spans="1:14" ht="15.75" thickBot="1">
      <c r="A40" s="180" t="str">
        <v xml:space="preserve">Input VAT </v>
      </c>
      <c r="B40" s="861">
        <f t="array" ref="B40:M40">B36:M36*Parameters!$F$33</f>
        <v>0</v>
      </c>
      <c r="C40" s="862">
        <v>0</v>
      </c>
      <c r="D40" s="862">
        <v>0</v>
      </c>
      <c r="E40" s="862">
        <v>0</v>
      </c>
      <c r="F40" s="862">
        <v>0</v>
      </c>
      <c r="G40" s="862">
        <v>0</v>
      </c>
      <c r="H40" s="862">
        <v>0</v>
      </c>
      <c r="I40" s="862">
        <v>0</v>
      </c>
      <c r="J40" s="862">
        <v>0</v>
      </c>
      <c r="K40" s="862">
        <v>0</v>
      </c>
      <c r="L40" s="862">
        <v>0</v>
      </c>
      <c r="M40" s="863">
        <v>0</v>
      </c>
      <c r="N40" s="179">
        <f>SUM(B40:M40)</f>
        <v>0</v>
      </c>
    </row>
    <row r="42" spans="1:14" ht="18.75" thickBot="1">
      <c r="A42" s="2377" t="str">
        <f>Parameters!$E$77</f>
        <v>Year 3:   2029</v>
      </c>
      <c r="B42" s="161"/>
    </row>
    <row r="43" spans="1:14" s="3" customFormat="1" ht="19.5" customHeight="1" thickBot="1">
      <c r="A43" s="165" t="str">
        <f t="array" ref="A43:A48">A$27:A$32</f>
        <v>Months</v>
      </c>
      <c r="B43" s="166">
        <v>37</v>
      </c>
      <c r="C43" s="167">
        <v>38</v>
      </c>
      <c r="D43" s="167">
        <v>39</v>
      </c>
      <c r="E43" s="167">
        <v>40</v>
      </c>
      <c r="F43" s="167">
        <v>41</v>
      </c>
      <c r="G43" s="167">
        <v>42</v>
      </c>
      <c r="H43" s="167">
        <v>43</v>
      </c>
      <c r="I43" s="167">
        <v>44</v>
      </c>
      <c r="J43" s="167">
        <v>45</v>
      </c>
      <c r="K43" s="167">
        <v>46</v>
      </c>
      <c r="L43" s="167">
        <v>47</v>
      </c>
      <c r="M43" s="168">
        <v>48</v>
      </c>
      <c r="N43" s="169" t="s">
        <v>0</v>
      </c>
    </row>
    <row r="44" spans="1:14" s="3" customFormat="1" ht="19.5" customHeight="1">
      <c r="A44" s="170" t="str">
        <v>Payments</v>
      </c>
      <c r="B44" s="171">
        <f t="array" ref="B44:M44">B45:M45+B47:M47</f>
        <v>0</v>
      </c>
      <c r="C44" s="172">
        <v>0</v>
      </c>
      <c r="D44" s="172">
        <v>0</v>
      </c>
      <c r="E44" s="172">
        <v>0</v>
      </c>
      <c r="F44" s="172">
        <v>0</v>
      </c>
      <c r="G44" s="172">
        <v>0</v>
      </c>
      <c r="H44" s="172">
        <v>0</v>
      </c>
      <c r="I44" s="172">
        <v>0</v>
      </c>
      <c r="J44" s="172">
        <v>0</v>
      </c>
      <c r="K44" s="172">
        <v>0</v>
      </c>
      <c r="L44" s="172">
        <v>0</v>
      </c>
      <c r="M44" s="173">
        <v>0</v>
      </c>
      <c r="N44" s="174">
        <f>SUM(B44:M44)</f>
        <v>0</v>
      </c>
    </row>
    <row r="45" spans="1:14" s="3" customFormat="1" ht="19.5" customHeight="1">
      <c r="A45" s="175" t="str">
        <v>Interests</v>
      </c>
      <c r="B45" s="860">
        <f t="array" ref="B45:M45">IF(B43:M43=37,$G$8*$G$5,0)
+IF(MOD((B43:M43-$B$15)*$B$10,12),0,IF(B43:M43&lt;$B$16,$B$5*$B$6/$B$10,IF(B43:M43&lt;=$B$17,IPMT($B$6/$B$10,(B43:M43-$B$15)*$B$10/12+1,$B$9,-$B$5,$B$7),0)))
+IF(MOD((B43:M43-$C$15)*$C$10,12),0,IF(B43:M43&lt;$C$16,$C$5*$C$6/$C$10,IF(B43:M43&lt;=$C$17,IPMT($C$6/$C$10,(B43:M43-$C$15)*$C$10/12+1,$C$9,-$C$5,$C$7),0)))
+IF(MOD((B43:M43-$D$15)*$D$10,12),0,IF(B43:M43&lt;$D$16,$D$5*$D$6/$D$10,IF(B43:M43&lt;=$D$17,IPMT($D$6/$D$10,(B43:M43-$D$15)*$D$10/12+1,$D$9,-$D$5,$D$7),0)))
+IF(MOD((B43:M43-$E$15)*$E$10,12),0,IF(B43:M43&lt;$E$16,$E$5*$E$6/$E$10,IF(B43:M43&lt;=$E$17,IPMT($E$6/$E$10,(B43:M43-$E$15)*$E$10/12+1,$E$9,-$E$5,$E$7),0)))
+IF(MOD((B43:M43-$F$15)*$F$10,12),0,IF(B43:M43&lt;$F$16,$F$5*$F$6/$F$10,IF(B43:M43&lt;=$F$17,IPMT($F$6/$F$10,(B43:M43-$F$15)*$F$10/12+1,$F$9,-$F$5,$F$7),0)))
+IF(MOD((B43:M43-$G$15)*$G$10,12),0,IF(B43:M43&lt;$G$16,$G$5*$G$6/$G$10,IF(B43:M43&lt;=$G$17,IPMT($G$6/$G$10,(B43:M43-$G$15)*$G$10/12+1,$G$9,-$G$5,$G$7),0)))</f>
        <v>0</v>
      </c>
      <c r="C45" s="176">
        <v>0</v>
      </c>
      <c r="D45" s="176">
        <v>0</v>
      </c>
      <c r="E45" s="176">
        <v>0</v>
      </c>
      <c r="F45" s="176">
        <v>0</v>
      </c>
      <c r="G45" s="176">
        <v>0</v>
      </c>
      <c r="H45" s="176">
        <v>0</v>
      </c>
      <c r="I45" s="176">
        <v>0</v>
      </c>
      <c r="J45" s="176">
        <v>0</v>
      </c>
      <c r="K45" s="176">
        <v>0</v>
      </c>
      <c r="L45" s="176">
        <v>0</v>
      </c>
      <c r="M45" s="177">
        <v>0</v>
      </c>
      <c r="N45" s="178">
        <f>SUM(B45:M45)</f>
        <v>0</v>
      </c>
    </row>
    <row r="46" spans="1:14" s="3" customFormat="1" ht="19.5" customHeight="1">
      <c r="A46" s="1956" t="str">
        <v>New Leasing Amort.</v>
      </c>
      <c r="B46" s="1957">
        <f t="shared" ref="B46:M46" si="6">+IF(AND(B43&gt;=$G$16,B43&lt;=$G$17,MOD((B43-$G$15)*$G$10,12)=0),PPMT($G$6/$G$10,(B43-$G$15)*$G$10/12+1,$G$9,-$G$5,$G$7),0)</f>
        <v>0</v>
      </c>
      <c r="C46" s="1958">
        <f t="shared" si="6"/>
        <v>0</v>
      </c>
      <c r="D46" s="1958">
        <f t="shared" si="6"/>
        <v>0</v>
      </c>
      <c r="E46" s="1958">
        <f t="shared" si="6"/>
        <v>0</v>
      </c>
      <c r="F46" s="1958">
        <f t="shared" si="6"/>
        <v>0</v>
      </c>
      <c r="G46" s="1958">
        <f t="shared" si="6"/>
        <v>0</v>
      </c>
      <c r="H46" s="1958">
        <f t="shared" si="6"/>
        <v>0</v>
      </c>
      <c r="I46" s="1958">
        <f t="shared" si="6"/>
        <v>0</v>
      </c>
      <c r="J46" s="1958">
        <f t="shared" si="6"/>
        <v>0</v>
      </c>
      <c r="K46" s="1958">
        <f t="shared" si="6"/>
        <v>0</v>
      </c>
      <c r="L46" s="1958">
        <f t="shared" si="6"/>
        <v>0</v>
      </c>
      <c r="M46" s="1959">
        <f t="shared" si="6"/>
        <v>0</v>
      </c>
      <c r="N46" s="178">
        <f>SUM(B46:M46)</f>
        <v>0</v>
      </c>
    </row>
    <row r="47" spans="1:14" s="3" customFormat="1" ht="19.5" customHeight="1" thickBot="1">
      <c r="A47" s="180" t="str">
        <v>Amortizations</v>
      </c>
      <c r="B47" s="861">
        <f t="shared" ref="B47:M47" si="7">IF(AND(B43&gt;=$B$16,B43&lt;=$B$17,MOD((B43-$B$15)*$B$10,12)=0),PPMT($B$6/$B$10,(B43-$B$15)*$B$10/12+1,$B$9,-$B$5,$B$7),0)
+IF(AND(B43&gt;=$C$16,B43&lt;=$C$17,MOD((B43-$C$15)*$C$10,12)=0),PPMT($C$6/$C$10,(B43-$C$15)*$C$10/12+1,$C$9,-$C$5,$C$7),0)
+IF(AND(B43&gt;=$D$16,B43&lt;=$D$17,MOD((B43-$D$15)*$D$10,12)=0),PPMT($D$6/$D$10,(B43-$D$15)*$D$10/12+1,$D$9,-$D$5,$D$7),0)
+IF(AND(B43&gt;=$E$16,B43&lt;=$E$17,MOD((B43-$E$15)*$E$10,12)=0),PPMT($E$6/$E$10,(B43-$E$15)*$E$10/12+1,$E$9,-$E$5,$E$7),0)
+IF(AND(B43&gt;=$F$16,B43&lt;=$F$17,MOD((B43-$F$15)*$F$10,12)=0),PPMT($F$6/$F$10,(B43-$F$15)*$F$10/12+1,$F$9,-$F$5,$F$7),0)
+IF(AND(B43&gt;=$G$16,B43&lt;=$G$17,MOD((B43-$G$15)*$G$10,12)=0),PPMT($G$6/$G$10,(B43-$G$15)*$G$10/12+1,$G$9,-$G$5,$G$7),0)</f>
        <v>0</v>
      </c>
      <c r="C47" s="862">
        <f t="shared" si="7"/>
        <v>0</v>
      </c>
      <c r="D47" s="862">
        <f t="shared" si="7"/>
        <v>0</v>
      </c>
      <c r="E47" s="862">
        <f t="shared" si="7"/>
        <v>0</v>
      </c>
      <c r="F47" s="862">
        <f t="shared" si="7"/>
        <v>0</v>
      </c>
      <c r="G47" s="862">
        <f t="shared" si="7"/>
        <v>0</v>
      </c>
      <c r="H47" s="862">
        <f t="shared" si="7"/>
        <v>0</v>
      </c>
      <c r="I47" s="862">
        <f t="shared" si="7"/>
        <v>0</v>
      </c>
      <c r="J47" s="862">
        <f t="shared" si="7"/>
        <v>0</v>
      </c>
      <c r="K47" s="862">
        <f t="shared" si="7"/>
        <v>0</v>
      </c>
      <c r="L47" s="862">
        <f t="shared" si="7"/>
        <v>0</v>
      </c>
      <c r="M47" s="863">
        <f t="shared" si="7"/>
        <v>0</v>
      </c>
      <c r="N47" s="179">
        <f>SUM(B47:M47)</f>
        <v>0</v>
      </c>
    </row>
    <row r="48" spans="1:14" ht="15.75" thickBot="1">
      <c r="A48" s="180" t="str">
        <v xml:space="preserve">Input VAT </v>
      </c>
      <c r="B48" s="861">
        <f t="array" ref="B48:M48">B44:M44*Parameters!$F$33</f>
        <v>0</v>
      </c>
      <c r="C48" s="862">
        <v>0</v>
      </c>
      <c r="D48" s="862">
        <v>0</v>
      </c>
      <c r="E48" s="862">
        <v>0</v>
      </c>
      <c r="F48" s="862">
        <v>0</v>
      </c>
      <c r="G48" s="862">
        <v>0</v>
      </c>
      <c r="H48" s="862">
        <v>0</v>
      </c>
      <c r="I48" s="862">
        <v>0</v>
      </c>
      <c r="J48" s="862">
        <v>0</v>
      </c>
      <c r="K48" s="862">
        <v>0</v>
      </c>
      <c r="L48" s="862">
        <v>0</v>
      </c>
      <c r="M48" s="863">
        <v>0</v>
      </c>
      <c r="N48" s="179">
        <f>SUM(B48:M48)</f>
        <v>0</v>
      </c>
    </row>
    <row r="50" spans="1:14" ht="18.75" thickBot="1">
      <c r="A50" s="2377" t="str">
        <f>Parameters!$F$77</f>
        <v>Year 4:   2030</v>
      </c>
      <c r="B50" s="161"/>
    </row>
    <row r="51" spans="1:14" s="3" customFormat="1" ht="19.5" customHeight="1" thickBot="1">
      <c r="A51" s="165" t="str">
        <f t="array" ref="A51:A56">A$27:A$32</f>
        <v>Months</v>
      </c>
      <c r="B51" s="166">
        <v>49</v>
      </c>
      <c r="C51" s="167">
        <v>50</v>
      </c>
      <c r="D51" s="167">
        <v>51</v>
      </c>
      <c r="E51" s="167">
        <v>52</v>
      </c>
      <c r="F51" s="167">
        <v>53</v>
      </c>
      <c r="G51" s="167">
        <v>54</v>
      </c>
      <c r="H51" s="167">
        <v>55</v>
      </c>
      <c r="I51" s="167">
        <v>56</v>
      </c>
      <c r="J51" s="167">
        <v>57</v>
      </c>
      <c r="K51" s="167">
        <v>58</v>
      </c>
      <c r="L51" s="167">
        <v>59</v>
      </c>
      <c r="M51" s="168">
        <v>60</v>
      </c>
      <c r="N51" s="169" t="s">
        <v>0</v>
      </c>
    </row>
    <row r="52" spans="1:14" s="3" customFormat="1" ht="19.5" customHeight="1">
      <c r="A52" s="170" t="str">
        <v>Payments</v>
      </c>
      <c r="B52" s="171">
        <f t="array" ref="B52:M52">B53:M53+B55:M55</f>
        <v>0</v>
      </c>
      <c r="C52" s="172">
        <v>0</v>
      </c>
      <c r="D52" s="172">
        <v>0</v>
      </c>
      <c r="E52" s="172">
        <v>0</v>
      </c>
      <c r="F52" s="172">
        <v>0</v>
      </c>
      <c r="G52" s="172">
        <v>0</v>
      </c>
      <c r="H52" s="172">
        <v>0</v>
      </c>
      <c r="I52" s="172">
        <v>0</v>
      </c>
      <c r="J52" s="172">
        <v>0</v>
      </c>
      <c r="K52" s="172">
        <v>0</v>
      </c>
      <c r="L52" s="172">
        <v>0</v>
      </c>
      <c r="M52" s="173">
        <v>0</v>
      </c>
      <c r="N52" s="174">
        <f>SUM(B52:M52)</f>
        <v>0</v>
      </c>
    </row>
    <row r="53" spans="1:14" s="3" customFormat="1" ht="19.5" customHeight="1">
      <c r="A53" s="175" t="str">
        <v>Interests</v>
      </c>
      <c r="B53" s="860">
        <f t="array" ref="B53:M53">IF(B51:M51=$H$15,$H$8*$H$5,0)
+IF(MOD((B51:M51-$B$15)*$B$10,12),0,IF(B51:M51&lt;$B$16,$B$5*$B$6/$B$10,IF(B51:M51&lt;=$B$17,IPMT($B$6/$B$10,(B51:M51-$B$15)*$B$10/12+1,$B$9,-$B$5,$B$7),0)))
+IF(MOD((B51:M51-$C$15)*$C$10,12),0,IF(B51:M51&lt;$C$16,$C$5*$C$6/$C$10,IF(B51:M51&lt;=$C$17,IPMT($C$6/$C$10,(B51:M51-$C$15)*$C$10/12+1,$C$9,-$C$5,$C$7),0)))
+IF(MOD((B51:M51-$D$15)*$D$10,12),0,IF(B51:M51&lt;$D$16,$D$5*$D$6/$D$10,IF(B51:M51&lt;=$D$17,IPMT($D$6/$D$10,(B51:M51-$D$15)*$D$10/12+1,$D$9,-$D$5,$D$7),0)))
+IF(MOD((B51:M51-$E$15)*$E$10,12),0,IF(B51:M51&lt;$E$16,$E$5*$E$6/$E$10,IF(B51:M51&lt;=$E$17,IPMT($E$6/$E$10,(B51:M51-$E$15)*$E$10/12+1,$E$9,-$E$5,$E$7),0)))
+IF(MOD((B51:M51-$F$15)*$F$10,12),0,IF(B51:M51&lt;$F$16,$F$5*$F$6/$F$10,IF(B51:M51&lt;=$F$17,IPMT($F$6/$F$10,(B51:M51-$F$15)*$F$10/12+1,$F$9,-$F$5,$F$7),0)))
+IF(MOD((B51:M51-$G$15)*$G$10,12),0,IF(B51:M51&lt;$G$16,$G$5*$G$6/$G$10,IF(B51:M51&lt;=$G$17,IPMT($G$6/$G$10,(B51:M51-$G$15)*$G$10/12+1,$G$9,-$G$5,$G$7),0)))
+IF(MOD((B51:M51-$H$15)*$H$10,12),0,IF(B51:M51&lt;$H$16,$H$5*$H$6/$H$10,IF(B51:M51&lt;=$H$17,IPMT($H$6/$H$10,(B51:M51-$H$15)*$H$10/12+1,$H$9,-$H$5,$H$7),0)))</f>
        <v>0</v>
      </c>
      <c r="C53" s="176">
        <v>0</v>
      </c>
      <c r="D53" s="176">
        <v>0</v>
      </c>
      <c r="E53" s="176">
        <v>0</v>
      </c>
      <c r="F53" s="176">
        <v>0</v>
      </c>
      <c r="G53" s="176">
        <v>0</v>
      </c>
      <c r="H53" s="176">
        <v>0</v>
      </c>
      <c r="I53" s="176">
        <v>0</v>
      </c>
      <c r="J53" s="176">
        <v>0</v>
      </c>
      <c r="K53" s="176">
        <v>0</v>
      </c>
      <c r="L53" s="176">
        <v>0</v>
      </c>
      <c r="M53" s="177">
        <v>0</v>
      </c>
      <c r="N53" s="178">
        <f>SUM(B53:M53)</f>
        <v>0</v>
      </c>
    </row>
    <row r="54" spans="1:14" s="3" customFormat="1" ht="19.5" customHeight="1">
      <c r="A54" s="1956" t="str">
        <v>New Leasing Amort.</v>
      </c>
      <c r="B54" s="1957">
        <f t="shared" ref="B54:M54" si="8">+IF(AND(B51&gt;=$H$16,B51&lt;=$H$17,MOD((B51-$H$15)*$H$10,12)=0),PPMT($H$6/$H$10,(B51-$H$15)*$H$10/12+1,$H$9,-$H$5,$H$7),0)</f>
        <v>0</v>
      </c>
      <c r="C54" s="1958">
        <f t="shared" si="8"/>
        <v>0</v>
      </c>
      <c r="D54" s="1958">
        <f t="shared" si="8"/>
        <v>0</v>
      </c>
      <c r="E54" s="1958">
        <f t="shared" si="8"/>
        <v>0</v>
      </c>
      <c r="F54" s="1958">
        <f t="shared" si="8"/>
        <v>0</v>
      </c>
      <c r="G54" s="1958">
        <f t="shared" si="8"/>
        <v>0</v>
      </c>
      <c r="H54" s="1958">
        <f t="shared" si="8"/>
        <v>0</v>
      </c>
      <c r="I54" s="1958">
        <f t="shared" si="8"/>
        <v>0</v>
      </c>
      <c r="J54" s="1958">
        <f t="shared" si="8"/>
        <v>0</v>
      </c>
      <c r="K54" s="1958">
        <f t="shared" si="8"/>
        <v>0</v>
      </c>
      <c r="L54" s="1958">
        <f t="shared" si="8"/>
        <v>0</v>
      </c>
      <c r="M54" s="1959">
        <f t="shared" si="8"/>
        <v>0</v>
      </c>
      <c r="N54" s="178">
        <f>SUM(B54:M54)</f>
        <v>0</v>
      </c>
    </row>
    <row r="55" spans="1:14" s="3" customFormat="1" ht="19.5" customHeight="1" thickBot="1">
      <c r="A55" s="180" t="str">
        <v>Amortizations</v>
      </c>
      <c r="B55" s="861">
        <f t="shared" ref="B55:M55" si="9">IF(AND(B51&gt;=$B$16,B51&lt;=$B$17,MOD((B51-$B$15)*$B$10,12)=0),PPMT($B$6/$B$10,(B51-$B$15)*$B$10/12+1,$B$9,-$B$5,$B$7),0)
+IF(AND(B51&gt;=$C$16,B51&lt;=$C$17,MOD((B51-$C$15)*$C$10,12)=0),PPMT($C$6/$C$10,(B51-$C$15)*$C$10/12+1,$C$9,-$C$5,$C$7),0)
+IF(AND(B51&gt;=$D$16,B51&lt;=$D$17,MOD((B51-$D$15)*$D$10,12)=0),PPMT($D$6/$D$10,(B51-$D$15)*$D$10/12+1,$D$9,-$D$5,$D$7),0)
+IF(AND(B51&gt;=$E$16,B51&lt;=$E$17,MOD((B51-$E$15)*$E$10,12)=0),PPMT($E$6/$E$10,(B51-$E$15)*$E$10/12+1,$E$9,-$E$5,$E$7),0)
+IF(AND(B51&gt;=$F$16,B51&lt;=$F$17,MOD((B51-$F$15)*$F$10,12)=0),PPMT($F$6/$F$10,(B51-$F$15)*$F$10/12+1,$F$9,-$F$5,$F$7),0)
+IF(AND(B51&gt;=$G$16,B51&lt;=$G$17,MOD((B51-$G$15)*$G$10,12)=0),PPMT($G$6/$G$10,(B51-$G$15)*$G$10/12+1,$G$9,-$G$5,$G$7),0)
+IF(AND(B51&gt;=$H$16,B51&lt;=$H$17,MOD((B51-$H$15)*$H$10,12)=0),PPMT($H$6/$H$10,(B51-$H$15)*$H$10/12+1,$H$9,-$H$5,$H$7),0)</f>
        <v>0</v>
      </c>
      <c r="C55" s="862">
        <f t="shared" si="9"/>
        <v>0</v>
      </c>
      <c r="D55" s="862">
        <f t="shared" si="9"/>
        <v>0</v>
      </c>
      <c r="E55" s="862">
        <f t="shared" si="9"/>
        <v>0</v>
      </c>
      <c r="F55" s="862">
        <f t="shared" si="9"/>
        <v>0</v>
      </c>
      <c r="G55" s="862">
        <f t="shared" si="9"/>
        <v>0</v>
      </c>
      <c r="H55" s="862">
        <f t="shared" si="9"/>
        <v>0</v>
      </c>
      <c r="I55" s="862">
        <f t="shared" si="9"/>
        <v>0</v>
      </c>
      <c r="J55" s="862">
        <f t="shared" si="9"/>
        <v>0</v>
      </c>
      <c r="K55" s="862">
        <f t="shared" si="9"/>
        <v>0</v>
      </c>
      <c r="L55" s="862">
        <f t="shared" si="9"/>
        <v>0</v>
      </c>
      <c r="M55" s="863">
        <f t="shared" si="9"/>
        <v>0</v>
      </c>
      <c r="N55" s="179">
        <f>SUM(B55:M55)</f>
        <v>0</v>
      </c>
    </row>
    <row r="56" spans="1:14" ht="15.75" thickBot="1">
      <c r="A56" s="180" t="str">
        <v xml:space="preserve">Input VAT </v>
      </c>
      <c r="B56" s="861">
        <f t="array" ref="B56:M56">B52:M52*Parameters!$F$33</f>
        <v>0</v>
      </c>
      <c r="C56" s="862">
        <v>0</v>
      </c>
      <c r="D56" s="862">
        <v>0</v>
      </c>
      <c r="E56" s="862">
        <v>0</v>
      </c>
      <c r="F56" s="862">
        <v>0</v>
      </c>
      <c r="G56" s="862">
        <v>0</v>
      </c>
      <c r="H56" s="862">
        <v>0</v>
      </c>
      <c r="I56" s="862">
        <v>0</v>
      </c>
      <c r="J56" s="862">
        <v>0</v>
      </c>
      <c r="K56" s="862">
        <v>0</v>
      </c>
      <c r="L56" s="862">
        <v>0</v>
      </c>
      <c r="M56" s="863">
        <v>0</v>
      </c>
      <c r="N56" s="179">
        <f>SUM(B56:M56)</f>
        <v>0</v>
      </c>
    </row>
    <row r="58" spans="1:14" ht="18.75" thickBot="1">
      <c r="A58" s="2377" t="str">
        <f>Parameters!$G$77</f>
        <v>Year 5 :   2031</v>
      </c>
      <c r="B58" s="161"/>
    </row>
    <row r="59" spans="1:14" s="3" customFormat="1" ht="19.5" customHeight="1" thickBot="1">
      <c r="A59" s="165" t="str">
        <f t="array" ref="A59:A63">A20:A24</f>
        <v>Months</v>
      </c>
      <c r="B59" s="166">
        <v>61</v>
      </c>
      <c r="C59" s="167">
        <v>62</v>
      </c>
      <c r="D59" s="167">
        <v>63</v>
      </c>
      <c r="E59" s="167">
        <v>64</v>
      </c>
      <c r="F59" s="167">
        <v>65</v>
      </c>
      <c r="G59" s="167">
        <v>66</v>
      </c>
      <c r="H59" s="167">
        <v>67</v>
      </c>
      <c r="I59" s="167">
        <v>68</v>
      </c>
      <c r="J59" s="167">
        <v>69</v>
      </c>
      <c r="K59" s="167">
        <v>70</v>
      </c>
      <c r="L59" s="167">
        <v>71</v>
      </c>
      <c r="M59" s="168">
        <v>72</v>
      </c>
      <c r="N59" s="169" t="s">
        <v>0</v>
      </c>
    </row>
    <row r="60" spans="1:14" s="3" customFormat="1" ht="19.5" customHeight="1">
      <c r="A60" s="170" t="str">
        <v>Payments</v>
      </c>
      <c r="B60" s="171">
        <f t="array" ref="B60:M60">B61:M61+B62:M62</f>
        <v>0</v>
      </c>
      <c r="C60" s="172">
        <v>0</v>
      </c>
      <c r="D60" s="172">
        <v>0</v>
      </c>
      <c r="E60" s="172">
        <v>0</v>
      </c>
      <c r="F60" s="172">
        <v>0</v>
      </c>
      <c r="G60" s="172">
        <v>0</v>
      </c>
      <c r="H60" s="172">
        <v>0</v>
      </c>
      <c r="I60" s="172">
        <v>0</v>
      </c>
      <c r="J60" s="172">
        <v>0</v>
      </c>
      <c r="K60" s="172">
        <v>0</v>
      </c>
      <c r="L60" s="172">
        <v>0</v>
      </c>
      <c r="M60" s="173">
        <v>0</v>
      </c>
      <c r="N60" s="174">
        <f>SUM(B60:M60)</f>
        <v>0</v>
      </c>
    </row>
    <row r="61" spans="1:14" s="3" customFormat="1" ht="19.5" customHeight="1">
      <c r="A61" s="175" t="str">
        <v>Interests</v>
      </c>
      <c r="B61" s="860">
        <f t="array" ref="B61:M61">IF(MOD((B59:M59-$B$15)*$B$10,12),0,IF(B59:M59&lt;$B$16,$B$5*$B$6/$B$10,IF(B59:M59&lt;=$B$17,IPMT($B$6/$B$10,(B59:M59-$B$15)*$B$10/12+1,$B$9,-$B$5,$B$7),0)))
+IF(MOD((B59:M59-$C$15)*$C$10,12),0,IF(B59:M59&lt;$C$16,$C$5*$C$6/$C$10,IF(B59:M59&lt;=$C$17,IPMT($C$6/$C$10,(B59:M59-$C$15)*$C$10/12+1,$C$9,-$C$5,$C$7),0)))
+IF(MOD((B59:M59-$D$15)*$D$10,12),0,IF(B59:M59&lt;$D$16,$D$5*$D$6/$D$10,IF(B59:M59&lt;=$D$17,IPMT($D$6/$D$10,(B59:M59-$D$15)*$D$10/12+1,$D$9,-$D$5,$D$7),0)))
+IF(MOD((B59:M59-$E$15)*$E$10,12),0,IF(B59:M59&lt;$E$16,$E$5*$E$6/$E$10,IF(B59:M59&lt;=$E$17,IPMT($E$6/$E$10,(B59:M59-$E$15)*$E$10/12+1,$E$9,-$E$5,$E$7),0)))
+IF(MOD((B59:M59-$F$15)*$F$10,12),0,IF(B59:M59&lt;$F$16,$F$5*$F$6/$F$10,IF(B59:M59&lt;=$F$17,IPMT($F$6/$F$10,(B59:M59-$F$15)*$F$10/12+1,$F$9,-$F$5,$F$7),0)))
+IF(MOD((B59:M59-$G$15)*$G$10,12),0,IF(B59:M59&lt;$G$16,$G$5*$G$6/$G$10,IF(B59:M59&lt;=$G$17,IPMT($G$6/$G$10,(B59:M59-$G$15)*$G$10/12+1,$G$9,-$G$5,$G$7),0)))
+IF(MOD((B59:M59-$H$15)*$H$10,12),0,IF(B59:M59&lt;$H$16,$H$5*$H$6/$H$10,IF(B59:M59&lt;=$H$17,IPMT($H$6/$H$10,(B59:M59-$H$15)*$H$10/12+1,$H$9,-$H$5,$H$7),0)))</f>
        <v>0</v>
      </c>
      <c r="C61" s="176">
        <v>0</v>
      </c>
      <c r="D61" s="176">
        <v>0</v>
      </c>
      <c r="E61" s="176">
        <v>0</v>
      </c>
      <c r="F61" s="176">
        <v>0</v>
      </c>
      <c r="G61" s="176">
        <v>0</v>
      </c>
      <c r="H61" s="176">
        <v>0</v>
      </c>
      <c r="I61" s="176">
        <v>0</v>
      </c>
      <c r="J61" s="176">
        <v>0</v>
      </c>
      <c r="K61" s="176">
        <v>0</v>
      </c>
      <c r="L61" s="176">
        <v>0</v>
      </c>
      <c r="M61" s="177">
        <v>0</v>
      </c>
      <c r="N61" s="178">
        <f>SUM(B61:M61)</f>
        <v>0</v>
      </c>
    </row>
    <row r="62" spans="1:14" s="3" customFormat="1" ht="19.5" customHeight="1" thickBot="1">
      <c r="A62" s="180" t="str">
        <v>Amortizations</v>
      </c>
      <c r="B62" s="861">
        <f t="shared" ref="B62:M62" si="10">IF(AND(B59&gt;=$B$16,B59&lt;=$B$17,MOD((B59-$B$15)*$B$10,12)=0),PPMT($B$6/$B$10,(B59-$B$15)*$B$10/12+1,$B$9,-$B$5,$B$7),0)
+IF(AND(B59&gt;=$C$16,B59&lt;=$C$17,MOD((B59-$C$15)*$C$10,12)=0),PPMT($C$6/$C$10,(B59-$C$15)*$C$10/12+1,$C$9,-$C$5,$C$7),0)
+IF(AND(B59&gt;=$D$16,B59&lt;=$D$17,MOD((B59-$D$15)*$D$10,12)=0),PPMT($D$6/$D$10,(B59-$D$15)*$D$10/12+1,$D$9,-$D$5,$D$7),0)
+IF(AND(B59&gt;=$E$16,B59&lt;=$E$17,MOD((B59-$E$15)*$E$10,12)=0),PPMT($E$6/$E$10,(B59-$E$15)*$E$10/12+1,$E$9,-$E$5,$E$7),0)
+IF(AND(B59&gt;=$F$16,B59&lt;=$F$17,MOD((B59-$F$15)*$F$10,12)=0),PPMT($F$6/$F$10,(B59-$F$15)*$F$10/12+1,$F$9,-$F$5,$F$7),0)
+IF(AND(B59&gt;=$G$16,B59&lt;=$G$17,MOD((B59-$G$15)*$G$10,12)=0),PPMT($G$6/$G$10,(B59-$G$15)*$G$10/12+1,$G$9,-$G$5,$G$7),0)
+IF(AND(B59&gt;=$H$16,B59&lt;=$H$17,MOD((B59-$H$15)*$H$10,12)=0),PPMT($H$6/$H$10,(B59-$H$15)*$H$10/12+1,$H$9,-$H$5,$H$7),0)</f>
        <v>0</v>
      </c>
      <c r="C62" s="862">
        <f t="shared" si="10"/>
        <v>0</v>
      </c>
      <c r="D62" s="862">
        <f t="shared" si="10"/>
        <v>0</v>
      </c>
      <c r="E62" s="862">
        <f t="shared" si="10"/>
        <v>0</v>
      </c>
      <c r="F62" s="862">
        <f t="shared" si="10"/>
        <v>0</v>
      </c>
      <c r="G62" s="862">
        <f t="shared" si="10"/>
        <v>0</v>
      </c>
      <c r="H62" s="862">
        <f t="shared" si="10"/>
        <v>0</v>
      </c>
      <c r="I62" s="862">
        <f t="shared" si="10"/>
        <v>0</v>
      </c>
      <c r="J62" s="862">
        <f t="shared" si="10"/>
        <v>0</v>
      </c>
      <c r="K62" s="862">
        <f t="shared" si="10"/>
        <v>0</v>
      </c>
      <c r="L62" s="862">
        <f t="shared" si="10"/>
        <v>0</v>
      </c>
      <c r="M62" s="863">
        <f t="shared" si="10"/>
        <v>0</v>
      </c>
      <c r="N62" s="179">
        <f>SUM(B62:M62)</f>
        <v>0</v>
      </c>
    </row>
    <row r="63" spans="1:14" ht="15.75" thickBot="1">
      <c r="A63" s="180" t="str">
        <v xml:space="preserve">Input VAT </v>
      </c>
      <c r="B63" s="861">
        <f t="array" ref="B63:M63">B60:M60*Parameters!$F$33</f>
        <v>0</v>
      </c>
      <c r="C63" s="862">
        <v>0</v>
      </c>
      <c r="D63" s="862">
        <v>0</v>
      </c>
      <c r="E63" s="862">
        <v>0</v>
      </c>
      <c r="F63" s="862">
        <v>0</v>
      </c>
      <c r="G63" s="862">
        <v>0</v>
      </c>
      <c r="H63" s="862">
        <v>0</v>
      </c>
      <c r="I63" s="862">
        <v>0</v>
      </c>
      <c r="J63" s="862">
        <v>0</v>
      </c>
      <c r="K63" s="862">
        <v>0</v>
      </c>
      <c r="L63" s="862">
        <v>0</v>
      </c>
      <c r="M63" s="863">
        <v>0</v>
      </c>
      <c r="N63" s="179">
        <f>SUM(B63:M63)</f>
        <v>0</v>
      </c>
    </row>
  </sheetData>
  <sheetProtection sheet="1" objects="1" scenarios="1"/>
  <phoneticPr fontId="7" type="noConversion"/>
  <dataValidations disablePrompts="1" xWindow="106" yWindow="209" count="4">
    <dataValidation type="list" allowBlank="1" showInputMessage="1" showErrorMessage="1" prompt="  1 = 1 solo pago anual_x000a_  2 = pagos semestrales_x000a_  3 = pagos cuatrimestrales_x000a_  4 = pagos trimestrales_x000a_  6 = pagos bimensuales_x000a_12 = pagos mensuales" sqref="D10:H10" xr:uid="{00000000-0002-0000-0C00-000000000000}">
      <formula1>"1,2,3,4,6,12"</formula1>
    </dataValidation>
    <dataValidation type="whole" allowBlank="1" showInputMessage="1" showErrorMessage="1" sqref="D9:H9" xr:uid="{00000000-0002-0000-0C00-000001000000}">
      <formula1>0</formula1>
      <formula2>400</formula2>
    </dataValidation>
    <dataValidation allowBlank="1" showInputMessage="1" showErrorMessage="1" prompt="Tipo nominal anual" sqref="D6:H7" xr:uid="{00000000-0002-0000-0C00-000002000000}"/>
    <dataValidation type="decimal" allowBlank="1" showInputMessage="1" showErrorMessage="1" sqref="D8:H8" xr:uid="{00000000-0002-0000-0C00-000003000000}">
      <formula1>0</formula1>
      <formula2>0.05</formula2>
    </dataValidation>
  </dataValidations>
  <printOptions horizontalCentered="1"/>
  <pageMargins left="0.56000000000000005" right="0.69" top="0.66" bottom="0.55000000000000004" header="0.51181102362204722" footer="0.43"/>
  <pageSetup paperSize="9" scale="48" orientation="landscape" horizontalDpi="4294967292" verticalDpi="300" r:id="rId1"/>
  <headerFooter alignWithMargins="0">
    <oddFooter>&amp;C&amp;"Tahoma,Normal"&amp;10&amp;A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62">
    <tabColor indexed="42"/>
    <pageSetUpPr fitToPage="1"/>
  </sheetPr>
  <dimension ref="A1:N59"/>
  <sheetViews>
    <sheetView showGridLines="0" topLeftCell="A24" zoomScale="75" zoomScaleNormal="75" workbookViewId="0">
      <pane xSplit="1" topLeftCell="B1" activePane="topRight" state="frozenSplit"/>
      <selection activeCell="C28" sqref="C28"/>
      <selection pane="topRight" activeCell="C28" sqref="C28"/>
    </sheetView>
  </sheetViews>
  <sheetFormatPr baseColWidth="10" defaultColWidth="11" defaultRowHeight="15"/>
  <cols>
    <col min="1" max="1" width="23.125" style="159" customWidth="1"/>
    <col min="2" max="7" width="14.375" style="159" customWidth="1"/>
    <col min="8" max="8" width="11.75" style="159" customWidth="1"/>
    <col min="9" max="9" width="11.875" style="159" customWidth="1"/>
    <col min="10" max="13" width="14.625" style="159" bestFit="1" customWidth="1"/>
    <col min="14" max="14" width="12.875" style="159" customWidth="1"/>
    <col min="15" max="16384" width="11" style="159"/>
  </cols>
  <sheetData>
    <row r="1" spans="1:8" ht="25.5">
      <c r="A1" s="162" t="s">
        <v>498</v>
      </c>
      <c r="E1" s="163"/>
      <c r="F1" s="164"/>
    </row>
    <row r="2" spans="1:8" ht="25.5">
      <c r="A2" s="162" t="str">
        <f>'Base Data'!B9</f>
        <v>WWW, Ltd.</v>
      </c>
      <c r="F2" s="162"/>
    </row>
    <row r="3" spans="1:8" ht="19.5" customHeight="1">
      <c r="D3" s="160"/>
    </row>
    <row r="4" spans="1:8" ht="19.5" customHeight="1" thickBot="1">
      <c r="D4" s="160"/>
    </row>
    <row r="5" spans="1:8" s="3" customFormat="1" ht="36" customHeight="1" thickBot="1">
      <c r="A5" s="1677" t="s">
        <v>57</v>
      </c>
      <c r="B5" s="858" t="str">
        <f t="array" ref="B5:H5">Funding!B67:H67</f>
        <v>Previous
(Initial Balance)</v>
      </c>
      <c r="C5" s="858" t="str">
        <v>Renting 1 
Year 0:   2026</v>
      </c>
      <c r="D5" s="858" t="str">
        <v>Renting 2 
Year 0:   2026</v>
      </c>
      <c r="E5" s="858" t="str">
        <v>Year 1:   2027</v>
      </c>
      <c r="F5" s="859" t="str">
        <v>Year 2:   2028</v>
      </c>
      <c r="G5" s="859" t="str">
        <v>Year 3:   2029</v>
      </c>
      <c r="H5" s="859" t="str">
        <v>Year 4:   2030</v>
      </c>
    </row>
    <row r="6" spans="1:8" s="3" customFormat="1" ht="24.75" customHeight="1">
      <c r="A6" s="1672" t="s">
        <v>469</v>
      </c>
      <c r="B6" s="1673">
        <f t="array" ref="B6:H10">Funding!B68:H72</f>
        <v>0</v>
      </c>
      <c r="C6" s="1673">
        <v>0</v>
      </c>
      <c r="D6" s="1673">
        <v>0</v>
      </c>
      <c r="E6" s="1673">
        <v>0</v>
      </c>
      <c r="F6" s="1673">
        <v>0</v>
      </c>
      <c r="G6" s="1673">
        <v>0</v>
      </c>
      <c r="H6" s="1673">
        <v>0</v>
      </c>
    </row>
    <row r="7" spans="1:8" ht="18" customHeight="1">
      <c r="A7" s="1280" t="s">
        <v>470</v>
      </c>
      <c r="B7" s="850">
        <v>0.18</v>
      </c>
      <c r="C7" s="850">
        <v>0.18</v>
      </c>
      <c r="D7" s="850">
        <v>0.15</v>
      </c>
      <c r="E7" s="850">
        <v>0.15</v>
      </c>
      <c r="F7" s="850">
        <v>0.15</v>
      </c>
      <c r="G7" s="850">
        <v>0.15</v>
      </c>
      <c r="H7" s="850">
        <v>0.15</v>
      </c>
    </row>
    <row r="8" spans="1:8" ht="18" customHeight="1">
      <c r="A8" s="1280" t="s">
        <v>471</v>
      </c>
      <c r="B8" s="850">
        <v>0</v>
      </c>
      <c r="C8" s="850">
        <v>5.0000000000000001E-3</v>
      </c>
      <c r="D8" s="850">
        <v>5.0000000000000001E-3</v>
      </c>
      <c r="E8" s="850">
        <v>5.0000000000000001E-3</v>
      </c>
      <c r="F8" s="850">
        <v>5.0000000000000001E-3</v>
      </c>
      <c r="G8" s="850">
        <v>5.0000000000000001E-3</v>
      </c>
      <c r="H8" s="850">
        <v>5.0000000000000001E-3</v>
      </c>
    </row>
    <row r="9" spans="1:8" ht="18" customHeight="1">
      <c r="A9" s="1280" t="s">
        <v>472</v>
      </c>
      <c r="B9" s="851">
        <v>60</v>
      </c>
      <c r="C9" s="851">
        <v>36</v>
      </c>
      <c r="D9" s="851">
        <v>36</v>
      </c>
      <c r="E9" s="851">
        <v>36</v>
      </c>
      <c r="F9" s="851">
        <v>36</v>
      </c>
      <c r="G9" s="851">
        <v>36</v>
      </c>
      <c r="H9" s="851">
        <v>36</v>
      </c>
    </row>
    <row r="10" spans="1:8" ht="18" customHeight="1" thickBot="1">
      <c r="A10" s="1674" t="s">
        <v>455</v>
      </c>
      <c r="B10" s="1675">
        <v>12</v>
      </c>
      <c r="C10" s="1675">
        <v>12</v>
      </c>
      <c r="D10" s="1675">
        <v>12</v>
      </c>
      <c r="E10" s="1675">
        <v>12</v>
      </c>
      <c r="F10" s="1675">
        <v>12</v>
      </c>
      <c r="G10" s="1675">
        <v>12</v>
      </c>
      <c r="H10" s="1675">
        <v>12</v>
      </c>
    </row>
    <row r="11" spans="1:8" ht="19.5" customHeight="1" thickBot="1">
      <c r="F11" s="160"/>
    </row>
    <row r="12" spans="1:8" ht="19.5" customHeight="1" thickBot="1">
      <c r="A12" s="856" t="s">
        <v>495</v>
      </c>
      <c r="B12" s="855">
        <f t="array" ref="B12:H12">IF(ISERR(PMT(B$7:H7/B$10:H10,B$9:H9,-B$6:H6)),0,PMT(B$7:H7/B$10:H10,B$9:H9,-B$6:H6))</f>
        <v>0</v>
      </c>
      <c r="C12" s="855">
        <v>0</v>
      </c>
      <c r="D12" s="855">
        <v>0</v>
      </c>
      <c r="E12" s="855">
        <v>0</v>
      </c>
      <c r="F12" s="855">
        <v>0</v>
      </c>
      <c r="G12" s="855">
        <v>0</v>
      </c>
      <c r="H12" s="855">
        <v>0</v>
      </c>
    </row>
    <row r="13" spans="1:8" ht="19.5" customHeight="1" thickBot="1">
      <c r="D13" s="160"/>
      <c r="G13" s="160"/>
    </row>
    <row r="14" spans="1:8" ht="19.5" customHeight="1" thickBot="1">
      <c r="A14" s="1281" t="s">
        <v>481</v>
      </c>
      <c r="B14" s="857">
        <f t="array" ref="B14:H14">B9:H9*12/B10:H11</f>
        <v>60</v>
      </c>
      <c r="C14" s="857">
        <v>36</v>
      </c>
      <c r="D14" s="857">
        <v>36</v>
      </c>
      <c r="E14" s="857">
        <v>36</v>
      </c>
      <c r="F14" s="857">
        <v>36</v>
      </c>
      <c r="G14" s="857">
        <v>36</v>
      </c>
      <c r="H14" s="857">
        <v>36</v>
      </c>
    </row>
    <row r="15" spans="1:8" ht="19.5" customHeight="1" thickBot="1">
      <c r="A15" s="1281" t="s">
        <v>482</v>
      </c>
      <c r="B15" s="857">
        <f t="shared" ref="B15:D16" si="0">mes0</f>
        <v>1</v>
      </c>
      <c r="C15" s="857">
        <f t="shared" si="0"/>
        <v>1</v>
      </c>
      <c r="D15" s="857">
        <f t="shared" si="0"/>
        <v>1</v>
      </c>
      <c r="E15" s="857">
        <v>13</v>
      </c>
      <c r="F15" s="857">
        <v>25</v>
      </c>
      <c r="G15" s="857">
        <v>37</v>
      </c>
      <c r="H15" s="857">
        <v>49</v>
      </c>
    </row>
    <row r="16" spans="1:8" ht="19.5" customHeight="1" thickBot="1">
      <c r="A16" s="1281" t="s">
        <v>493</v>
      </c>
      <c r="B16" s="857">
        <f t="shared" si="0"/>
        <v>1</v>
      </c>
      <c r="C16" s="857">
        <f t="shared" si="0"/>
        <v>1</v>
      </c>
      <c r="D16" s="857">
        <f t="shared" si="0"/>
        <v>1</v>
      </c>
      <c r="E16" s="857">
        <f t="array" ref="E16:H16">E15:H15</f>
        <v>13</v>
      </c>
      <c r="F16" s="857">
        <v>25</v>
      </c>
      <c r="G16" s="857">
        <v>37</v>
      </c>
      <c r="H16" s="857">
        <v>49</v>
      </c>
    </row>
    <row r="17" spans="1:14" ht="19.5" customHeight="1" thickBot="1">
      <c r="A17" s="1281" t="s">
        <v>494</v>
      </c>
      <c r="B17" s="857">
        <f t="array" ref="B17:H17">B16:H16+B14:H14-1</f>
        <v>60</v>
      </c>
      <c r="C17" s="857">
        <v>36</v>
      </c>
      <c r="D17" s="857">
        <v>36</v>
      </c>
      <c r="E17" s="857">
        <v>48</v>
      </c>
      <c r="F17" s="857">
        <v>60</v>
      </c>
      <c r="G17" s="857">
        <v>72</v>
      </c>
      <c r="H17" s="857">
        <v>84</v>
      </c>
    </row>
    <row r="18" spans="1:14" ht="19.5" customHeight="1">
      <c r="C18" s="160"/>
      <c r="F18" s="160"/>
    </row>
    <row r="19" spans="1:14" ht="19.5" customHeight="1" thickBot="1">
      <c r="A19" s="2377" t="str">
        <f>Parameters!$B$77</f>
        <v>Year 0:   2026</v>
      </c>
      <c r="B19" s="161"/>
      <c r="C19" s="160"/>
      <c r="D19" s="160"/>
      <c r="E19" s="160"/>
      <c r="F19" s="160"/>
      <c r="G19" s="160"/>
    </row>
    <row r="20" spans="1:14" s="3" customFormat="1" ht="19.5" customHeight="1" thickBot="1">
      <c r="A20" s="165" t="s">
        <v>488</v>
      </c>
      <c r="B20" s="166">
        <v>1</v>
      </c>
      <c r="C20" s="167">
        <v>2</v>
      </c>
      <c r="D20" s="167">
        <v>3</v>
      </c>
      <c r="E20" s="167">
        <v>4</v>
      </c>
      <c r="F20" s="167">
        <v>5</v>
      </c>
      <c r="G20" s="167">
        <v>6</v>
      </c>
      <c r="H20" s="167">
        <v>7</v>
      </c>
      <c r="I20" s="167">
        <v>8</v>
      </c>
      <c r="J20" s="167">
        <v>9</v>
      </c>
      <c r="K20" s="167">
        <v>10</v>
      </c>
      <c r="L20" s="167">
        <v>11</v>
      </c>
      <c r="M20" s="168">
        <v>12</v>
      </c>
      <c r="N20" s="169" t="s">
        <v>0</v>
      </c>
    </row>
    <row r="21" spans="1:14" s="3" customFormat="1" ht="19.5" customHeight="1">
      <c r="A21" s="170" t="s">
        <v>443</v>
      </c>
      <c r="B21" s="171">
        <f t="array" ref="B21:M21">B22:M22+B23:M23</f>
        <v>0</v>
      </c>
      <c r="C21" s="172">
        <v>0</v>
      </c>
      <c r="D21" s="172">
        <v>0</v>
      </c>
      <c r="E21" s="172">
        <v>0</v>
      </c>
      <c r="F21" s="172">
        <v>0</v>
      </c>
      <c r="G21" s="172">
        <v>0</v>
      </c>
      <c r="H21" s="172">
        <v>0</v>
      </c>
      <c r="I21" s="172">
        <v>0</v>
      </c>
      <c r="J21" s="172">
        <v>0</v>
      </c>
      <c r="K21" s="172">
        <v>0</v>
      </c>
      <c r="L21" s="172">
        <v>0</v>
      </c>
      <c r="M21" s="173">
        <v>0</v>
      </c>
      <c r="N21" s="174">
        <f>SUM(B21:M21)</f>
        <v>0</v>
      </c>
    </row>
    <row r="22" spans="1:14" s="3" customFormat="1" ht="19.5" customHeight="1">
      <c r="A22" s="175" t="s">
        <v>489</v>
      </c>
      <c r="B22" s="860">
        <f t="array" ref="B22:M22">IF(B20:M20=$B$15,$B$6*$B$8,0)+IF(B20:M20=$C$15,$C$6*$C$8,0)+IF(B20:M20=$D$15,$D$6*$D$8,0)
+IF(MOD((B20:M20-$B$15)*$B$10,12),0,IF(B20:M20&lt;$B$15,0,IF(B20:M20&lt;$B$16,$B$6*$B$7/$B$10,IF(B20:M20&lt;=$B$17,IPMT($B$7/$B$10,(B20:M20-$B$15)*$B$10/12+1,$B$9,-$B$6),0))))
+IF(MOD((B20:M20-$C$15)*$C$10,12),0,IF(B20:M20&lt;$C$15,0,IF(B20:M20&lt;$C$16,$C$6*$C$7/$C$10,IF(B20:M20&lt;=$C$17,IPMT($C$7/$C$10,(B20:M20-$C$15)*$C$10/12+1,$C$9,-$C$6),0))))
+IF(MOD((B20:M20-$D$15)*$D$10,12),0,IF(B20:M20&lt;$D$15,0,IF(B20:M20&lt;$D$16,$D$6*$D$7/$D$10,IF(B20:M20&lt;=$D$17,IPMT($D$7/$D$10,(B20:M20-$D$15)*$D$10/12+1,$D$9,-$D$6),0))))</f>
        <v>0</v>
      </c>
      <c r="C22" s="176">
        <v>0</v>
      </c>
      <c r="D22" s="176">
        <v>0</v>
      </c>
      <c r="E22" s="176">
        <v>0</v>
      </c>
      <c r="F22" s="176">
        <v>0</v>
      </c>
      <c r="G22" s="176">
        <v>0</v>
      </c>
      <c r="H22" s="176">
        <v>0</v>
      </c>
      <c r="I22" s="176">
        <v>0</v>
      </c>
      <c r="J22" s="176">
        <v>0</v>
      </c>
      <c r="K22" s="176">
        <v>0</v>
      </c>
      <c r="L22" s="176">
        <v>0</v>
      </c>
      <c r="M22" s="177">
        <v>0</v>
      </c>
      <c r="N22" s="178">
        <f>SUM(B22:M22)</f>
        <v>0</v>
      </c>
    </row>
    <row r="23" spans="1:14" s="3" customFormat="1" ht="19.5" customHeight="1" thickBot="1">
      <c r="A23" s="180" t="s">
        <v>490</v>
      </c>
      <c r="B23" s="861">
        <f t="shared" ref="B23:M23" si="1">IF(AND(B20&gt;=$B$16,B20&lt;=$B$17,MOD((B20-$B$15)*$B$10,12)=0),PPMT($B$7/$B$10,(B20-$B$15)*$B$10/12+1,$B$9,-$B$6),0)
+IF(AND(B20&gt;=$C$16,B20&lt;=$C$17,MOD((B20-$C$15)*$C$10,12)=0),PPMT($C$7/$C$10,(B20-$C$15)*$C$10/12+1,$C$9,-$C$6),0)
+IF(AND(B20&gt;=$D$16,B20&lt;=$D$17,MOD((B20-$D$15)*$D$10,12)=0),PPMT($D$7/$D$10,(B20-$D$15)*$D$10/12+1,$D$9,-$D$6),0)</f>
        <v>0</v>
      </c>
      <c r="C23" s="862">
        <f t="shared" si="1"/>
        <v>0</v>
      </c>
      <c r="D23" s="862">
        <f t="shared" si="1"/>
        <v>0</v>
      </c>
      <c r="E23" s="862">
        <f t="shared" si="1"/>
        <v>0</v>
      </c>
      <c r="F23" s="862">
        <f t="shared" si="1"/>
        <v>0</v>
      </c>
      <c r="G23" s="862">
        <f t="shared" si="1"/>
        <v>0</v>
      </c>
      <c r="H23" s="862">
        <f t="shared" si="1"/>
        <v>0</v>
      </c>
      <c r="I23" s="862">
        <f t="shared" si="1"/>
        <v>0</v>
      </c>
      <c r="J23" s="862">
        <f t="shared" si="1"/>
        <v>0</v>
      </c>
      <c r="K23" s="862">
        <f t="shared" si="1"/>
        <v>0</v>
      </c>
      <c r="L23" s="862">
        <f t="shared" si="1"/>
        <v>0</v>
      </c>
      <c r="M23" s="863">
        <f t="shared" si="1"/>
        <v>0</v>
      </c>
      <c r="N23" s="179">
        <f>SUM(B23:M23)</f>
        <v>0</v>
      </c>
    </row>
    <row r="24" spans="1:14" ht="19.5" customHeight="1" thickBot="1">
      <c r="A24" s="180" t="str">
        <f>"Input "&amp;'Base Data'!$A$28&amp;""</f>
        <v>Input VAT</v>
      </c>
      <c r="B24" s="861">
        <f t="array" ref="B24:M24">B21:M21*Parameters!$F$33</f>
        <v>0</v>
      </c>
      <c r="C24" s="862">
        <v>0</v>
      </c>
      <c r="D24" s="862">
        <v>0</v>
      </c>
      <c r="E24" s="862">
        <v>0</v>
      </c>
      <c r="F24" s="862">
        <v>0</v>
      </c>
      <c r="G24" s="862">
        <v>0</v>
      </c>
      <c r="H24" s="862">
        <v>0</v>
      </c>
      <c r="I24" s="862">
        <v>0</v>
      </c>
      <c r="J24" s="862">
        <v>0</v>
      </c>
      <c r="K24" s="862">
        <v>0</v>
      </c>
      <c r="L24" s="862">
        <v>0</v>
      </c>
      <c r="M24" s="863">
        <v>0</v>
      </c>
      <c r="N24" s="179">
        <f>SUM(B24:M24)</f>
        <v>0</v>
      </c>
    </row>
    <row r="25" spans="1:14" ht="19.5" customHeight="1">
      <c r="C25" s="160"/>
    </row>
    <row r="26" spans="1:14" ht="19.5" customHeight="1" thickBot="1">
      <c r="A26" s="2377" t="str">
        <f>Parameters!$C$77</f>
        <v>Year 1:   2027</v>
      </c>
      <c r="B26" s="161"/>
      <c r="C26" s="160"/>
    </row>
    <row r="27" spans="1:14" s="3" customFormat="1" ht="19.5" customHeight="1" thickBot="1">
      <c r="A27" s="165" t="str">
        <f t="array" ref="A27:A31">A$20:A$24</f>
        <v>Months</v>
      </c>
      <c r="B27" s="166">
        <v>13</v>
      </c>
      <c r="C27" s="167">
        <v>14</v>
      </c>
      <c r="D27" s="167">
        <v>15</v>
      </c>
      <c r="E27" s="167">
        <v>16</v>
      </c>
      <c r="F27" s="167">
        <v>17</v>
      </c>
      <c r="G27" s="167">
        <v>18</v>
      </c>
      <c r="H27" s="167">
        <v>19</v>
      </c>
      <c r="I27" s="167">
        <v>20</v>
      </c>
      <c r="J27" s="167">
        <v>21</v>
      </c>
      <c r="K27" s="167">
        <v>22</v>
      </c>
      <c r="L27" s="167">
        <v>23</v>
      </c>
      <c r="M27" s="168">
        <v>24</v>
      </c>
      <c r="N27" s="169" t="s">
        <v>0</v>
      </c>
    </row>
    <row r="28" spans="1:14" s="3" customFormat="1" ht="19.5" customHeight="1">
      <c r="A28" s="170" t="str">
        <v>Payments</v>
      </c>
      <c r="B28" s="171">
        <f t="array" ref="B28:M28">B29:M29+B30:M30</f>
        <v>0</v>
      </c>
      <c r="C28" s="172">
        <v>0</v>
      </c>
      <c r="D28" s="172">
        <v>0</v>
      </c>
      <c r="E28" s="172">
        <v>0</v>
      </c>
      <c r="F28" s="172">
        <v>0</v>
      </c>
      <c r="G28" s="172">
        <v>0</v>
      </c>
      <c r="H28" s="172">
        <v>0</v>
      </c>
      <c r="I28" s="172">
        <v>0</v>
      </c>
      <c r="J28" s="172">
        <v>0</v>
      </c>
      <c r="K28" s="172">
        <v>0</v>
      </c>
      <c r="L28" s="172">
        <v>0</v>
      </c>
      <c r="M28" s="173">
        <v>0</v>
      </c>
      <c r="N28" s="174">
        <f>SUM(B28:M28)</f>
        <v>0</v>
      </c>
    </row>
    <row r="29" spans="1:14" s="3" customFormat="1" ht="19.5" customHeight="1">
      <c r="A29" s="175" t="str">
        <v>Interests</v>
      </c>
      <c r="B29" s="860">
        <f t="array" ref="B29:M29">IF(B27:M27=$E$15,$E$8*$E$6,0)
+IF(MOD((B27:M27-$B$15)*$B$10,12),0,IF(B27:M27&lt;$B$15,0,IF(B27:M27&lt;$B$16,$B$6*$B$7/$B$10,IF(B27:M27&lt;=$B$17,IPMT($B$7/$B$10,(B27:M27-$B$15)*$B$10/12+1,$B$9,-$B$6),0))))
+IF(MOD((B27:M27-$C$15)*$C$10,12),0,IF(B27:M27&lt;$C$15,0,IF(B27:M27&lt;$C$16,$C$6*$C$7/$C$10,IF(B27:M27&lt;=$C$17,IPMT($C$7/$C$10,(B27:M27-$C$15)*$C$10/12+1,$C$9,-$C$6),0))))
+IF(MOD((B27:M27-$D$15)*$D$10,12),0,IF(B27:M27&lt;$D$15,0,IF(B27:M27&lt;$D$16,$D$6*$D$7/$D$10,IF(B27:M27&lt;=$D$17,IPMT($D$7/$D$10,(B27:M27-$D$15)*$D$10/12+1,$D$9,-$D$6),0))))
+IF(MOD((B27:M27-$E$15)*$E$10,12),0,IF(B27:M27&lt;$E$16,$E$6*$E$7/$E$10,IF(B27:M27&lt;=$E$17,IPMT($E$7/$E$10,(B27:M27-$E$15)*$E$10/12+1,$E$9,-$E$6),0)))</f>
        <v>0</v>
      </c>
      <c r="C29" s="176">
        <v>0</v>
      </c>
      <c r="D29" s="176">
        <v>0</v>
      </c>
      <c r="E29" s="176">
        <v>0</v>
      </c>
      <c r="F29" s="176">
        <v>0</v>
      </c>
      <c r="G29" s="176">
        <v>0</v>
      </c>
      <c r="H29" s="176">
        <v>0</v>
      </c>
      <c r="I29" s="176">
        <v>0</v>
      </c>
      <c r="J29" s="176">
        <v>0</v>
      </c>
      <c r="K29" s="176">
        <v>0</v>
      </c>
      <c r="L29" s="176">
        <v>0</v>
      </c>
      <c r="M29" s="177">
        <v>0</v>
      </c>
      <c r="N29" s="178">
        <f>SUM(B29:M29)</f>
        <v>0</v>
      </c>
    </row>
    <row r="30" spans="1:14" s="3" customFormat="1" ht="19.5" customHeight="1" thickBot="1">
      <c r="A30" s="180" t="str">
        <v>Amortizations</v>
      </c>
      <c r="B30" s="861">
        <f t="shared" ref="B30:M30" si="2">IF(AND(B27&gt;=$B$16,B27&lt;=$B$17,MOD((B27-$B$15)*$B$10,12)=0),PPMT($B$7/$B$10,(B27-$B$15)*$B$10/12+1,$B$9,-$B$6),0)
+IF(AND(B27&gt;=$C$16,B27&lt;=$C$17,MOD((B27-$C$15)*$C$10,12)=0),PPMT($C$7/$C$10,(B27-$C$15)*$C$10/12+1,$C$9,-$C$6),0)
+IF(AND(B27&gt;=$D$16,B27&lt;=$D$17,MOD((B27-$D$15)*$D$10,12)=0),PPMT($D$7/$D$10,(B27-$D$15)*$D$10/12+1,$D$9,-$D$6),0)
+IF(AND(B27&gt;=$E$16,B27&lt;=$E$17,MOD((B27-$E$15)*$E$10,12)=0),PPMT($E$7/$E$10,(B27-$E$15)*$E$10/12+1,$E$9,-$E$6),0)</f>
        <v>0</v>
      </c>
      <c r="C30" s="862">
        <f t="shared" si="2"/>
        <v>0</v>
      </c>
      <c r="D30" s="862">
        <f t="shared" si="2"/>
        <v>0</v>
      </c>
      <c r="E30" s="862">
        <f t="shared" si="2"/>
        <v>0</v>
      </c>
      <c r="F30" s="862">
        <f t="shared" si="2"/>
        <v>0</v>
      </c>
      <c r="G30" s="862">
        <f t="shared" si="2"/>
        <v>0</v>
      </c>
      <c r="H30" s="862">
        <f t="shared" si="2"/>
        <v>0</v>
      </c>
      <c r="I30" s="862">
        <f t="shared" si="2"/>
        <v>0</v>
      </c>
      <c r="J30" s="862">
        <f t="shared" si="2"/>
        <v>0</v>
      </c>
      <c r="K30" s="862">
        <f t="shared" si="2"/>
        <v>0</v>
      </c>
      <c r="L30" s="862">
        <f t="shared" si="2"/>
        <v>0</v>
      </c>
      <c r="M30" s="863">
        <f t="shared" si="2"/>
        <v>0</v>
      </c>
      <c r="N30" s="179">
        <f>SUM(B30:M30)</f>
        <v>0</v>
      </c>
    </row>
    <row r="31" spans="1:14" ht="15.75" thickBot="1">
      <c r="A31" s="180" t="str">
        <v>Input VAT</v>
      </c>
      <c r="B31" s="861">
        <f t="array" ref="B31:M31">B28:M28*Parameters!$F$33</f>
        <v>0</v>
      </c>
      <c r="C31" s="862">
        <v>0</v>
      </c>
      <c r="D31" s="862">
        <v>0</v>
      </c>
      <c r="E31" s="862">
        <v>0</v>
      </c>
      <c r="F31" s="862">
        <v>0</v>
      </c>
      <c r="G31" s="862">
        <v>0</v>
      </c>
      <c r="H31" s="862">
        <v>0</v>
      </c>
      <c r="I31" s="862">
        <v>0</v>
      </c>
      <c r="J31" s="862">
        <v>0</v>
      </c>
      <c r="K31" s="862">
        <v>0</v>
      </c>
      <c r="L31" s="862">
        <v>0</v>
      </c>
      <c r="M31" s="863">
        <v>0</v>
      </c>
      <c r="N31" s="179">
        <f>SUM(B31:M31)</f>
        <v>0</v>
      </c>
    </row>
    <row r="33" spans="1:14" ht="18.75" thickBot="1">
      <c r="A33" s="2377" t="str">
        <f>Parameters!$D$77</f>
        <v>Year 2:   2028</v>
      </c>
      <c r="B33" s="161"/>
    </row>
    <row r="34" spans="1:14" s="3" customFormat="1" ht="19.5" customHeight="1" thickBot="1">
      <c r="A34" s="165" t="str">
        <f t="array" ref="A34:A38">A$20:A$24</f>
        <v>Months</v>
      </c>
      <c r="B34" s="166">
        <v>25</v>
      </c>
      <c r="C34" s="167">
        <v>26</v>
      </c>
      <c r="D34" s="167">
        <v>27</v>
      </c>
      <c r="E34" s="167">
        <v>28</v>
      </c>
      <c r="F34" s="167">
        <v>29</v>
      </c>
      <c r="G34" s="167">
        <v>30</v>
      </c>
      <c r="H34" s="167">
        <v>31</v>
      </c>
      <c r="I34" s="167">
        <v>32</v>
      </c>
      <c r="J34" s="167">
        <v>33</v>
      </c>
      <c r="K34" s="167">
        <v>34</v>
      </c>
      <c r="L34" s="167">
        <v>35</v>
      </c>
      <c r="M34" s="168">
        <v>36</v>
      </c>
      <c r="N34" s="169" t="s">
        <v>0</v>
      </c>
    </row>
    <row r="35" spans="1:14" s="3" customFormat="1" ht="19.5" customHeight="1">
      <c r="A35" s="170" t="str">
        <v>Payments</v>
      </c>
      <c r="B35" s="171">
        <f t="array" ref="B35:M35">B36:M36+B37:M37</f>
        <v>0</v>
      </c>
      <c r="C35" s="172">
        <v>0</v>
      </c>
      <c r="D35" s="172">
        <v>0</v>
      </c>
      <c r="E35" s="172">
        <v>0</v>
      </c>
      <c r="F35" s="172">
        <v>0</v>
      </c>
      <c r="G35" s="172">
        <v>0</v>
      </c>
      <c r="H35" s="172">
        <v>0</v>
      </c>
      <c r="I35" s="172">
        <v>0</v>
      </c>
      <c r="J35" s="172">
        <v>0</v>
      </c>
      <c r="K35" s="172">
        <v>0</v>
      </c>
      <c r="L35" s="172">
        <v>0</v>
      </c>
      <c r="M35" s="173">
        <v>0</v>
      </c>
      <c r="N35" s="174">
        <f>SUM(B35:M35)</f>
        <v>0</v>
      </c>
    </row>
    <row r="36" spans="1:14" s="3" customFormat="1" ht="19.5" customHeight="1">
      <c r="A36" s="175" t="str">
        <v>Interests</v>
      </c>
      <c r="B36" s="860">
        <f t="array" ref="B36:M36">IF(B34:M34=$F$15,$F$8*$F$6,0)
+IF(MOD((B34:M34-$B$15)*$B$10,12),0,IF(B34:M34&lt;$B$16,$B$6*$B$7/$B$10,IF(B34:M34&lt;=$B$17,IPMT($B$7/$B$10,(B34:M34-$B$15)*$B$10/12+1,$B$9,-$B$6),0)))
+IF(MOD((B34:M34-$C$15)*$C$10,12),0,IF(B34:M34&lt;$C$16,$C$6*$C$7/$C$10,IF(B34:M34&lt;=$C$17,IPMT($C$7/$C$10,(B34:M34-$C$15)*$C$10/12+1,$C$9,-$C$6),0)))
+IF(MOD((B34:M34-$D$15)*$D$10,12),0,IF(B34:M34&lt;$D$16,$D$6*$D$7/$D$10,IF(B34:M34&lt;=$D$17,IPMT($D$7/$D$10,(B34:M34-$D$15)*$D$10/12+1,$D$9,-$D$6),0)))
+IF(MOD((B34:M34-$E$15)*$E$10,12),0,IF(B34:M34&lt;$E$16,$E$6*$E$7/$E$10,IF(B34:M34&lt;=$E$17,IPMT($E$7/$E$10,(B34:M34-$E$15)*$E$10/12+1,$E$9,-$E$6),0)))
+IF(MOD((B34:M34-$F$15)*$F$10,12),0,IF(B34:M34&lt;$F$16,$F$6*$F$7/$F$10,IF(B34:M34&lt;$F$17,IPMT($F$7/$F$10,(B34:M34-$F$15)*$F$10/12+1,$F$9,-$F$6),0)))</f>
        <v>0</v>
      </c>
      <c r="C36" s="176">
        <v>0</v>
      </c>
      <c r="D36" s="176">
        <v>0</v>
      </c>
      <c r="E36" s="176">
        <v>0</v>
      </c>
      <c r="F36" s="176">
        <v>0</v>
      </c>
      <c r="G36" s="176">
        <v>0</v>
      </c>
      <c r="H36" s="176">
        <v>0</v>
      </c>
      <c r="I36" s="176">
        <v>0</v>
      </c>
      <c r="J36" s="176">
        <v>0</v>
      </c>
      <c r="K36" s="176">
        <v>0</v>
      </c>
      <c r="L36" s="176">
        <v>0</v>
      </c>
      <c r="M36" s="177">
        <v>0</v>
      </c>
      <c r="N36" s="178">
        <f>SUM(B36:M36)</f>
        <v>0</v>
      </c>
    </row>
    <row r="37" spans="1:14" s="3" customFormat="1" ht="19.5" customHeight="1" thickBot="1">
      <c r="A37" s="180" t="str">
        <v>Amortizations</v>
      </c>
      <c r="B37" s="861">
        <f t="shared" ref="B37:M37" si="3">IF(AND(B34&gt;=$B$16,B34&lt;=$B$17,MOD((B34-$B$15)*$B$10,12)=0),PPMT($B$7/$B$10,(B34-$B$15)*$B$10/12+1,$B$9,-$B$6),0)
+IF(AND(B34&gt;=$C$16,B34&lt;=$C$17,MOD((B34-$C$15)*$C$10,12)=0),PPMT($C$7/$C$10,(B34-$C$15)*$C$10/12+1,$C$9,-$C$6),0)
+IF(AND(B34&gt;=$D$16,B34&lt;=$D$17,MOD((B34-$D$15)*$D$10,12)=0),PPMT($D$7/$D$10,(B34-$D$15)*$D$10/12+1,$D$9,-$D$6),0)
+IF(AND(B34&gt;=$E$16,B34&lt;=$E$17,MOD((B34-$E$15)*$E$10,12)=0),PPMT($E$7/$E$10,(B34-$E$15)*$E$10/12+1,$E$9,-$E$6),0)
+IF(AND(B34&gt;=$F$16,B34&lt;=$F$17,MOD((B34-$F$15)*$F$10,12)=0),PPMT($F$7/$F$10,(B34-$F$15)*$F$10/12+1,$F$9,-$F$6),0)</f>
        <v>0</v>
      </c>
      <c r="C37" s="862">
        <f t="shared" si="3"/>
        <v>0</v>
      </c>
      <c r="D37" s="862">
        <f t="shared" si="3"/>
        <v>0</v>
      </c>
      <c r="E37" s="862">
        <f t="shared" si="3"/>
        <v>0</v>
      </c>
      <c r="F37" s="862">
        <f t="shared" si="3"/>
        <v>0</v>
      </c>
      <c r="G37" s="862">
        <f t="shared" si="3"/>
        <v>0</v>
      </c>
      <c r="H37" s="862">
        <f t="shared" si="3"/>
        <v>0</v>
      </c>
      <c r="I37" s="862">
        <f t="shared" si="3"/>
        <v>0</v>
      </c>
      <c r="J37" s="862">
        <f t="shared" si="3"/>
        <v>0</v>
      </c>
      <c r="K37" s="862">
        <f t="shared" si="3"/>
        <v>0</v>
      </c>
      <c r="L37" s="862">
        <f t="shared" si="3"/>
        <v>0</v>
      </c>
      <c r="M37" s="863">
        <f t="shared" si="3"/>
        <v>0</v>
      </c>
      <c r="N37" s="179">
        <f>SUM(B37:M37)</f>
        <v>0</v>
      </c>
    </row>
    <row r="38" spans="1:14" ht="15.75" thickBot="1">
      <c r="A38" s="180" t="str">
        <v>Input VAT</v>
      </c>
      <c r="B38" s="861">
        <f t="array" ref="B38:M38">B35:M35*Parameters!$F$33</f>
        <v>0</v>
      </c>
      <c r="C38" s="862">
        <v>0</v>
      </c>
      <c r="D38" s="862">
        <v>0</v>
      </c>
      <c r="E38" s="862">
        <v>0</v>
      </c>
      <c r="F38" s="862">
        <v>0</v>
      </c>
      <c r="G38" s="862">
        <v>0</v>
      </c>
      <c r="H38" s="862">
        <v>0</v>
      </c>
      <c r="I38" s="862">
        <v>0</v>
      </c>
      <c r="J38" s="862">
        <v>0</v>
      </c>
      <c r="K38" s="862">
        <v>0</v>
      </c>
      <c r="L38" s="862">
        <v>0</v>
      </c>
      <c r="M38" s="863">
        <v>0</v>
      </c>
      <c r="N38" s="179">
        <f>SUM(B38:M38)</f>
        <v>0</v>
      </c>
    </row>
    <row r="40" spans="1:14" ht="18.75" thickBot="1">
      <c r="A40" s="2377" t="str">
        <f>Parameters!$E$77</f>
        <v>Year 3:   2029</v>
      </c>
      <c r="B40" s="161"/>
    </row>
    <row r="41" spans="1:14" s="3" customFormat="1" ht="19.5" customHeight="1" thickBot="1">
      <c r="A41" s="165" t="str">
        <f t="array" ref="A41:A45">A$20:A$24</f>
        <v>Months</v>
      </c>
      <c r="B41" s="166">
        <v>37</v>
      </c>
      <c r="C41" s="167">
        <v>38</v>
      </c>
      <c r="D41" s="167">
        <v>39</v>
      </c>
      <c r="E41" s="167">
        <v>40</v>
      </c>
      <c r="F41" s="167">
        <v>41</v>
      </c>
      <c r="G41" s="167">
        <v>42</v>
      </c>
      <c r="H41" s="167">
        <v>43</v>
      </c>
      <c r="I41" s="167">
        <v>44</v>
      </c>
      <c r="J41" s="167">
        <v>45</v>
      </c>
      <c r="K41" s="167">
        <v>46</v>
      </c>
      <c r="L41" s="167">
        <v>47</v>
      </c>
      <c r="M41" s="168">
        <v>48</v>
      </c>
      <c r="N41" s="169" t="s">
        <v>0</v>
      </c>
    </row>
    <row r="42" spans="1:14" s="3" customFormat="1" ht="19.5" customHeight="1">
      <c r="A42" s="170" t="str">
        <v>Payments</v>
      </c>
      <c r="B42" s="171">
        <f t="array" ref="B42:M42">B43:M43+B44:M44</f>
        <v>0</v>
      </c>
      <c r="C42" s="172">
        <v>0</v>
      </c>
      <c r="D42" s="172">
        <v>0</v>
      </c>
      <c r="E42" s="172">
        <v>0</v>
      </c>
      <c r="F42" s="172">
        <v>0</v>
      </c>
      <c r="G42" s="172">
        <v>0</v>
      </c>
      <c r="H42" s="172">
        <v>0</v>
      </c>
      <c r="I42" s="172">
        <v>0</v>
      </c>
      <c r="J42" s="172">
        <v>0</v>
      </c>
      <c r="K42" s="172">
        <v>0</v>
      </c>
      <c r="L42" s="172">
        <v>0</v>
      </c>
      <c r="M42" s="173">
        <v>0</v>
      </c>
      <c r="N42" s="174">
        <f>SUM(B42:M42)</f>
        <v>0</v>
      </c>
    </row>
    <row r="43" spans="1:14" s="3" customFormat="1" ht="19.5" customHeight="1">
      <c r="A43" s="175" t="str">
        <v>Interests</v>
      </c>
      <c r="B43" s="860">
        <f t="array" ref="B43:M43">IF(B41:M41=37,$G$8*$G$6,0)
+IF(MOD((B41:M41-$B$15)*$B$10,12),0,IF(B41:M41&lt;$B$16,$B$6*$B$7/$B$10,IF(B41:M41&lt;=$B$17,IPMT($B$7/$B$10,(B41:M41-$B$15)*$B$10/12+1,$B$9,-$B$6),0)))
+IF(MOD((B41:M41-$C$15)*$C$10,12),0,IF(B41:M41&lt;$C$16,$C$6*$C$7/$C$10,IF(B41:M41&lt;=$C$17,IPMT($C$7/$C$10,(B41:M41-$C$15)*$C$10/12+1,$C$9,-$C$6),0)))
+IF(MOD((B41:M41-$D$15)*$D$10,12),0,IF(B41:M41&lt;$D$16,$D$6*$D$7/$D$10,IF(B41:M41&lt;=$D$17,IPMT($D$7/$D$10,(B41:M41-$D$15)*$D$10/12+1,$D$9,-$D$6),0)))
+IF(MOD((B41:M41-$E$15)*$E$10,12),0,IF(B41:M41&lt;$E$16,$E$6*$E$7/$E$10,IF(B41:M41&lt;=$E$17,IPMT($E$7/$E$10,(B41:M41-$E$15)*$E$10/12+1,$E$9,-$E$6),0)))
+IF(MOD((B41:M41-$F$15)*$F$10,12),0,IF(B41:M41&lt;$F$16,$F$6*$F$7/$F$10,IF(B41:M41&lt;=$F$17,IPMT($F$7/$F$10,(B41:M41-$F$15)*$F$10/12+1,$F$9,-$F$6),0)))
+IF(MOD((B41:M41-$G$15)*$G$10,12),0,IF(B41:M41&lt;$G$16,$G$6*$G$7/$G$10,IF(B41:M41&lt;=$G$17,IPMT($G$7/$G$10,(B41:M41-$G$15)*$G$10/12+1,$G$9,-$G$6),0)))</f>
        <v>0</v>
      </c>
      <c r="C43" s="176">
        <v>0</v>
      </c>
      <c r="D43" s="176">
        <v>0</v>
      </c>
      <c r="E43" s="176">
        <v>0</v>
      </c>
      <c r="F43" s="176">
        <v>0</v>
      </c>
      <c r="G43" s="176">
        <v>0</v>
      </c>
      <c r="H43" s="176">
        <v>0</v>
      </c>
      <c r="I43" s="176">
        <v>0</v>
      </c>
      <c r="J43" s="176">
        <v>0</v>
      </c>
      <c r="K43" s="176">
        <v>0</v>
      </c>
      <c r="L43" s="176">
        <v>0</v>
      </c>
      <c r="M43" s="177">
        <v>0</v>
      </c>
      <c r="N43" s="178">
        <f>SUM(B43:M43)</f>
        <v>0</v>
      </c>
    </row>
    <row r="44" spans="1:14" s="3" customFormat="1" ht="19.5" customHeight="1" thickBot="1">
      <c r="A44" s="180" t="str">
        <v>Amortizations</v>
      </c>
      <c r="B44" s="861">
        <f t="shared" ref="B44:M44" si="4">IF(AND(B41&gt;=$B$16,B41&lt;=$B$17,MOD((B41-$B$15)*$B$10,12)=0),PPMT($B$7/$B$10,(B41-$B$15)*$B$10/12+1,$B$9,-$B$6),0)
+IF(AND(B41&gt;=$C$16,B41&lt;=$C$17,MOD((B41-$C$15)*$C$10,12)=0),PPMT($C$7/$C$10,(B41-$C$15)*$C$10/12+1,$C$9,-$C$6),0)
+IF(AND(B41&gt;=$D$16,B41&lt;=$D$17,MOD((B41-$D$15)*$D$10,12)=0),PPMT($D$7/$D$10,(B41-$D$15)*$D$10/12+1,$D$9,-$D$6),0)
+IF(AND(B41&gt;=$E$16,B41&lt;=$E$17,MOD((B41-$E$15)*$E$10,12)=0),PPMT($E$7/$E$10,(B41-$E$15)*$E$10/12+1,$E$9,-$E$6),0)
+IF(AND(B41&gt;=$F$16,B41&lt;=$F$17,MOD((B41-$F$15)*$F$10,12)=0),PPMT($F$7/$F$10,(B41-$F$15)*$F$10/12+1,$F$9,-$F$6),0)
+IF(AND(B41&gt;=$G$16,B41&lt;=$G$17,MOD((B41-$G$15)*$G$10,12)=0),PPMT($G$7/$G$10,(B41-$G$15)*$G$10/12+1,$G$9,-$G$6),0)</f>
        <v>0</v>
      </c>
      <c r="C44" s="862">
        <f t="shared" si="4"/>
        <v>0</v>
      </c>
      <c r="D44" s="862">
        <f t="shared" si="4"/>
        <v>0</v>
      </c>
      <c r="E44" s="862">
        <f t="shared" si="4"/>
        <v>0</v>
      </c>
      <c r="F44" s="862">
        <f t="shared" si="4"/>
        <v>0</v>
      </c>
      <c r="G44" s="862">
        <f t="shared" si="4"/>
        <v>0</v>
      </c>
      <c r="H44" s="862">
        <f t="shared" si="4"/>
        <v>0</v>
      </c>
      <c r="I44" s="862">
        <f t="shared" si="4"/>
        <v>0</v>
      </c>
      <c r="J44" s="862">
        <f t="shared" si="4"/>
        <v>0</v>
      </c>
      <c r="K44" s="862">
        <f t="shared" si="4"/>
        <v>0</v>
      </c>
      <c r="L44" s="862">
        <f t="shared" si="4"/>
        <v>0</v>
      </c>
      <c r="M44" s="863">
        <f t="shared" si="4"/>
        <v>0</v>
      </c>
      <c r="N44" s="179">
        <f>SUM(B44:M44)</f>
        <v>0</v>
      </c>
    </row>
    <row r="45" spans="1:14" ht="15.75" thickBot="1">
      <c r="A45" s="180" t="str">
        <v>Input VAT</v>
      </c>
      <c r="B45" s="861">
        <f t="array" ref="B45:M45">B42:M42*Parameters!$F$33</f>
        <v>0</v>
      </c>
      <c r="C45" s="862">
        <v>0</v>
      </c>
      <c r="D45" s="862">
        <v>0</v>
      </c>
      <c r="E45" s="862">
        <v>0</v>
      </c>
      <c r="F45" s="862">
        <v>0</v>
      </c>
      <c r="G45" s="862">
        <v>0</v>
      </c>
      <c r="H45" s="862">
        <v>0</v>
      </c>
      <c r="I45" s="862">
        <v>0</v>
      </c>
      <c r="J45" s="862">
        <v>0</v>
      </c>
      <c r="K45" s="862">
        <v>0</v>
      </c>
      <c r="L45" s="862">
        <v>0</v>
      </c>
      <c r="M45" s="863">
        <v>0</v>
      </c>
      <c r="N45" s="179">
        <f>SUM(B45:M45)</f>
        <v>0</v>
      </c>
    </row>
    <row r="47" spans="1:14" ht="18.75" thickBot="1">
      <c r="A47" s="2377" t="str">
        <f>Parameters!$F$77</f>
        <v>Year 4:   2030</v>
      </c>
      <c r="B47" s="161"/>
    </row>
    <row r="48" spans="1:14" s="3" customFormat="1" ht="19.5" customHeight="1" thickBot="1">
      <c r="A48" s="165" t="str">
        <f t="array" ref="A48:A52">A$20:A$24</f>
        <v>Months</v>
      </c>
      <c r="B48" s="166">
        <v>49</v>
      </c>
      <c r="C48" s="167">
        <v>50</v>
      </c>
      <c r="D48" s="167">
        <v>51</v>
      </c>
      <c r="E48" s="167">
        <v>52</v>
      </c>
      <c r="F48" s="167">
        <v>53</v>
      </c>
      <c r="G48" s="167">
        <v>54</v>
      </c>
      <c r="H48" s="167">
        <v>55</v>
      </c>
      <c r="I48" s="167">
        <v>56</v>
      </c>
      <c r="J48" s="167">
        <v>57</v>
      </c>
      <c r="K48" s="167">
        <v>58</v>
      </c>
      <c r="L48" s="167">
        <v>59</v>
      </c>
      <c r="M48" s="168">
        <v>60</v>
      </c>
      <c r="N48" s="169" t="s">
        <v>0</v>
      </c>
    </row>
    <row r="49" spans="1:14" s="3" customFormat="1" ht="19.5" customHeight="1">
      <c r="A49" s="170" t="str">
        <v>Payments</v>
      </c>
      <c r="B49" s="171">
        <f t="array" ref="B49:M49">B50:M50+B51:M51</f>
        <v>0</v>
      </c>
      <c r="C49" s="172">
        <v>0</v>
      </c>
      <c r="D49" s="172">
        <v>0</v>
      </c>
      <c r="E49" s="172">
        <v>0</v>
      </c>
      <c r="F49" s="172">
        <v>0</v>
      </c>
      <c r="G49" s="172">
        <v>0</v>
      </c>
      <c r="H49" s="172">
        <v>0</v>
      </c>
      <c r="I49" s="172">
        <v>0</v>
      </c>
      <c r="J49" s="172">
        <v>0</v>
      </c>
      <c r="K49" s="172">
        <v>0</v>
      </c>
      <c r="L49" s="172">
        <v>0</v>
      </c>
      <c r="M49" s="173">
        <v>0</v>
      </c>
      <c r="N49" s="174">
        <f>SUM(B49:M49)</f>
        <v>0</v>
      </c>
    </row>
    <row r="50" spans="1:14" s="3" customFormat="1" ht="19.5" customHeight="1">
      <c r="A50" s="175" t="str">
        <v>Interests</v>
      </c>
      <c r="B50" s="860">
        <f t="array" ref="B50:M50">IF(B48:M48=$H$15,$H$8*$H$6,0)
+IF(MOD((B48:M48-$B$15)*$B$10,12),0,IF(B48:M48&lt;$B$16,$B$6*$B$7/$B$10,IF(B48:M48&lt;=$B$17,IPMT($B$7/$B$10,(B48:M48-$B$15)*$B$10/12+1,$B$9,-$B$6),0)))
+IF(MOD((B48:M48-$C$15)*$C$10,12),0,IF(B48:M48&lt;$C$16,$C$6*$C$7/$C$10,IF(B48:M48&lt;=$C$17,IPMT($C$7/$C$10,(B48:M48-$C$15)*$C$10/12+1,$C$9,-$C$6),0)))
+IF(MOD((B48:M48-$D$15)*$D$10,12),0,IF(B48:M48&lt;$D$16,$D$6*$D$7/$D$10,IF(B48:M48&lt;=$D$17,IPMT($D$7/$D$10,(B48:M48-$D$15)*$D$10/12+1,$D$9,-$D$6),0)))
+IF(MOD((B48:M48-$E$15)*$E$10,12),0,IF(B48:M48&lt;$E$16,$E$6*$E$7/$E$10,IF(B48:M48&lt;=$E$17,IPMT($E$7/$E$10,(B48:M48-$E$15)*$E$10/12+1,$E$9,-$E$6),0)))
+IF(MOD((B48:M48-$F$15)*$F$10,12),0,IF(B48:M48&lt;$F$16,$F$6*$F$7/$F$10,IF(B48:M48&lt;=$F$17,IPMT($F$7/$F$10,(B48:M48-$F$15)*$F$10/12+1,$F$9,-$F$6),0)))
+IF(MOD((B48:M48-$G$15)*$G$10,12),0,IF(B48:M48&lt;$G$16,$G$6*$G$7/$G$10,IF(B48:M48&lt;=$G$17,IPMT($G$7/$G$10,(B48:M48-$G$15)*$G$10/12+1,$G$9,-$G$6),0)))
+IF(MOD((B48:M48-$H$15)*$H$10,12),0,IF(B48:M48&lt;$H$16,$H$6*$H$7/$H$10,IF(B48:M48&lt;=$H$17,IPMT($H$7/$H$10,(B48:M48-$H$15)*$H$10/12+1,$H$9,-$H$6),0)))</f>
        <v>0</v>
      </c>
      <c r="C50" s="176">
        <v>0</v>
      </c>
      <c r="D50" s="176">
        <v>0</v>
      </c>
      <c r="E50" s="176">
        <v>0</v>
      </c>
      <c r="F50" s="176">
        <v>0</v>
      </c>
      <c r="G50" s="176">
        <v>0</v>
      </c>
      <c r="H50" s="176">
        <v>0</v>
      </c>
      <c r="I50" s="176">
        <v>0</v>
      </c>
      <c r="J50" s="176">
        <v>0</v>
      </c>
      <c r="K50" s="176">
        <v>0</v>
      </c>
      <c r="L50" s="176">
        <v>0</v>
      </c>
      <c r="M50" s="177">
        <v>0</v>
      </c>
      <c r="N50" s="178">
        <f>SUM(B50:M50)</f>
        <v>0</v>
      </c>
    </row>
    <row r="51" spans="1:14" s="3" customFormat="1" ht="19.5" customHeight="1" thickBot="1">
      <c r="A51" s="180" t="str">
        <v>Amortizations</v>
      </c>
      <c r="B51" s="861">
        <f t="shared" ref="B51:M51" si="5">IF(AND(B48&gt;=$B$16,B48&lt;=$B$17,MOD((B48-$B$15)*$B$10,12)=0),PPMT($B$7/$B$10,(B48-$B$15)*$B$10/12+1,$B$9,-$B$6),0)
+IF(AND(B48&gt;=$C$16,B48&lt;=$C$17,MOD((B48-$C$15)*$C$10,12)=0),PPMT($C$7/$C$10,(B48-$C$15)*$C$10/12+1,$C$9,-$C$6),0)
+IF(AND(B48&gt;=$D$16,B48&lt;=$D$17,MOD((B48-$D$15)*$D$10,12)=0),PPMT($D$7/$D$10,(B48-$D$15)*$D$10/12+1,$D$9,-$D$6),0)
+IF(AND(B48&gt;=$E$16,B48&lt;=$E$17,MOD((B48-$E$15)*$E$10,12)=0),PPMT($E$7/$E$10,(B48-$E$15)*$E$10/12+1,$E$9,-$E$6),0)
+IF(AND(B48&gt;=$F$16,B48&lt;=$F$17,MOD((B48-$F$15)*$F$10,12)=0),PPMT($F$7/$F$10,(B48-$F$15)*$F$10/12+1,$F$9,-$F$6),0)
+IF(AND(B48&gt;=$G$16,B48&lt;=$G$17,MOD((B48-$G$15)*$G$10,12)=0),PPMT($G$7/$G$10,(B48-$G$15)*$G$10/12+1,$G$9,-$G$6),0)
+IF(AND(B48&gt;=$H$16,B48&lt;=$H$17,MOD((B48-$H$15)*$H$10,12)=0),PPMT($H$7/$H$10,(B48-$H$15)*$H$10/12+1,$H$9,-$H$6),0)</f>
        <v>0</v>
      </c>
      <c r="C51" s="862">
        <f t="shared" si="5"/>
        <v>0</v>
      </c>
      <c r="D51" s="862">
        <f t="shared" si="5"/>
        <v>0</v>
      </c>
      <c r="E51" s="862">
        <f t="shared" si="5"/>
        <v>0</v>
      </c>
      <c r="F51" s="862">
        <f t="shared" si="5"/>
        <v>0</v>
      </c>
      <c r="G51" s="862">
        <f t="shared" si="5"/>
        <v>0</v>
      </c>
      <c r="H51" s="862">
        <f t="shared" si="5"/>
        <v>0</v>
      </c>
      <c r="I51" s="862">
        <f t="shared" si="5"/>
        <v>0</v>
      </c>
      <c r="J51" s="862">
        <f t="shared" si="5"/>
        <v>0</v>
      </c>
      <c r="K51" s="862">
        <f t="shared" si="5"/>
        <v>0</v>
      </c>
      <c r="L51" s="862">
        <f t="shared" si="5"/>
        <v>0</v>
      </c>
      <c r="M51" s="863">
        <f t="shared" si="5"/>
        <v>0</v>
      </c>
      <c r="N51" s="179">
        <f>SUM(B51:M51)</f>
        <v>0</v>
      </c>
    </row>
    <row r="52" spans="1:14" ht="15.75" thickBot="1">
      <c r="A52" s="180" t="str">
        <v>Input VAT</v>
      </c>
      <c r="B52" s="861">
        <f t="array" ref="B52:M52">B49:M49*Parameters!$F$33</f>
        <v>0</v>
      </c>
      <c r="C52" s="862">
        <v>0</v>
      </c>
      <c r="D52" s="862">
        <v>0</v>
      </c>
      <c r="E52" s="862">
        <v>0</v>
      </c>
      <c r="F52" s="862">
        <v>0</v>
      </c>
      <c r="G52" s="862">
        <v>0</v>
      </c>
      <c r="H52" s="862">
        <v>0</v>
      </c>
      <c r="I52" s="862">
        <v>0</v>
      </c>
      <c r="J52" s="862">
        <v>0</v>
      </c>
      <c r="K52" s="862">
        <v>0</v>
      </c>
      <c r="L52" s="862">
        <v>0</v>
      </c>
      <c r="M52" s="863">
        <v>0</v>
      </c>
      <c r="N52" s="179">
        <f>SUM(B52:M52)</f>
        <v>0</v>
      </c>
    </row>
    <row r="54" spans="1:14" ht="18.75" thickBot="1">
      <c r="A54" s="2377" t="str">
        <f>Parameters!$G$77</f>
        <v>Year 5 :   2031</v>
      </c>
      <c r="B54" s="161"/>
    </row>
    <row r="55" spans="1:14" s="3" customFormat="1" ht="19.5" customHeight="1" thickBot="1">
      <c r="A55" s="165" t="str">
        <f t="array" ref="A55:A59">A$20:A$24</f>
        <v>Months</v>
      </c>
      <c r="B55" s="166">
        <v>61</v>
      </c>
      <c r="C55" s="167">
        <v>62</v>
      </c>
      <c r="D55" s="167">
        <v>63</v>
      </c>
      <c r="E55" s="167">
        <v>64</v>
      </c>
      <c r="F55" s="167">
        <v>65</v>
      </c>
      <c r="G55" s="167">
        <v>66</v>
      </c>
      <c r="H55" s="167">
        <v>67</v>
      </c>
      <c r="I55" s="167">
        <v>68</v>
      </c>
      <c r="J55" s="167">
        <v>69</v>
      </c>
      <c r="K55" s="167">
        <v>70</v>
      </c>
      <c r="L55" s="167">
        <v>71</v>
      </c>
      <c r="M55" s="168">
        <v>72</v>
      </c>
      <c r="N55" s="169" t="s">
        <v>0</v>
      </c>
    </row>
    <row r="56" spans="1:14" s="3" customFormat="1" ht="19.5" customHeight="1">
      <c r="A56" s="170" t="str">
        <v>Payments</v>
      </c>
      <c r="B56" s="171">
        <f t="array" ref="B56:M56">B57:M57+B58:M58</f>
        <v>0</v>
      </c>
      <c r="C56" s="172">
        <v>0</v>
      </c>
      <c r="D56" s="172">
        <v>0</v>
      </c>
      <c r="E56" s="172">
        <v>0</v>
      </c>
      <c r="F56" s="172">
        <v>0</v>
      </c>
      <c r="G56" s="172">
        <v>0</v>
      </c>
      <c r="H56" s="172">
        <v>0</v>
      </c>
      <c r="I56" s="172">
        <v>0</v>
      </c>
      <c r="J56" s="172">
        <v>0</v>
      </c>
      <c r="K56" s="172">
        <v>0</v>
      </c>
      <c r="L56" s="172">
        <v>0</v>
      </c>
      <c r="M56" s="173">
        <v>0</v>
      </c>
      <c r="N56" s="174">
        <f>SUM(B56:M56)</f>
        <v>0</v>
      </c>
    </row>
    <row r="57" spans="1:14" s="3" customFormat="1" ht="19.5" customHeight="1">
      <c r="A57" s="175" t="str">
        <v>Interests</v>
      </c>
      <c r="B57" s="860">
        <f t="array" ref="B57:M57">+IF(MOD((B55:M55-$B$15)*$B$10,12),0,IF(B55:M55&lt;$B$16,$B$6*$B$7/$B$10,IF(B55:M55&lt;=$B$17,IPMT($B$7/$B$10,(B55:M55-$B$15)*$B$10/12+1,$B$9,-$B$6),0)))
+IF(MOD((B55:M55-$C$15)*$C$10,12),0,IF(B55:M55&lt;$C$16,$C$6*$C$7/$C$10,IF(B55:M55&lt;=$C$17,IPMT($C$7/$C$10,(B55:M55-$C$15)*$C$10/12+1,$C$9,-$C$6),0)))
+IF(MOD((B55:M55-$D$15)*$D$10,12),0,IF(B55:M55&lt;$D$16,$D$6*$D$7/$D$10,IF(B55:M55&lt;=$D$17,IPMT($D$7/$D$10,(B55:M55-$D$15)*$D$10/12+1,$D$9,-$D$6),0)))
+IF(MOD((B55:M55-$E$15)*$E$10,12),0,IF(B55:M55&lt;$E$16,$E$6*$E$7/$E$10,IF(B55:M55&lt;=$E$17,IPMT($E$7/$E$10,(B55:M55-$E$15)*$E$10/12+1,$E$9,-$E$6),0)))
+IF(MOD((B55:M55-$F$15)*$F$10,12),0,IF(B55:M55&lt;$F$16,$F$6*$F$7/$F$10,IF(B55:M55&lt;=$F$17,IPMT($F$7/$F$10,(B55:M55-$F$15)*$F$10/12+1,$F$9,-$F$6),0)))
+IF(MOD((B55:M55-$G$15)*$G$10,12),0,IF(B55:M55&lt;$G$16,$G$6*$G$7/$G$10,IF(B55:M55&lt;=$G$17,IPMT($G$7/$G$10,(B55:M55-$G$15)*$G$10/12+1,$G$9,-$G$6),0)))
+IF(MOD((B55:M55-$H$15)*$H$10,12),0,IF(B55:M55&lt;$H$16,$H$6*$H$7/$H$10,IF(B55:M55&lt;=$H$17,IPMT($H$7/$H$10,(B55:M55-$H$15)*$H$10/12+1,$H$9,-$H$6),0)))</f>
        <v>0</v>
      </c>
      <c r="C57" s="176">
        <v>0</v>
      </c>
      <c r="D57" s="176">
        <v>0</v>
      </c>
      <c r="E57" s="176">
        <v>0</v>
      </c>
      <c r="F57" s="176">
        <v>0</v>
      </c>
      <c r="G57" s="176">
        <v>0</v>
      </c>
      <c r="H57" s="176">
        <v>0</v>
      </c>
      <c r="I57" s="176">
        <v>0</v>
      </c>
      <c r="J57" s="176">
        <v>0</v>
      </c>
      <c r="K57" s="176">
        <v>0</v>
      </c>
      <c r="L57" s="176">
        <v>0</v>
      </c>
      <c r="M57" s="177">
        <v>0</v>
      </c>
      <c r="N57" s="178">
        <f>SUM(B57:M57)</f>
        <v>0</v>
      </c>
    </row>
    <row r="58" spans="1:14" s="3" customFormat="1" ht="19.5" customHeight="1" thickBot="1">
      <c r="A58" s="180" t="str">
        <v>Amortizations</v>
      </c>
      <c r="B58" s="861">
        <f t="shared" ref="B58:M58" si="6">IF(AND(B55&gt;=$B$16,B55&lt;=$B$17,MOD((B55-$B$15)*$B$10,12)=0),PPMT($B$7/$B$10,(B55-$B$15)*$B$10/12+1,$B$9,-$B$6),0)
+IF(AND(B55&gt;=$C$16,B55&lt;=$C$17,MOD((B55-$C$15)*$C$10,12)=0),PPMT($C$7/$C$10,(B55-$C$15)*$C$10/12+1,$C$9,-$C$6),0)
+IF(AND(B55&gt;=$D$16,B55&lt;=$D$17,MOD((B55-$D$15)*$D$10,12)=0),PPMT($D$7/$D$10,(B55-$D$15)*$D$10/12+1,$D$9,-$D$6),0)
+IF(AND(B55&gt;=$E$16,B55&lt;=$E$17,MOD((B55-$E$15)*$E$10,12)=0),PPMT($E$7/$E$10,(B55-$E$15)*$E$10/12+1,$E$9,-$E$6),0)
+IF(AND(B55&gt;=$F$16,B55&lt;=$F$17,MOD((B55-$F$15)*$F$10,12)=0),PPMT($F$7/$F$10,(B55-$F$15)*$F$10/12+1,$F$9,-$F$6),0)
+IF(AND(B55&gt;=$G$16,B55&lt;=$G$17,MOD((B55-$G$15)*$G$10,12)=0),PPMT($G$7/$G$10,(B55-$G$15)*$G$10/12+1,$G$9,-$G$6),0)
+IF(AND(B55&gt;=$H$16,B55&lt;=$H$17,MOD((B55-$H$15)*$H$10,12)=0),PPMT($H$7/$H$10,(B55-$H$15)*$H$10/12+1,$H$9,-$H$6),0)</f>
        <v>0</v>
      </c>
      <c r="C58" s="862">
        <f t="shared" si="6"/>
        <v>0</v>
      </c>
      <c r="D58" s="862">
        <f t="shared" si="6"/>
        <v>0</v>
      </c>
      <c r="E58" s="862">
        <f t="shared" si="6"/>
        <v>0</v>
      </c>
      <c r="F58" s="862">
        <f t="shared" si="6"/>
        <v>0</v>
      </c>
      <c r="G58" s="862">
        <f t="shared" si="6"/>
        <v>0</v>
      </c>
      <c r="H58" s="862">
        <f t="shared" si="6"/>
        <v>0</v>
      </c>
      <c r="I58" s="862">
        <f t="shared" si="6"/>
        <v>0</v>
      </c>
      <c r="J58" s="862">
        <f t="shared" si="6"/>
        <v>0</v>
      </c>
      <c r="K58" s="862">
        <f t="shared" si="6"/>
        <v>0</v>
      </c>
      <c r="L58" s="862">
        <f t="shared" si="6"/>
        <v>0</v>
      </c>
      <c r="M58" s="863">
        <f t="shared" si="6"/>
        <v>0</v>
      </c>
      <c r="N58" s="179">
        <f>SUM(B58:M58)</f>
        <v>0</v>
      </c>
    </row>
    <row r="59" spans="1:14" ht="15.75" thickBot="1">
      <c r="A59" s="180" t="str">
        <v>Input VAT</v>
      </c>
      <c r="B59" s="861">
        <f t="array" ref="B59:M59">B56:M56*Parameters!$F$33</f>
        <v>0</v>
      </c>
      <c r="C59" s="862">
        <v>0</v>
      </c>
      <c r="D59" s="862">
        <v>0</v>
      </c>
      <c r="E59" s="862">
        <v>0</v>
      </c>
      <c r="F59" s="862">
        <v>0</v>
      </c>
      <c r="G59" s="862">
        <v>0</v>
      </c>
      <c r="H59" s="862">
        <v>0</v>
      </c>
      <c r="I59" s="862">
        <v>0</v>
      </c>
      <c r="J59" s="862">
        <v>0</v>
      </c>
      <c r="K59" s="862">
        <v>0</v>
      </c>
      <c r="L59" s="862">
        <v>0</v>
      </c>
      <c r="M59" s="863">
        <v>0</v>
      </c>
      <c r="N59" s="179">
        <f>SUM(B59:M59)</f>
        <v>0</v>
      </c>
    </row>
  </sheetData>
  <sheetProtection sheet="1" objects="1" scenarios="1"/>
  <phoneticPr fontId="7" type="noConversion"/>
  <printOptions horizontalCentered="1"/>
  <pageMargins left="0.56000000000000005" right="0.69" top="0.56999999999999995" bottom="0.57999999999999996" header="0.51181102362204722" footer="0.43"/>
  <pageSetup paperSize="9" scale="52" orientation="landscape" horizontalDpi="4294967292" verticalDpi="300" r:id="rId1"/>
  <headerFooter alignWithMargins="0">
    <oddFooter>&amp;C&amp;"Tahoma,Normal"&amp;10&amp;A</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59">
    <tabColor indexed="43"/>
    <pageSetUpPr fitToPage="1"/>
  </sheetPr>
  <dimension ref="A1:O99"/>
  <sheetViews>
    <sheetView showGridLines="0" zoomScale="85" zoomScaleNormal="85" workbookViewId="0">
      <selection activeCell="C28" sqref="C28"/>
    </sheetView>
  </sheetViews>
  <sheetFormatPr baseColWidth="10" defaultColWidth="11" defaultRowHeight="15"/>
  <cols>
    <col min="1" max="1" width="31.25" style="35" customWidth="1"/>
    <col min="2" max="2" width="10.375" style="35" customWidth="1"/>
    <col min="3" max="3" width="10.5" style="35" customWidth="1"/>
    <col min="4" max="4" width="11" style="35"/>
    <col min="5" max="5" width="10.125" style="35" customWidth="1"/>
    <col min="6" max="6" width="10.75" style="35" customWidth="1"/>
    <col min="7" max="10" width="9.5" style="35" customWidth="1"/>
    <col min="11" max="11" width="11.25" style="35" customWidth="1"/>
    <col min="12" max="17" width="9.5" style="35" customWidth="1"/>
    <col min="18" max="16384" width="11" style="35"/>
  </cols>
  <sheetData>
    <row r="1" spans="1:15" ht="25.5">
      <c r="A1" s="66" t="s">
        <v>519</v>
      </c>
      <c r="B1" s="59"/>
      <c r="C1" s="59"/>
      <c r="D1" s="59"/>
      <c r="E1" s="59"/>
    </row>
    <row r="2" spans="1:15" ht="25.5">
      <c r="A2" s="66" t="str">
        <f>'Base Data'!B9</f>
        <v>WWW, Ltd.</v>
      </c>
      <c r="B2" s="59"/>
      <c r="C2" s="59"/>
      <c r="D2" s="59"/>
      <c r="E2" s="59"/>
    </row>
    <row r="3" spans="1:15" ht="12" customHeight="1" thickBot="1">
      <c r="A3" s="59"/>
      <c r="B3" s="59"/>
      <c r="C3" s="59"/>
      <c r="D3" s="59"/>
      <c r="E3" s="59"/>
    </row>
    <row r="4" spans="1:15" ht="15.75" thickBot="1">
      <c r="A4" s="181"/>
      <c r="B4" s="182" t="s">
        <v>520</v>
      </c>
      <c r="C4" s="183" t="str">
        <f>CONCATENATE("=  month ",mes0," of ",'Base Data'!B18)</f>
        <v>=  month 1 of Year 0</v>
      </c>
      <c r="D4" s="184"/>
      <c r="E4" s="185" t="str">
        <f>'Base Data'!F21</f>
        <v>=  January  2026</v>
      </c>
      <c r="F4" s="1323"/>
      <c r="G4" s="374"/>
      <c r="I4" s="1972" t="str">
        <f>'Executive Summary'!B53</f>
        <v/>
      </c>
    </row>
    <row r="5" spans="1:15">
      <c r="C5" s="2008">
        <v>1</v>
      </c>
      <c r="D5" s="2008">
        <v>2</v>
      </c>
      <c r="E5" s="2008">
        <v>3</v>
      </c>
      <c r="F5" s="2008">
        <v>4</v>
      </c>
      <c r="G5" s="2008">
        <v>5</v>
      </c>
      <c r="H5" s="2008">
        <v>6</v>
      </c>
      <c r="I5" s="2008">
        <v>7</v>
      </c>
      <c r="J5" s="2008">
        <v>8</v>
      </c>
      <c r="K5" s="2008">
        <v>9</v>
      </c>
      <c r="L5" s="2008">
        <v>10</v>
      </c>
      <c r="M5" s="2008">
        <v>11</v>
      </c>
      <c r="N5" s="2008">
        <v>12</v>
      </c>
    </row>
    <row r="6" spans="1:15" s="533" customFormat="1" ht="19.5">
      <c r="A6" s="390" t="s">
        <v>521</v>
      </c>
      <c r="B6" s="390"/>
      <c r="C6" s="390"/>
      <c r="D6" s="390"/>
      <c r="E6" s="234" t="str">
        <f>Parameters!B$77</f>
        <v>Year 0:   2026</v>
      </c>
      <c r="F6" s="2387"/>
    </row>
    <row r="7" spans="1:15" ht="4.5" customHeight="1" thickBot="1"/>
    <row r="8" spans="1:15" s="219" customFormat="1" ht="21.75" customHeight="1" thickBot="1">
      <c r="A8" s="213" t="s">
        <v>515</v>
      </c>
      <c r="B8" s="214" t="s">
        <v>516</v>
      </c>
      <c r="C8" s="215" t="str">
        <f t="array" ref="C8:N8">meses</f>
        <v>January</v>
      </c>
      <c r="D8" s="216" t="str">
        <v>February</v>
      </c>
      <c r="E8" s="216" t="str">
        <v>March</v>
      </c>
      <c r="F8" s="216" t="str">
        <v>April</v>
      </c>
      <c r="G8" s="216" t="str">
        <v>May</v>
      </c>
      <c r="H8" s="216" t="str">
        <v>June</v>
      </c>
      <c r="I8" s="216" t="str">
        <v>July</v>
      </c>
      <c r="J8" s="216" t="str">
        <v>August</v>
      </c>
      <c r="K8" s="216" t="str">
        <v>September</v>
      </c>
      <c r="L8" s="216" t="str">
        <v>October</v>
      </c>
      <c r="M8" s="216" t="str">
        <v>November</v>
      </c>
      <c r="N8" s="217" t="str">
        <v>December</v>
      </c>
      <c r="O8" s="218" t="s">
        <v>517</v>
      </c>
    </row>
    <row r="9" spans="1:15">
      <c r="A9" s="220" t="str">
        <f t="array" ref="A9:A16">catlaborales</f>
        <v>Working Owners / Self employees</v>
      </c>
      <c r="B9" s="186">
        <f t="array" ref="B9:B16">Staff!B6:B13</f>
        <v>1</v>
      </c>
      <c r="C9" s="187">
        <f>$B9    *IF(OR(Staff!$H6="No",C$18),1,0)</f>
        <v>1</v>
      </c>
      <c r="D9" s="188">
        <f>$B9    *IF(OR(Staff!$H6="No",D$18),1,0)</f>
        <v>1</v>
      </c>
      <c r="E9" s="188">
        <f>$B9    *IF(OR(Staff!$H6="No",E$18),1,0)</f>
        <v>1</v>
      </c>
      <c r="F9" s="188">
        <f>$B9    *IF(OR(Staff!$H6="No",F$18),1,0)</f>
        <v>1</v>
      </c>
      <c r="G9" s="188">
        <f>$B9    *IF(OR(Staff!$H6="No",G$18),1,0)</f>
        <v>1</v>
      </c>
      <c r="H9" s="188">
        <f>$B9    *IF(OR(Staff!$H6="No",H$18),1,0)</f>
        <v>1</v>
      </c>
      <c r="I9" s="188">
        <f>$B9    *IF(OR(Staff!$H6="No",I$18),1,0)</f>
        <v>1</v>
      </c>
      <c r="J9" s="188">
        <f>$B9    *IF(OR(Staff!$H6="No",J$18),1,0)</f>
        <v>1</v>
      </c>
      <c r="K9" s="188">
        <f>$B9    *IF(OR(Staff!$H6="No",K$18),1,0)</f>
        <v>1</v>
      </c>
      <c r="L9" s="188">
        <f>$B9    *IF(OR(Staff!$H6="No",L$18),1,0)</f>
        <v>1</v>
      </c>
      <c r="M9" s="188">
        <f>$B9    *IF(OR(Staff!$H6="No",M$18),1,0)</f>
        <v>1</v>
      </c>
      <c r="N9" s="189">
        <f>$B9    *IF(OR(Staff!$H6="No",N$18),1,0)</f>
        <v>1</v>
      </c>
      <c r="O9" s="190">
        <f t="shared" ref="O9:O17" si="0">AVERAGE(C9:N9)</f>
        <v>1</v>
      </c>
    </row>
    <row r="10" spans="1:15">
      <c r="A10" s="221" t="str">
        <v>Other non staff not employees</v>
      </c>
      <c r="B10" s="191">
        <v>0</v>
      </c>
      <c r="C10" s="192">
        <f>$B10    *IF(OR(Staff!$H7="No",C$18),1,0)</f>
        <v>0</v>
      </c>
      <c r="D10" s="193">
        <f>$B10    *IF(OR(Staff!$H7="No",D$18),1,0)</f>
        <v>0</v>
      </c>
      <c r="E10" s="193">
        <f>$B10    *IF(OR(Staff!$H7="No",E$18),1,0)</f>
        <v>0</v>
      </c>
      <c r="F10" s="193">
        <f>$B10    *IF(OR(Staff!$H7="No",F$18),1,0)</f>
        <v>0</v>
      </c>
      <c r="G10" s="193">
        <f>$B10    *IF(OR(Staff!$H7="No",G$18),1,0)</f>
        <v>0</v>
      </c>
      <c r="H10" s="193">
        <f>$B10    *IF(OR(Staff!$H7="No",H$18),1,0)</f>
        <v>0</v>
      </c>
      <c r="I10" s="193">
        <f>$B10    *IF(OR(Staff!$H7="No",I$18),1,0)</f>
        <v>0</v>
      </c>
      <c r="J10" s="193">
        <f>$B10    *IF(OR(Staff!$H7="No",J$18),1,0)</f>
        <v>0</v>
      </c>
      <c r="K10" s="193">
        <f>$B10    *IF(OR(Staff!$H7="No",K$18),1,0)</f>
        <v>0</v>
      </c>
      <c r="L10" s="193">
        <f>$B10    *IF(OR(Staff!$H7="No",L$18),1,0)</f>
        <v>0</v>
      </c>
      <c r="M10" s="193">
        <f>$B10    *IF(OR(Staff!$H7="No",M$18),1,0)</f>
        <v>0</v>
      </c>
      <c r="N10" s="194">
        <f>$B10    *IF(OR(Staff!$H7="No",N$18),1,0)</f>
        <v>0</v>
      </c>
      <c r="O10" s="195">
        <f t="shared" si="0"/>
        <v>0</v>
      </c>
    </row>
    <row r="11" spans="1:15">
      <c r="A11" s="221" t="str">
        <v>Staff / employees</v>
      </c>
      <c r="B11" s="191">
        <v>0</v>
      </c>
      <c r="C11" s="192">
        <f>$B11    *IF(OR(Staff!$H8="No",C$18),1,0)</f>
        <v>0</v>
      </c>
      <c r="D11" s="193">
        <f>$B11    *IF(OR(Staff!$H8="No",D$18),1,0)</f>
        <v>0</v>
      </c>
      <c r="E11" s="193">
        <f>$B11    *IF(OR(Staff!$H8="No",E$18),1,0)</f>
        <v>0</v>
      </c>
      <c r="F11" s="193">
        <f>$B11    *IF(OR(Staff!$H8="No",F$18),1,0)</f>
        <v>0</v>
      </c>
      <c r="G11" s="193">
        <f>$B11    *IF(OR(Staff!$H8="No",G$18),1,0)</f>
        <v>0</v>
      </c>
      <c r="H11" s="193">
        <f>$B11    *IF(OR(Staff!$H8="No",H$18),1,0)</f>
        <v>0</v>
      </c>
      <c r="I11" s="193">
        <f>$B11    *IF(OR(Staff!$H8="No",I$18),1,0)</f>
        <v>0</v>
      </c>
      <c r="J11" s="193">
        <f>$B11    *IF(OR(Staff!$H8="No",J$18),1,0)</f>
        <v>0</v>
      </c>
      <c r="K11" s="193">
        <f>$B11    *IF(OR(Staff!$H8="No",K$18),1,0)</f>
        <v>0</v>
      </c>
      <c r="L11" s="193">
        <f>$B11    *IF(OR(Staff!$H8="No",L$18),1,0)</f>
        <v>0</v>
      </c>
      <c r="M11" s="193">
        <f>$B11    *IF(OR(Staff!$H8="No",M$18),1,0)</f>
        <v>0</v>
      </c>
      <c r="N11" s="194">
        <f>$B11    *IF(OR(Staff!$H8="No",N$18),1,0)</f>
        <v>0</v>
      </c>
      <c r="O11" s="195">
        <f t="shared" si="0"/>
        <v>0</v>
      </c>
    </row>
    <row r="12" spans="1:15">
      <c r="A12" s="221" t="str">
        <v/>
      </c>
      <c r="B12" s="191">
        <v>0</v>
      </c>
      <c r="C12" s="192">
        <f>$B12    *IF(OR(Staff!$H9="No",C$18),1,0)</f>
        <v>0</v>
      </c>
      <c r="D12" s="193">
        <f>$B12    *IF(OR(Staff!$H9="No",D$18),1,0)</f>
        <v>0</v>
      </c>
      <c r="E12" s="193">
        <f>$B12    *IF(OR(Staff!$H9="No",E$18),1,0)</f>
        <v>0</v>
      </c>
      <c r="F12" s="193">
        <f>$B12    *IF(OR(Staff!$H9="No",F$18),1,0)</f>
        <v>0</v>
      </c>
      <c r="G12" s="193">
        <f>$B12    *IF(OR(Staff!$H9="No",G$18),1,0)</f>
        <v>0</v>
      </c>
      <c r="H12" s="193">
        <f>$B12    *IF(OR(Staff!$H9="No",H$18),1,0)</f>
        <v>0</v>
      </c>
      <c r="I12" s="193">
        <f>$B12    *IF(OR(Staff!$H9="No",I$18),1,0)</f>
        <v>0</v>
      </c>
      <c r="J12" s="193">
        <f>$B12    *IF(OR(Staff!$H9="No",J$18),1,0)</f>
        <v>0</v>
      </c>
      <c r="K12" s="193">
        <f>$B12    *IF(OR(Staff!$H9="No",K$18),1,0)</f>
        <v>0</v>
      </c>
      <c r="L12" s="193">
        <f>$B12    *IF(OR(Staff!$H9="No",L$18),1,0)</f>
        <v>0</v>
      </c>
      <c r="M12" s="193">
        <f>$B12    *IF(OR(Staff!$H9="No",M$18),1,0)</f>
        <v>0</v>
      </c>
      <c r="N12" s="194">
        <f>$B12    *IF(OR(Staff!$H9="No",N$18),1,0)</f>
        <v>0</v>
      </c>
      <c r="O12" s="195">
        <f t="shared" si="0"/>
        <v>0</v>
      </c>
    </row>
    <row r="13" spans="1:15">
      <c r="A13" s="221" t="str">
        <v/>
      </c>
      <c r="B13" s="191">
        <v>0</v>
      </c>
      <c r="C13" s="192">
        <f>$B13    *IF(OR(Staff!$H10="No",C$18),1,0)</f>
        <v>0</v>
      </c>
      <c r="D13" s="193">
        <f>$B13    *IF(OR(Staff!$H10="No",D$18),1,0)</f>
        <v>0</v>
      </c>
      <c r="E13" s="193">
        <f>$B13    *IF(OR(Staff!$H10="No",E$18),1,0)</f>
        <v>0</v>
      </c>
      <c r="F13" s="193">
        <f>$B13    *IF(OR(Staff!$H10="No",F$18),1,0)</f>
        <v>0</v>
      </c>
      <c r="G13" s="193">
        <f>$B13    *IF(OR(Staff!$H10="No",G$18),1,0)</f>
        <v>0</v>
      </c>
      <c r="H13" s="193">
        <f>$B13    *IF(OR(Staff!$H10="No",H$18),1,0)</f>
        <v>0</v>
      </c>
      <c r="I13" s="193">
        <f>$B13    *IF(OR(Staff!$H10="No",I$18),1,0)</f>
        <v>0</v>
      </c>
      <c r="J13" s="193">
        <f>$B13    *IF(OR(Staff!$H10="No",J$18),1,0)</f>
        <v>0</v>
      </c>
      <c r="K13" s="193">
        <f>$B13    *IF(OR(Staff!$H10="No",K$18),1,0)</f>
        <v>0</v>
      </c>
      <c r="L13" s="193">
        <f>$B13    *IF(OR(Staff!$H10="No",L$18),1,0)</f>
        <v>0</v>
      </c>
      <c r="M13" s="193">
        <f>$B13    *IF(OR(Staff!$H10="No",M$18),1,0)</f>
        <v>0</v>
      </c>
      <c r="N13" s="194">
        <f>$B13    *IF(OR(Staff!$H10="No",N$18),1,0)</f>
        <v>0</v>
      </c>
      <c r="O13" s="195">
        <f t="shared" si="0"/>
        <v>0</v>
      </c>
    </row>
    <row r="14" spans="1:15">
      <c r="A14" s="221" t="str">
        <v/>
      </c>
      <c r="B14" s="191">
        <v>0</v>
      </c>
      <c r="C14" s="192">
        <f>$B14    *IF(OR(Staff!$H11="No",C$18),1,0)</f>
        <v>0</v>
      </c>
      <c r="D14" s="193">
        <f>$B14    *IF(OR(Staff!$H11="No",D$18),1,0)</f>
        <v>0</v>
      </c>
      <c r="E14" s="193">
        <f>$B14    *IF(OR(Staff!$H11="No",E$18),1,0)</f>
        <v>0</v>
      </c>
      <c r="F14" s="193">
        <f>$B14    *IF(OR(Staff!$H11="No",F$18),1,0)</f>
        <v>0</v>
      </c>
      <c r="G14" s="193">
        <f>$B14    *IF(OR(Staff!$H11="No",G$18),1,0)</f>
        <v>0</v>
      </c>
      <c r="H14" s="193">
        <f>$B14    *IF(OR(Staff!$H11="No",H$18),1,0)</f>
        <v>0</v>
      </c>
      <c r="I14" s="193">
        <f>$B14    *IF(OR(Staff!$H11="No",I$18),1,0)</f>
        <v>0</v>
      </c>
      <c r="J14" s="193">
        <f>$B14    *IF(OR(Staff!$H11="No",J$18),1,0)</f>
        <v>0</v>
      </c>
      <c r="K14" s="193">
        <f>$B14    *IF(OR(Staff!$H11="No",K$18),1,0)</f>
        <v>0</v>
      </c>
      <c r="L14" s="193">
        <f>$B14    *IF(OR(Staff!$H11="No",L$18),1,0)</f>
        <v>0</v>
      </c>
      <c r="M14" s="193">
        <f>$B14    *IF(OR(Staff!$H11="No",M$18),1,0)</f>
        <v>0</v>
      </c>
      <c r="N14" s="194">
        <f>$B14    *IF(OR(Staff!$H11="No",N$18),1,0)</f>
        <v>0</v>
      </c>
      <c r="O14" s="195">
        <f t="shared" si="0"/>
        <v>0</v>
      </c>
    </row>
    <row r="15" spans="1:15">
      <c r="A15" s="221" t="str">
        <v/>
      </c>
      <c r="B15" s="191">
        <v>0</v>
      </c>
      <c r="C15" s="192">
        <f>$B15    *IF(OR(Staff!$H12="No",C$18),1,0)</f>
        <v>0</v>
      </c>
      <c r="D15" s="193">
        <f>$B15    *IF(OR(Staff!$H12="No",D$18),1,0)</f>
        <v>0</v>
      </c>
      <c r="E15" s="193">
        <f>$B15    *IF(OR(Staff!$H12="No",E$18),1,0)</f>
        <v>0</v>
      </c>
      <c r="F15" s="193">
        <f>$B15    *IF(OR(Staff!$H12="No",F$18),1,0)</f>
        <v>0</v>
      </c>
      <c r="G15" s="193">
        <f>$B15    *IF(OR(Staff!$H12="No",G$18),1,0)</f>
        <v>0</v>
      </c>
      <c r="H15" s="193">
        <f>$B15    *IF(OR(Staff!$H12="No",H$18),1,0)</f>
        <v>0</v>
      </c>
      <c r="I15" s="193">
        <f>$B15    *IF(OR(Staff!$H12="No",I$18),1,0)</f>
        <v>0</v>
      </c>
      <c r="J15" s="193">
        <f>$B15    *IF(OR(Staff!$H12="No",J$18),1,0)</f>
        <v>0</v>
      </c>
      <c r="K15" s="193">
        <f>$B15    *IF(OR(Staff!$H12="No",K$18),1,0)</f>
        <v>0</v>
      </c>
      <c r="L15" s="193">
        <f>$B15    *IF(OR(Staff!$H12="No",L$18),1,0)</f>
        <v>0</v>
      </c>
      <c r="M15" s="193">
        <f>$B15    *IF(OR(Staff!$H12="No",M$18),1,0)</f>
        <v>0</v>
      </c>
      <c r="N15" s="194">
        <f>$B15    *IF(OR(Staff!$H12="No",N$18),1,0)</f>
        <v>0</v>
      </c>
      <c r="O15" s="195">
        <f t="shared" si="0"/>
        <v>0</v>
      </c>
    </row>
    <row r="16" spans="1:15" ht="15.75" thickBot="1">
      <c r="A16" s="221" t="str">
        <v/>
      </c>
      <c r="B16" s="191">
        <v>0</v>
      </c>
      <c r="C16" s="192">
        <f>$B16    *IF(OR(Staff!$H13="No",C$18),1,0)</f>
        <v>0</v>
      </c>
      <c r="D16" s="193">
        <f>$B16    *IF(OR(Staff!$H13="No",D$18),1,0)</f>
        <v>0</v>
      </c>
      <c r="E16" s="193">
        <f>$B16    *IF(OR(Staff!$H13="No",E$18),1,0)</f>
        <v>0</v>
      </c>
      <c r="F16" s="193">
        <f>$B16    *IF(OR(Staff!$H13="No",F$18),1,0)</f>
        <v>0</v>
      </c>
      <c r="G16" s="193">
        <f>$B16    *IF(OR(Staff!$H13="No",G$18),1,0)</f>
        <v>0</v>
      </c>
      <c r="H16" s="193">
        <f>$B16    *IF(OR(Staff!$H13="No",H$18),1,0)</f>
        <v>0</v>
      </c>
      <c r="I16" s="193">
        <f>$B16    *IF(OR(Staff!$H13="No",I$18),1,0)</f>
        <v>0</v>
      </c>
      <c r="J16" s="193">
        <f>$B16    *IF(OR(Staff!$H13="No",J$18),1,0)</f>
        <v>0</v>
      </c>
      <c r="K16" s="193">
        <f>$B16    *IF(OR(Staff!$H13="No",K$18),1,0)</f>
        <v>0</v>
      </c>
      <c r="L16" s="193">
        <f>$B16    *IF(OR(Staff!$H13="No",L$18),1,0)</f>
        <v>0</v>
      </c>
      <c r="M16" s="193">
        <f>$B16    *IF(OR(Staff!$H13="No",M$18),1,0)</f>
        <v>0</v>
      </c>
      <c r="N16" s="194">
        <f>$B16    *IF(OR(Staff!$H13="No",N$18),1,0)</f>
        <v>0</v>
      </c>
      <c r="O16" s="195">
        <f t="shared" si="0"/>
        <v>0</v>
      </c>
    </row>
    <row r="17" spans="1:15" ht="15.75" thickBot="1">
      <c r="A17" s="2392" t="s">
        <v>518</v>
      </c>
      <c r="B17" s="57">
        <f t="shared" ref="B17:N17" si="1">SUM(B9:B16)</f>
        <v>1</v>
      </c>
      <c r="C17" s="196">
        <f t="shared" si="1"/>
        <v>1</v>
      </c>
      <c r="D17" s="197">
        <f t="shared" si="1"/>
        <v>1</v>
      </c>
      <c r="E17" s="197">
        <f t="shared" si="1"/>
        <v>1</v>
      </c>
      <c r="F17" s="197">
        <f t="shared" si="1"/>
        <v>1</v>
      </c>
      <c r="G17" s="197">
        <f t="shared" si="1"/>
        <v>1</v>
      </c>
      <c r="H17" s="197">
        <f t="shared" si="1"/>
        <v>1</v>
      </c>
      <c r="I17" s="197">
        <f t="shared" si="1"/>
        <v>1</v>
      </c>
      <c r="J17" s="197">
        <f t="shared" si="1"/>
        <v>1</v>
      </c>
      <c r="K17" s="197">
        <f t="shared" si="1"/>
        <v>1</v>
      </c>
      <c r="L17" s="197">
        <f t="shared" si="1"/>
        <v>1</v>
      </c>
      <c r="M17" s="197">
        <f t="shared" si="1"/>
        <v>1</v>
      </c>
      <c r="N17" s="198">
        <f t="shared" si="1"/>
        <v>1</v>
      </c>
      <c r="O17" s="199">
        <f t="shared" si="0"/>
        <v>1</v>
      </c>
    </row>
    <row r="18" spans="1:15" ht="15.75" thickBot="1">
      <c r="C18" s="2228" t="b">
        <f t="shared" ref="C18:N18" si="2">+AND(C$5&gt;=inicioTemporada,C$5&lt;=finTemporada)</f>
        <v>1</v>
      </c>
      <c r="D18" s="2228" t="b">
        <f t="shared" si="2"/>
        <v>1</v>
      </c>
      <c r="E18" s="2228" t="b">
        <f t="shared" si="2"/>
        <v>1</v>
      </c>
      <c r="F18" s="2228" t="b">
        <f t="shared" si="2"/>
        <v>1</v>
      </c>
      <c r="G18" s="2228" t="b">
        <f t="shared" si="2"/>
        <v>1</v>
      </c>
      <c r="H18" s="2228" t="b">
        <f t="shared" si="2"/>
        <v>1</v>
      </c>
      <c r="I18" s="2228" t="b">
        <f t="shared" si="2"/>
        <v>1</v>
      </c>
      <c r="J18" s="2228" t="b">
        <f t="shared" si="2"/>
        <v>1</v>
      </c>
      <c r="K18" s="2228" t="b">
        <f t="shared" si="2"/>
        <v>1</v>
      </c>
      <c r="L18" s="2228" t="b">
        <f t="shared" si="2"/>
        <v>1</v>
      </c>
      <c r="M18" s="2228" t="b">
        <f t="shared" si="2"/>
        <v>1</v>
      </c>
      <c r="N18" s="2228" t="b">
        <f t="shared" si="2"/>
        <v>1</v>
      </c>
    </row>
    <row r="19" spans="1:15" s="219" customFormat="1" ht="15.75" thickBot="1">
      <c r="A19" s="224" t="s">
        <v>522</v>
      </c>
      <c r="B19" s="225"/>
      <c r="C19" s="226" t="str">
        <f t="array" ref="C19:N19">meses</f>
        <v>January</v>
      </c>
      <c r="D19" s="227" t="str">
        <v>February</v>
      </c>
      <c r="E19" s="227" t="str">
        <v>March</v>
      </c>
      <c r="F19" s="227" t="str">
        <v>April</v>
      </c>
      <c r="G19" s="227" t="str">
        <v>May</v>
      </c>
      <c r="H19" s="227" t="str">
        <v>June</v>
      </c>
      <c r="I19" s="227" t="str">
        <v>July</v>
      </c>
      <c r="J19" s="227" t="str">
        <v>August</v>
      </c>
      <c r="K19" s="227" t="str">
        <v>September</v>
      </c>
      <c r="L19" s="227" t="str">
        <v>October</v>
      </c>
      <c r="M19" s="227" t="str">
        <v>November</v>
      </c>
      <c r="N19" s="228" t="str">
        <v>December</v>
      </c>
      <c r="O19" s="229" t="s">
        <v>0</v>
      </c>
    </row>
    <row r="20" spans="1:15">
      <c r="A20" s="222" t="s">
        <v>523</v>
      </c>
      <c r="B20" s="200"/>
      <c r="C20" s="201">
        <v>0</v>
      </c>
      <c r="D20" s="202">
        <f t="shared" ref="D20:N20" si="3">ABS(D9+D10-C9-C10)</f>
        <v>0</v>
      </c>
      <c r="E20" s="202">
        <f t="shared" si="3"/>
        <v>0</v>
      </c>
      <c r="F20" s="202">
        <f t="shared" si="3"/>
        <v>0</v>
      </c>
      <c r="G20" s="202">
        <f t="shared" si="3"/>
        <v>0</v>
      </c>
      <c r="H20" s="202">
        <f t="shared" si="3"/>
        <v>0</v>
      </c>
      <c r="I20" s="202">
        <f t="shared" si="3"/>
        <v>0</v>
      </c>
      <c r="J20" s="202">
        <f t="shared" si="3"/>
        <v>0</v>
      </c>
      <c r="K20" s="202">
        <f t="shared" si="3"/>
        <v>0</v>
      </c>
      <c r="L20" s="202">
        <f t="shared" si="3"/>
        <v>0</v>
      </c>
      <c r="M20" s="202">
        <f t="shared" si="3"/>
        <v>0</v>
      </c>
      <c r="N20" s="203">
        <f t="shared" si="3"/>
        <v>0</v>
      </c>
      <c r="O20" s="204">
        <f>SUM(C20:N20)</f>
        <v>0</v>
      </c>
    </row>
    <row r="21" spans="1:15" ht="15.75" thickBot="1">
      <c r="A21" s="223" t="s">
        <v>524</v>
      </c>
      <c r="B21" s="206"/>
      <c r="C21" s="207">
        <v>0</v>
      </c>
      <c r="D21" s="208">
        <f t="shared" ref="D21:N21" si="4">ABS(SUM(D11:D16)-SUM(C11:C16))</f>
        <v>0</v>
      </c>
      <c r="E21" s="208">
        <f t="shared" si="4"/>
        <v>0</v>
      </c>
      <c r="F21" s="208">
        <f t="shared" si="4"/>
        <v>0</v>
      </c>
      <c r="G21" s="208">
        <f t="shared" si="4"/>
        <v>0</v>
      </c>
      <c r="H21" s="208">
        <f t="shared" si="4"/>
        <v>0</v>
      </c>
      <c r="I21" s="208">
        <f t="shared" si="4"/>
        <v>0</v>
      </c>
      <c r="J21" s="208">
        <f t="shared" si="4"/>
        <v>0</v>
      </c>
      <c r="K21" s="208">
        <f t="shared" si="4"/>
        <v>0</v>
      </c>
      <c r="L21" s="208">
        <f t="shared" si="4"/>
        <v>0</v>
      </c>
      <c r="M21" s="208">
        <f t="shared" si="4"/>
        <v>0</v>
      </c>
      <c r="N21" s="209">
        <f t="shared" si="4"/>
        <v>0</v>
      </c>
      <c r="O21" s="210">
        <f>SUM(C21:N21)</f>
        <v>0</v>
      </c>
    </row>
    <row r="22" spans="1:15" ht="6" customHeight="1" thickBot="1"/>
    <row r="23" spans="1:15" ht="15.75" thickBot="1">
      <c r="A23" s="529" t="s">
        <v>525</v>
      </c>
      <c r="B23" s="374"/>
      <c r="C23" s="530">
        <f t="array" ref="C23:N23">C9:N9+C10:N10</f>
        <v>1</v>
      </c>
      <c r="D23" s="531">
        <v>1</v>
      </c>
      <c r="E23" s="531">
        <v>1</v>
      </c>
      <c r="F23" s="531">
        <v>1</v>
      </c>
      <c r="G23" s="531">
        <v>1</v>
      </c>
      <c r="H23" s="531">
        <v>1</v>
      </c>
      <c r="I23" s="531">
        <v>1</v>
      </c>
      <c r="J23" s="531">
        <v>1</v>
      </c>
      <c r="K23" s="531">
        <v>1</v>
      </c>
      <c r="L23" s="531">
        <v>1</v>
      </c>
      <c r="M23" s="531">
        <v>1</v>
      </c>
      <c r="N23" s="532">
        <v>1</v>
      </c>
      <c r="O23" s="528">
        <f>MAX(B23:N23)</f>
        <v>1</v>
      </c>
    </row>
    <row r="24" spans="1:15">
      <c r="B24" s="527"/>
    </row>
    <row r="25" spans="1:15" s="533" customFormat="1" ht="19.5">
      <c r="A25" s="390" t="str">
        <f>A$6</f>
        <v>Human Resources / Staff</v>
      </c>
      <c r="B25" s="390"/>
      <c r="C25" s="390"/>
      <c r="D25" s="390"/>
      <c r="E25" s="234" t="str">
        <f>Parameters!C$77</f>
        <v>Year 1:   2027</v>
      </c>
      <c r="F25" s="2387"/>
    </row>
    <row r="26" spans="1:15" ht="8.25" customHeight="1" thickBot="1">
      <c r="A26" s="211"/>
      <c r="B26" s="211"/>
      <c r="C26" s="211"/>
      <c r="D26" s="211"/>
      <c r="E26" s="212"/>
    </row>
    <row r="27" spans="1:15" s="219" customFormat="1" ht="21.75" customHeight="1" thickBot="1">
      <c r="A27" s="213" t="str">
        <f>A$8</f>
        <v>Monthly staff</v>
      </c>
      <c r="B27" s="214" t="str">
        <f>B$8</f>
        <v>Initial</v>
      </c>
      <c r="C27" s="215" t="str">
        <f t="array" ref="C27:N27">meses</f>
        <v>January</v>
      </c>
      <c r="D27" s="216" t="str">
        <v>February</v>
      </c>
      <c r="E27" s="216" t="str">
        <v>March</v>
      </c>
      <c r="F27" s="216" t="str">
        <v>April</v>
      </c>
      <c r="G27" s="216" t="str">
        <v>May</v>
      </c>
      <c r="H27" s="216" t="str">
        <v>June</v>
      </c>
      <c r="I27" s="216" t="str">
        <v>July</v>
      </c>
      <c r="J27" s="216" t="str">
        <v>August</v>
      </c>
      <c r="K27" s="216" t="str">
        <v>September</v>
      </c>
      <c r="L27" s="216" t="str">
        <v>October</v>
      </c>
      <c r="M27" s="216" t="str">
        <v>November</v>
      </c>
      <c r="N27" s="217" t="str">
        <v>December</v>
      </c>
      <c r="O27" s="218" t="str">
        <f>O$8</f>
        <v>Average</v>
      </c>
    </row>
    <row r="28" spans="1:15">
      <c r="A28" s="220" t="str">
        <f t="array" ref="A28:A35">catlaborales</f>
        <v>Working Owners / Self employees</v>
      </c>
      <c r="B28" s="186">
        <f t="array" ref="B28:B35">Staff!C6:C13</f>
        <v>1</v>
      </c>
      <c r="C28" s="187">
        <f>$B28    *IF(OR(Staff!$H6="No",C$18),1,0)</f>
        <v>1</v>
      </c>
      <c r="D28" s="188">
        <f>$B28    *IF(OR(Staff!$H6="No",D$18),1,0)</f>
        <v>1</v>
      </c>
      <c r="E28" s="188">
        <f>$B28    *IF(OR(Staff!$H6="No",E$18),1,0)</f>
        <v>1</v>
      </c>
      <c r="F28" s="188">
        <f>$B28    *IF(OR(Staff!$H6="No",F$18),1,0)</f>
        <v>1</v>
      </c>
      <c r="G28" s="188">
        <f>$B28    *IF(OR(Staff!$H6="No",G$18),1,0)</f>
        <v>1</v>
      </c>
      <c r="H28" s="188">
        <f>$B28    *IF(OR(Staff!$H6="No",H$18),1,0)</f>
        <v>1</v>
      </c>
      <c r="I28" s="188">
        <f>$B28    *IF(OR(Staff!$H6="No",I$18),1,0)</f>
        <v>1</v>
      </c>
      <c r="J28" s="188">
        <f>$B28    *IF(OR(Staff!$H6="No",J$18),1,0)</f>
        <v>1</v>
      </c>
      <c r="K28" s="188">
        <f>$B28    *IF(OR(Staff!$H6="No",K$18),1,0)</f>
        <v>1</v>
      </c>
      <c r="L28" s="188">
        <f>$B28    *IF(OR(Staff!$H6="No",L$18),1,0)</f>
        <v>1</v>
      </c>
      <c r="M28" s="188">
        <f>$B28    *IF(OR(Staff!$H6="No",M$18),1,0)</f>
        <v>1</v>
      </c>
      <c r="N28" s="189">
        <f>$B28    *IF(OR(Staff!$H6="No",N$18),1,0)</f>
        <v>1</v>
      </c>
      <c r="O28" s="190">
        <f t="shared" ref="O28:O36" si="5">AVERAGE(C28:N28)</f>
        <v>1</v>
      </c>
    </row>
    <row r="29" spans="1:15">
      <c r="A29" s="221" t="str">
        <v>Other non staff not employees</v>
      </c>
      <c r="B29" s="191">
        <v>0</v>
      </c>
      <c r="C29" s="192">
        <f>$B29    *IF(OR(Staff!$H7="No",C$18),1,0)</f>
        <v>0</v>
      </c>
      <c r="D29" s="193">
        <f>$B29    *IF(OR(Staff!$H7="No",D$18),1,0)</f>
        <v>0</v>
      </c>
      <c r="E29" s="193">
        <f>$B29    *IF(OR(Staff!$H7="No",E$18),1,0)</f>
        <v>0</v>
      </c>
      <c r="F29" s="193">
        <f>$B29    *IF(OR(Staff!$H7="No",F$18),1,0)</f>
        <v>0</v>
      </c>
      <c r="G29" s="193">
        <f>$B29    *IF(OR(Staff!$H7="No",G$18),1,0)</f>
        <v>0</v>
      </c>
      <c r="H29" s="193">
        <f>$B29    *IF(OR(Staff!$H7="No",H$18),1,0)</f>
        <v>0</v>
      </c>
      <c r="I29" s="193">
        <f>$B29    *IF(OR(Staff!$H7="No",I$18),1,0)</f>
        <v>0</v>
      </c>
      <c r="J29" s="193">
        <f>$B29    *IF(OR(Staff!$H7="No",J$18),1,0)</f>
        <v>0</v>
      </c>
      <c r="K29" s="193">
        <f>$B29    *IF(OR(Staff!$H7="No",K$18),1,0)</f>
        <v>0</v>
      </c>
      <c r="L29" s="193">
        <f>$B29    *IF(OR(Staff!$H7="No",L$18),1,0)</f>
        <v>0</v>
      </c>
      <c r="M29" s="193">
        <f>$B29    *IF(OR(Staff!$H7="No",M$18),1,0)</f>
        <v>0</v>
      </c>
      <c r="N29" s="194">
        <f>$B29    *IF(OR(Staff!$H7="No",N$18),1,0)</f>
        <v>0</v>
      </c>
      <c r="O29" s="195">
        <f t="shared" si="5"/>
        <v>0</v>
      </c>
    </row>
    <row r="30" spans="1:15">
      <c r="A30" s="221" t="str">
        <v>Staff / employees</v>
      </c>
      <c r="B30" s="191">
        <v>0</v>
      </c>
      <c r="C30" s="192">
        <f>$B30    *IF(OR(Staff!$H8="No",C$18),1,0)</f>
        <v>0</v>
      </c>
      <c r="D30" s="193">
        <f>$B30    *IF(OR(Staff!$H8="No",D$18),1,0)</f>
        <v>0</v>
      </c>
      <c r="E30" s="193">
        <f>$B30    *IF(OR(Staff!$H8="No",E$18),1,0)</f>
        <v>0</v>
      </c>
      <c r="F30" s="193">
        <f>$B30    *IF(OR(Staff!$H8="No",F$18),1,0)</f>
        <v>0</v>
      </c>
      <c r="G30" s="193">
        <f>$B30    *IF(OR(Staff!$H8="No",G$18),1,0)</f>
        <v>0</v>
      </c>
      <c r="H30" s="193">
        <f>$B30    *IF(OR(Staff!$H8="No",H$18),1,0)</f>
        <v>0</v>
      </c>
      <c r="I30" s="193">
        <f>$B30    *IF(OR(Staff!$H8="No",I$18),1,0)</f>
        <v>0</v>
      </c>
      <c r="J30" s="193">
        <f>$B30    *IF(OR(Staff!$H8="No",J$18),1,0)</f>
        <v>0</v>
      </c>
      <c r="K30" s="193">
        <f>$B30    *IF(OR(Staff!$H8="No",K$18),1,0)</f>
        <v>0</v>
      </c>
      <c r="L30" s="193">
        <f>$B30    *IF(OR(Staff!$H8="No",L$18),1,0)</f>
        <v>0</v>
      </c>
      <c r="M30" s="193">
        <f>$B30    *IF(OR(Staff!$H8="No",M$18),1,0)</f>
        <v>0</v>
      </c>
      <c r="N30" s="194">
        <f>$B30    *IF(OR(Staff!$H8="No",N$18),1,0)</f>
        <v>0</v>
      </c>
      <c r="O30" s="195">
        <f t="shared" si="5"/>
        <v>0</v>
      </c>
    </row>
    <row r="31" spans="1:15">
      <c r="A31" s="221" t="str">
        <v/>
      </c>
      <c r="B31" s="191">
        <v>0</v>
      </c>
      <c r="C31" s="192">
        <f>$B31    *IF(OR(Staff!$H9="No",C$18),1,0)</f>
        <v>0</v>
      </c>
      <c r="D31" s="193">
        <f>$B31    *IF(OR(Staff!$H9="No",D$18),1,0)</f>
        <v>0</v>
      </c>
      <c r="E31" s="193">
        <f>$B31    *IF(OR(Staff!$H9="No",E$18),1,0)</f>
        <v>0</v>
      </c>
      <c r="F31" s="193">
        <f>$B31    *IF(OR(Staff!$H9="No",F$18),1,0)</f>
        <v>0</v>
      </c>
      <c r="G31" s="193">
        <f>$B31    *IF(OR(Staff!$H9="No",G$18),1,0)</f>
        <v>0</v>
      </c>
      <c r="H31" s="193">
        <f>$B31    *IF(OR(Staff!$H9="No",H$18),1,0)</f>
        <v>0</v>
      </c>
      <c r="I31" s="193">
        <f>$B31    *IF(OR(Staff!$H9="No",I$18),1,0)</f>
        <v>0</v>
      </c>
      <c r="J31" s="193">
        <f>$B31    *IF(OR(Staff!$H9="No",J$18),1,0)</f>
        <v>0</v>
      </c>
      <c r="K31" s="193">
        <f>$B31    *IF(OR(Staff!$H9="No",K$18),1,0)</f>
        <v>0</v>
      </c>
      <c r="L31" s="193">
        <f>$B31    *IF(OR(Staff!$H9="No",L$18),1,0)</f>
        <v>0</v>
      </c>
      <c r="M31" s="193">
        <f>$B31    *IF(OR(Staff!$H9="No",M$18),1,0)</f>
        <v>0</v>
      </c>
      <c r="N31" s="194">
        <f>$B31    *IF(OR(Staff!$H9="No",N$18),1,0)</f>
        <v>0</v>
      </c>
      <c r="O31" s="195">
        <f t="shared" si="5"/>
        <v>0</v>
      </c>
    </row>
    <row r="32" spans="1:15">
      <c r="A32" s="221" t="str">
        <v/>
      </c>
      <c r="B32" s="191">
        <v>0</v>
      </c>
      <c r="C32" s="192">
        <f>$B32    *IF(OR(Staff!$H10="No",C$18),1,0)</f>
        <v>0</v>
      </c>
      <c r="D32" s="193">
        <f>$B32    *IF(OR(Staff!$H10="No",D$18),1,0)</f>
        <v>0</v>
      </c>
      <c r="E32" s="193">
        <f>$B32    *IF(OR(Staff!$H10="No",E$18),1,0)</f>
        <v>0</v>
      </c>
      <c r="F32" s="193">
        <f>$B32    *IF(OR(Staff!$H10="No",F$18),1,0)</f>
        <v>0</v>
      </c>
      <c r="G32" s="193">
        <f>$B32    *IF(OR(Staff!$H10="No",G$18),1,0)</f>
        <v>0</v>
      </c>
      <c r="H32" s="193">
        <f>$B32    *IF(OR(Staff!$H10="No",H$18),1,0)</f>
        <v>0</v>
      </c>
      <c r="I32" s="193">
        <f>$B32    *IF(OR(Staff!$H10="No",I$18),1,0)</f>
        <v>0</v>
      </c>
      <c r="J32" s="193">
        <f>$B32    *IF(OR(Staff!$H10="No",J$18),1,0)</f>
        <v>0</v>
      </c>
      <c r="K32" s="193">
        <f>$B32    *IF(OR(Staff!$H10="No",K$18),1,0)</f>
        <v>0</v>
      </c>
      <c r="L32" s="193">
        <f>$B32    *IF(OR(Staff!$H10="No",L$18),1,0)</f>
        <v>0</v>
      </c>
      <c r="M32" s="193">
        <f>$B32    *IF(OR(Staff!$H10="No",M$18),1,0)</f>
        <v>0</v>
      </c>
      <c r="N32" s="194">
        <f>$B32    *IF(OR(Staff!$H10="No",N$18),1,0)</f>
        <v>0</v>
      </c>
      <c r="O32" s="195">
        <f t="shared" si="5"/>
        <v>0</v>
      </c>
    </row>
    <row r="33" spans="1:15">
      <c r="A33" s="221" t="str">
        <v/>
      </c>
      <c r="B33" s="191">
        <v>0</v>
      </c>
      <c r="C33" s="192">
        <f>$B33    *IF(OR(Staff!$H11="No",C$18),1,0)</f>
        <v>0</v>
      </c>
      <c r="D33" s="193">
        <f>$B33    *IF(OR(Staff!$H11="No",D$18),1,0)</f>
        <v>0</v>
      </c>
      <c r="E33" s="193">
        <f>$B33    *IF(OR(Staff!$H11="No",E$18),1,0)</f>
        <v>0</v>
      </c>
      <c r="F33" s="193">
        <f>$B33    *IF(OR(Staff!$H11="No",F$18),1,0)</f>
        <v>0</v>
      </c>
      <c r="G33" s="193">
        <f>$B33    *IF(OR(Staff!$H11="No",G$18),1,0)</f>
        <v>0</v>
      </c>
      <c r="H33" s="193">
        <f>$B33    *IF(OR(Staff!$H11="No",H$18),1,0)</f>
        <v>0</v>
      </c>
      <c r="I33" s="193">
        <f>$B33    *IF(OR(Staff!$H11="No",I$18),1,0)</f>
        <v>0</v>
      </c>
      <c r="J33" s="193">
        <f>$B33    *IF(OR(Staff!$H11="No",J$18),1,0)</f>
        <v>0</v>
      </c>
      <c r="K33" s="193">
        <f>$B33    *IF(OR(Staff!$H11="No",K$18),1,0)</f>
        <v>0</v>
      </c>
      <c r="L33" s="193">
        <f>$B33    *IF(OR(Staff!$H11="No",L$18),1,0)</f>
        <v>0</v>
      </c>
      <c r="M33" s="193">
        <f>$B33    *IF(OR(Staff!$H11="No",M$18),1,0)</f>
        <v>0</v>
      </c>
      <c r="N33" s="194">
        <f>$B33    *IF(OR(Staff!$H11="No",N$18),1,0)</f>
        <v>0</v>
      </c>
      <c r="O33" s="195">
        <f t="shared" si="5"/>
        <v>0</v>
      </c>
    </row>
    <row r="34" spans="1:15">
      <c r="A34" s="221" t="str">
        <v/>
      </c>
      <c r="B34" s="191">
        <v>0</v>
      </c>
      <c r="C34" s="192">
        <f>$B34    *IF(OR(Staff!$H12="No",C$18),1,0)</f>
        <v>0</v>
      </c>
      <c r="D34" s="193">
        <f>$B34    *IF(OR(Staff!$H12="No",D$18),1,0)</f>
        <v>0</v>
      </c>
      <c r="E34" s="193">
        <f>$B34    *IF(OR(Staff!$H12="No",E$18),1,0)</f>
        <v>0</v>
      </c>
      <c r="F34" s="193">
        <f>$B34    *IF(OR(Staff!$H12="No",F$18),1,0)</f>
        <v>0</v>
      </c>
      <c r="G34" s="193">
        <f>$B34    *IF(OR(Staff!$H12="No",G$18),1,0)</f>
        <v>0</v>
      </c>
      <c r="H34" s="193">
        <f>$B34    *IF(OR(Staff!$H12="No",H$18),1,0)</f>
        <v>0</v>
      </c>
      <c r="I34" s="193">
        <f>$B34    *IF(OR(Staff!$H12="No",I$18),1,0)</f>
        <v>0</v>
      </c>
      <c r="J34" s="193">
        <f>$B34    *IF(OR(Staff!$H12="No",J$18),1,0)</f>
        <v>0</v>
      </c>
      <c r="K34" s="193">
        <f>$B34    *IF(OR(Staff!$H12="No",K$18),1,0)</f>
        <v>0</v>
      </c>
      <c r="L34" s="193">
        <f>$B34    *IF(OR(Staff!$H12="No",L$18),1,0)</f>
        <v>0</v>
      </c>
      <c r="M34" s="193">
        <f>$B34    *IF(OR(Staff!$H12="No",M$18),1,0)</f>
        <v>0</v>
      </c>
      <c r="N34" s="194">
        <f>$B34    *IF(OR(Staff!$H12="No",N$18),1,0)</f>
        <v>0</v>
      </c>
      <c r="O34" s="195">
        <f t="shared" si="5"/>
        <v>0</v>
      </c>
    </row>
    <row r="35" spans="1:15" ht="15.75" thickBot="1">
      <c r="A35" s="221" t="str">
        <v/>
      </c>
      <c r="B35" s="191">
        <v>0</v>
      </c>
      <c r="C35" s="192">
        <f>$B35    *IF(OR(Staff!$H13="No",C$18),1,0)</f>
        <v>0</v>
      </c>
      <c r="D35" s="193">
        <f>$B35    *IF(OR(Staff!$H13="No",D$18),1,0)</f>
        <v>0</v>
      </c>
      <c r="E35" s="193">
        <f>$B35    *IF(OR(Staff!$H13="No",E$18),1,0)</f>
        <v>0</v>
      </c>
      <c r="F35" s="193">
        <f>$B35    *IF(OR(Staff!$H13="No",F$18),1,0)</f>
        <v>0</v>
      </c>
      <c r="G35" s="193">
        <f>$B35    *IF(OR(Staff!$H13="No",G$18),1,0)</f>
        <v>0</v>
      </c>
      <c r="H35" s="193">
        <f>$B35    *IF(OR(Staff!$H13="No",H$18),1,0)</f>
        <v>0</v>
      </c>
      <c r="I35" s="193">
        <f>$B35    *IF(OR(Staff!$H13="No",I$18),1,0)</f>
        <v>0</v>
      </c>
      <c r="J35" s="193">
        <f>$B35    *IF(OR(Staff!$H13="No",J$18),1,0)</f>
        <v>0</v>
      </c>
      <c r="K35" s="193">
        <f>$B35    *IF(OR(Staff!$H13="No",K$18),1,0)</f>
        <v>0</v>
      </c>
      <c r="L35" s="193">
        <f>$B35    *IF(OR(Staff!$H13="No",L$18),1,0)</f>
        <v>0</v>
      </c>
      <c r="M35" s="193">
        <f>$B35    *IF(OR(Staff!$H13="No",M$18),1,0)</f>
        <v>0</v>
      </c>
      <c r="N35" s="194">
        <f>$B35    *IF(OR(Staff!$H13="No",N$18),1,0)</f>
        <v>0</v>
      </c>
      <c r="O35" s="195">
        <f t="shared" si="5"/>
        <v>0</v>
      </c>
    </row>
    <row r="36" spans="1:15" ht="15.75" thickBot="1">
      <c r="A36" s="2392" t="str">
        <f>A$17</f>
        <v>Total monthly staff</v>
      </c>
      <c r="B36" s="57">
        <f t="shared" ref="B36:N36" si="6">SUM(B28:B35)</f>
        <v>1</v>
      </c>
      <c r="C36" s="196">
        <f t="shared" si="6"/>
        <v>1</v>
      </c>
      <c r="D36" s="197">
        <f t="shared" si="6"/>
        <v>1</v>
      </c>
      <c r="E36" s="197">
        <f t="shared" si="6"/>
        <v>1</v>
      </c>
      <c r="F36" s="197">
        <f t="shared" si="6"/>
        <v>1</v>
      </c>
      <c r="G36" s="197">
        <f t="shared" si="6"/>
        <v>1</v>
      </c>
      <c r="H36" s="197">
        <f t="shared" si="6"/>
        <v>1</v>
      </c>
      <c r="I36" s="197">
        <f t="shared" si="6"/>
        <v>1</v>
      </c>
      <c r="J36" s="197">
        <f t="shared" si="6"/>
        <v>1</v>
      </c>
      <c r="K36" s="197">
        <f t="shared" si="6"/>
        <v>1</v>
      </c>
      <c r="L36" s="197">
        <f t="shared" si="6"/>
        <v>1</v>
      </c>
      <c r="M36" s="197">
        <f t="shared" si="6"/>
        <v>1</v>
      </c>
      <c r="N36" s="198">
        <f t="shared" si="6"/>
        <v>1</v>
      </c>
      <c r="O36" s="199">
        <f t="shared" si="5"/>
        <v>1</v>
      </c>
    </row>
    <row r="37" spans="1:15" ht="15.75" thickBot="1"/>
    <row r="38" spans="1:15" s="219" customFormat="1" ht="15.75" thickBot="1">
      <c r="A38" s="224" t="str">
        <f t="array" ref="A38:A42">A$19:A$23</f>
        <v>Personnel hiring &amp; firings</v>
      </c>
      <c r="B38" s="225"/>
      <c r="C38" s="226" t="str">
        <f t="array" ref="C38:N38">meses</f>
        <v>January</v>
      </c>
      <c r="D38" s="227" t="str">
        <v>February</v>
      </c>
      <c r="E38" s="227" t="str">
        <v>March</v>
      </c>
      <c r="F38" s="227" t="str">
        <v>April</v>
      </c>
      <c r="G38" s="227" t="str">
        <v>May</v>
      </c>
      <c r="H38" s="227" t="str">
        <v>June</v>
      </c>
      <c r="I38" s="227" t="str">
        <v>July</v>
      </c>
      <c r="J38" s="227" t="str">
        <v>August</v>
      </c>
      <c r="K38" s="227" t="str">
        <v>September</v>
      </c>
      <c r="L38" s="227" t="str">
        <v>October</v>
      </c>
      <c r="M38" s="227" t="str">
        <v>November</v>
      </c>
      <c r="N38" s="228" t="str">
        <v>December</v>
      </c>
      <c r="O38" s="229" t="s">
        <v>0</v>
      </c>
    </row>
    <row r="39" spans="1:15">
      <c r="A39" s="2388" t="str">
        <v>Self employees ( hiring &amp; firing )</v>
      </c>
      <c r="B39" s="200"/>
      <c r="C39" s="201">
        <f>ABS(C28+C29-N9-N10)</f>
        <v>0</v>
      </c>
      <c r="D39" s="202">
        <f t="shared" ref="D39:N39" si="7">ABS(D28+D29-C28-C29)</f>
        <v>0</v>
      </c>
      <c r="E39" s="202">
        <f t="shared" si="7"/>
        <v>0</v>
      </c>
      <c r="F39" s="202">
        <f t="shared" si="7"/>
        <v>0</v>
      </c>
      <c r="G39" s="202">
        <f t="shared" si="7"/>
        <v>0</v>
      </c>
      <c r="H39" s="202">
        <f t="shared" si="7"/>
        <v>0</v>
      </c>
      <c r="I39" s="202">
        <f t="shared" si="7"/>
        <v>0</v>
      </c>
      <c r="J39" s="202">
        <f t="shared" si="7"/>
        <v>0</v>
      </c>
      <c r="K39" s="202">
        <f t="shared" si="7"/>
        <v>0</v>
      </c>
      <c r="L39" s="202">
        <f t="shared" si="7"/>
        <v>0</v>
      </c>
      <c r="M39" s="202">
        <f t="shared" si="7"/>
        <v>0</v>
      </c>
      <c r="N39" s="203">
        <f t="shared" si="7"/>
        <v>0</v>
      </c>
      <c r="O39" s="204">
        <f>SUM(C39:N39)</f>
        <v>0</v>
      </c>
    </row>
    <row r="40" spans="1:15" ht="15.75" thickBot="1">
      <c r="A40" s="2389" t="str">
        <v>Employees hiring&amp;firing</v>
      </c>
      <c r="B40" s="206"/>
      <c r="C40" s="207">
        <f>ABS(SUM(C30:C35)-SUM(N11:N16))</f>
        <v>0</v>
      </c>
      <c r="D40" s="208">
        <f t="shared" ref="D40:N40" si="8">ABS(SUM(D30:D35)-SUM(C30:C35))</f>
        <v>0</v>
      </c>
      <c r="E40" s="208">
        <f t="shared" si="8"/>
        <v>0</v>
      </c>
      <c r="F40" s="208">
        <f t="shared" si="8"/>
        <v>0</v>
      </c>
      <c r="G40" s="208">
        <f t="shared" si="8"/>
        <v>0</v>
      </c>
      <c r="H40" s="208">
        <f t="shared" si="8"/>
        <v>0</v>
      </c>
      <c r="I40" s="208">
        <f t="shared" si="8"/>
        <v>0</v>
      </c>
      <c r="J40" s="208">
        <f t="shared" si="8"/>
        <v>0</v>
      </c>
      <c r="K40" s="208">
        <f t="shared" si="8"/>
        <v>0</v>
      </c>
      <c r="L40" s="208">
        <f t="shared" si="8"/>
        <v>0</v>
      </c>
      <c r="M40" s="208">
        <f t="shared" si="8"/>
        <v>0</v>
      </c>
      <c r="N40" s="209">
        <f t="shared" si="8"/>
        <v>0</v>
      </c>
      <c r="O40" s="210">
        <f>SUM(C40:N40)</f>
        <v>0</v>
      </c>
    </row>
    <row r="41" spans="1:15" ht="6" customHeight="1" thickBot="1">
      <c r="A41" s="2391">
        <v>0</v>
      </c>
    </row>
    <row r="42" spans="1:15" ht="15.75" thickBot="1">
      <c r="A42" s="2390" t="str">
        <v>nº of owners (For Personal Income Tax)</v>
      </c>
      <c r="B42" s="374"/>
      <c r="C42" s="530">
        <f t="array" ref="C42:N42">C28:N28+C29:N29</f>
        <v>1</v>
      </c>
      <c r="D42" s="531">
        <v>1</v>
      </c>
      <c r="E42" s="531">
        <v>1</v>
      </c>
      <c r="F42" s="531">
        <v>1</v>
      </c>
      <c r="G42" s="531">
        <v>1</v>
      </c>
      <c r="H42" s="531">
        <v>1</v>
      </c>
      <c r="I42" s="531">
        <v>1</v>
      </c>
      <c r="J42" s="531">
        <v>1</v>
      </c>
      <c r="K42" s="531">
        <v>1</v>
      </c>
      <c r="L42" s="531">
        <v>1</v>
      </c>
      <c r="M42" s="531">
        <v>1</v>
      </c>
      <c r="N42" s="532">
        <v>1</v>
      </c>
      <c r="O42" s="528">
        <f>MAX(B42:N42)</f>
        <v>1</v>
      </c>
    </row>
    <row r="44" spans="1:15" s="533" customFormat="1" ht="19.5">
      <c r="A44" s="390" t="str">
        <f>A$6</f>
        <v>Human Resources / Staff</v>
      </c>
      <c r="B44" s="390"/>
      <c r="C44" s="390"/>
      <c r="D44" s="390"/>
      <c r="E44" s="234" t="str">
        <f>Parameters!D$77</f>
        <v>Year 2:   2028</v>
      </c>
      <c r="F44" s="2387"/>
    </row>
    <row r="45" spans="1:15" ht="8.25" customHeight="1" thickBot="1"/>
    <row r="46" spans="1:15" s="219" customFormat="1" ht="21.75" customHeight="1" thickBot="1">
      <c r="A46" s="213" t="str">
        <f>A$8</f>
        <v>Monthly staff</v>
      </c>
      <c r="B46" s="214" t="str">
        <f>B$8</f>
        <v>Initial</v>
      </c>
      <c r="C46" s="215" t="str">
        <f t="array" ref="C46:N46">meses</f>
        <v>January</v>
      </c>
      <c r="D46" s="216" t="str">
        <v>February</v>
      </c>
      <c r="E46" s="216" t="str">
        <v>March</v>
      </c>
      <c r="F46" s="216" t="str">
        <v>April</v>
      </c>
      <c r="G46" s="216" t="str">
        <v>May</v>
      </c>
      <c r="H46" s="216" t="str">
        <v>June</v>
      </c>
      <c r="I46" s="216" t="str">
        <v>July</v>
      </c>
      <c r="J46" s="216" t="str">
        <v>August</v>
      </c>
      <c r="K46" s="216" t="str">
        <v>September</v>
      </c>
      <c r="L46" s="216" t="str">
        <v>October</v>
      </c>
      <c r="M46" s="216" t="str">
        <v>November</v>
      </c>
      <c r="N46" s="217" t="str">
        <v>December</v>
      </c>
      <c r="O46" s="218" t="str">
        <f>O$8</f>
        <v>Average</v>
      </c>
    </row>
    <row r="47" spans="1:15">
      <c r="A47" s="220" t="str">
        <f t="array" ref="A47:A54">catlaborales</f>
        <v>Working Owners / Self employees</v>
      </c>
      <c r="B47" s="186">
        <f t="array" ref="B47:B54">Staff!D6:D13</f>
        <v>1</v>
      </c>
      <c r="C47" s="187">
        <f>$B47    *IF(OR(Staff!$H6="No",C$18),1,0)</f>
        <v>1</v>
      </c>
      <c r="D47" s="188">
        <f>$B47    *IF(OR(Staff!$H6="No",D$18),1,0)</f>
        <v>1</v>
      </c>
      <c r="E47" s="188">
        <f>$B47    *IF(OR(Staff!$H6="No",E$18),1,0)</f>
        <v>1</v>
      </c>
      <c r="F47" s="188">
        <f>$B47    *IF(OR(Staff!$H6="No",F$18),1,0)</f>
        <v>1</v>
      </c>
      <c r="G47" s="188">
        <f>$B47    *IF(OR(Staff!$H6="No",G$18),1,0)</f>
        <v>1</v>
      </c>
      <c r="H47" s="188">
        <f>$B47    *IF(OR(Staff!$H6="No",H$18),1,0)</f>
        <v>1</v>
      </c>
      <c r="I47" s="188">
        <f>$B47    *IF(OR(Staff!$H6="No",I$18),1,0)</f>
        <v>1</v>
      </c>
      <c r="J47" s="188">
        <f>$B47    *IF(OR(Staff!$H6="No",J$18),1,0)</f>
        <v>1</v>
      </c>
      <c r="K47" s="188">
        <f>$B47    *IF(OR(Staff!$H6="No",K$18),1,0)</f>
        <v>1</v>
      </c>
      <c r="L47" s="188">
        <f>$B47    *IF(OR(Staff!$H6="No",L$18),1,0)</f>
        <v>1</v>
      </c>
      <c r="M47" s="188">
        <f>$B47    *IF(OR(Staff!$H6="No",M$18),1,0)</f>
        <v>1</v>
      </c>
      <c r="N47" s="189">
        <f>$B47    *IF(OR(Staff!$H6="No",N$18),1,0)</f>
        <v>1</v>
      </c>
      <c r="O47" s="190">
        <f t="shared" ref="O47:O55" si="9">AVERAGE(C47:N47)</f>
        <v>1</v>
      </c>
    </row>
    <row r="48" spans="1:15">
      <c r="A48" s="221" t="str">
        <v>Other non staff not employees</v>
      </c>
      <c r="B48" s="191">
        <v>0</v>
      </c>
      <c r="C48" s="192">
        <f>$B48    *IF(OR(Staff!$H7="No",C$18),1,0)</f>
        <v>0</v>
      </c>
      <c r="D48" s="193">
        <f>$B48    *IF(OR(Staff!$H7="No",D$18),1,0)</f>
        <v>0</v>
      </c>
      <c r="E48" s="193">
        <f>$B48    *IF(OR(Staff!$H7="No",E$18),1,0)</f>
        <v>0</v>
      </c>
      <c r="F48" s="193">
        <f>$B48    *IF(OR(Staff!$H7="No",F$18),1,0)</f>
        <v>0</v>
      </c>
      <c r="G48" s="193">
        <f>$B48    *IF(OR(Staff!$H7="No",G$18),1,0)</f>
        <v>0</v>
      </c>
      <c r="H48" s="193">
        <f>$B48    *IF(OR(Staff!$H7="No",H$18),1,0)</f>
        <v>0</v>
      </c>
      <c r="I48" s="193">
        <f>$B48    *IF(OR(Staff!$H7="No",I$18),1,0)</f>
        <v>0</v>
      </c>
      <c r="J48" s="193">
        <f>$B48    *IF(OR(Staff!$H7="No",J$18),1,0)</f>
        <v>0</v>
      </c>
      <c r="K48" s="193">
        <f>$B48    *IF(OR(Staff!$H7="No",K$18),1,0)</f>
        <v>0</v>
      </c>
      <c r="L48" s="193">
        <f>$B48    *IF(OR(Staff!$H7="No",L$18),1,0)</f>
        <v>0</v>
      </c>
      <c r="M48" s="193">
        <f>$B48    *IF(OR(Staff!$H7="No",M$18),1,0)</f>
        <v>0</v>
      </c>
      <c r="N48" s="194">
        <f>$B48    *IF(OR(Staff!$H7="No",N$18),1,0)</f>
        <v>0</v>
      </c>
      <c r="O48" s="195">
        <f t="shared" si="9"/>
        <v>0</v>
      </c>
    </row>
    <row r="49" spans="1:15">
      <c r="A49" s="221" t="str">
        <v>Staff / employees</v>
      </c>
      <c r="B49" s="191">
        <v>0</v>
      </c>
      <c r="C49" s="192">
        <f>$B49    *IF(OR(Staff!$H8="No",C$18),1,0)</f>
        <v>0</v>
      </c>
      <c r="D49" s="193">
        <f>$B49    *IF(OR(Staff!$H8="No",D$18),1,0)</f>
        <v>0</v>
      </c>
      <c r="E49" s="193">
        <f>$B49    *IF(OR(Staff!$H8="No",E$18),1,0)</f>
        <v>0</v>
      </c>
      <c r="F49" s="193">
        <f>$B49    *IF(OR(Staff!$H8="No",F$18),1,0)</f>
        <v>0</v>
      </c>
      <c r="G49" s="193">
        <f>$B49    *IF(OR(Staff!$H8="No",G$18),1,0)</f>
        <v>0</v>
      </c>
      <c r="H49" s="193">
        <f>$B49    *IF(OR(Staff!$H8="No",H$18),1,0)</f>
        <v>0</v>
      </c>
      <c r="I49" s="193">
        <f>$B49    *IF(OR(Staff!$H8="No",I$18),1,0)</f>
        <v>0</v>
      </c>
      <c r="J49" s="193">
        <f>$B49    *IF(OR(Staff!$H8="No",J$18),1,0)</f>
        <v>0</v>
      </c>
      <c r="K49" s="193">
        <f>$B49    *IF(OR(Staff!$H8="No",K$18),1,0)</f>
        <v>0</v>
      </c>
      <c r="L49" s="193">
        <f>$B49    *IF(OR(Staff!$H8="No",L$18),1,0)</f>
        <v>0</v>
      </c>
      <c r="M49" s="193">
        <f>$B49    *IF(OR(Staff!$H8="No",M$18),1,0)</f>
        <v>0</v>
      </c>
      <c r="N49" s="194">
        <f>$B49    *IF(OR(Staff!$H8="No",N$18),1,0)</f>
        <v>0</v>
      </c>
      <c r="O49" s="195">
        <f t="shared" si="9"/>
        <v>0</v>
      </c>
    </row>
    <row r="50" spans="1:15">
      <c r="A50" s="221" t="str">
        <v/>
      </c>
      <c r="B50" s="191">
        <v>0</v>
      </c>
      <c r="C50" s="192">
        <f>$B50    *IF(OR(Staff!$H9="No",C$18),1,0)</f>
        <v>0</v>
      </c>
      <c r="D50" s="193">
        <f>$B50    *IF(OR(Staff!$H9="No",D$18),1,0)</f>
        <v>0</v>
      </c>
      <c r="E50" s="193">
        <f>$B50    *IF(OR(Staff!$H9="No",E$18),1,0)</f>
        <v>0</v>
      </c>
      <c r="F50" s="193">
        <f>$B50    *IF(OR(Staff!$H9="No",F$18),1,0)</f>
        <v>0</v>
      </c>
      <c r="G50" s="193">
        <f>$B50    *IF(OR(Staff!$H9="No",G$18),1,0)</f>
        <v>0</v>
      </c>
      <c r="H50" s="193">
        <f>$B50    *IF(OR(Staff!$H9="No",H$18),1,0)</f>
        <v>0</v>
      </c>
      <c r="I50" s="193">
        <f>$B50    *IF(OR(Staff!$H9="No",I$18),1,0)</f>
        <v>0</v>
      </c>
      <c r="J50" s="193">
        <f>$B50    *IF(OR(Staff!$H9="No",J$18),1,0)</f>
        <v>0</v>
      </c>
      <c r="K50" s="193">
        <f>$B50    *IF(OR(Staff!$H9="No",K$18),1,0)</f>
        <v>0</v>
      </c>
      <c r="L50" s="193">
        <f>$B50    *IF(OR(Staff!$H9="No",L$18),1,0)</f>
        <v>0</v>
      </c>
      <c r="M50" s="193">
        <f>$B50    *IF(OR(Staff!$H9="No",M$18),1,0)</f>
        <v>0</v>
      </c>
      <c r="N50" s="194">
        <f>$B50    *IF(OR(Staff!$H9="No",N$18),1,0)</f>
        <v>0</v>
      </c>
      <c r="O50" s="195">
        <f t="shared" si="9"/>
        <v>0</v>
      </c>
    </row>
    <row r="51" spans="1:15">
      <c r="A51" s="221" t="str">
        <v/>
      </c>
      <c r="B51" s="191">
        <v>0</v>
      </c>
      <c r="C51" s="192">
        <f>$B51    *IF(OR(Staff!$H10="No",C$18),1,0)</f>
        <v>0</v>
      </c>
      <c r="D51" s="193">
        <f>$B51    *IF(OR(Staff!$H10="No",D$18),1,0)</f>
        <v>0</v>
      </c>
      <c r="E51" s="193">
        <f>$B51    *IF(OR(Staff!$H10="No",E$18),1,0)</f>
        <v>0</v>
      </c>
      <c r="F51" s="193">
        <f>$B51    *IF(OR(Staff!$H10="No",F$18),1,0)</f>
        <v>0</v>
      </c>
      <c r="G51" s="193">
        <f>$B51    *IF(OR(Staff!$H10="No",G$18),1,0)</f>
        <v>0</v>
      </c>
      <c r="H51" s="193">
        <f>$B51    *IF(OR(Staff!$H10="No",H$18),1,0)</f>
        <v>0</v>
      </c>
      <c r="I51" s="193">
        <f>$B51    *IF(OR(Staff!$H10="No",I$18),1,0)</f>
        <v>0</v>
      </c>
      <c r="J51" s="193">
        <f>$B51    *IF(OR(Staff!$H10="No",J$18),1,0)</f>
        <v>0</v>
      </c>
      <c r="K51" s="193">
        <f>$B51    *IF(OR(Staff!$H10="No",K$18),1,0)</f>
        <v>0</v>
      </c>
      <c r="L51" s="193">
        <f>$B51    *IF(OR(Staff!$H10="No",L$18),1,0)</f>
        <v>0</v>
      </c>
      <c r="M51" s="193">
        <f>$B51    *IF(OR(Staff!$H10="No",M$18),1,0)</f>
        <v>0</v>
      </c>
      <c r="N51" s="194">
        <f>$B51    *IF(OR(Staff!$H10="No",N$18),1,0)</f>
        <v>0</v>
      </c>
      <c r="O51" s="195">
        <f t="shared" si="9"/>
        <v>0</v>
      </c>
    </row>
    <row r="52" spans="1:15">
      <c r="A52" s="221" t="str">
        <v/>
      </c>
      <c r="B52" s="191">
        <v>0</v>
      </c>
      <c r="C52" s="192">
        <f>$B52    *IF(OR(Staff!$H11="No",C$18),1,0)</f>
        <v>0</v>
      </c>
      <c r="D52" s="193">
        <f>$B52    *IF(OR(Staff!$H11="No",D$18),1,0)</f>
        <v>0</v>
      </c>
      <c r="E52" s="193">
        <f>$B52    *IF(OR(Staff!$H11="No",E$18),1,0)</f>
        <v>0</v>
      </c>
      <c r="F52" s="193">
        <f>$B52    *IF(OR(Staff!$H11="No",F$18),1,0)</f>
        <v>0</v>
      </c>
      <c r="G52" s="193">
        <f>$B52    *IF(OR(Staff!$H11="No",G$18),1,0)</f>
        <v>0</v>
      </c>
      <c r="H52" s="193">
        <f>$B52    *IF(OR(Staff!$H11="No",H$18),1,0)</f>
        <v>0</v>
      </c>
      <c r="I52" s="193">
        <f>$B52    *IF(OR(Staff!$H11="No",I$18),1,0)</f>
        <v>0</v>
      </c>
      <c r="J52" s="193">
        <f>$B52    *IF(OR(Staff!$H11="No",J$18),1,0)</f>
        <v>0</v>
      </c>
      <c r="K52" s="193">
        <f>$B52    *IF(OR(Staff!$H11="No",K$18),1,0)</f>
        <v>0</v>
      </c>
      <c r="L52" s="193">
        <f>$B52    *IF(OR(Staff!$H11="No",L$18),1,0)</f>
        <v>0</v>
      </c>
      <c r="M52" s="193">
        <f>$B52    *IF(OR(Staff!$H11="No",M$18),1,0)</f>
        <v>0</v>
      </c>
      <c r="N52" s="194">
        <f>$B52    *IF(OR(Staff!$H11="No",N$18),1,0)</f>
        <v>0</v>
      </c>
      <c r="O52" s="195">
        <f t="shared" si="9"/>
        <v>0</v>
      </c>
    </row>
    <row r="53" spans="1:15">
      <c r="A53" s="221" t="str">
        <v/>
      </c>
      <c r="B53" s="191">
        <v>0</v>
      </c>
      <c r="C53" s="192">
        <f>$B53    *IF(OR(Staff!$H12="No",C$18),1,0)</f>
        <v>0</v>
      </c>
      <c r="D53" s="193">
        <f>$B53    *IF(OR(Staff!$H12="No",D$18),1,0)</f>
        <v>0</v>
      </c>
      <c r="E53" s="193">
        <f>$B53    *IF(OR(Staff!$H12="No",E$18),1,0)</f>
        <v>0</v>
      </c>
      <c r="F53" s="193">
        <f>$B53    *IF(OR(Staff!$H12="No",F$18),1,0)</f>
        <v>0</v>
      </c>
      <c r="G53" s="193">
        <f>$B53    *IF(OR(Staff!$H12="No",G$18),1,0)</f>
        <v>0</v>
      </c>
      <c r="H53" s="193">
        <f>$B53    *IF(OR(Staff!$H12="No",H$18),1,0)</f>
        <v>0</v>
      </c>
      <c r="I53" s="193">
        <f>$B53    *IF(OR(Staff!$H12="No",I$18),1,0)</f>
        <v>0</v>
      </c>
      <c r="J53" s="193">
        <f>$B53    *IF(OR(Staff!$H12="No",J$18),1,0)</f>
        <v>0</v>
      </c>
      <c r="K53" s="193">
        <f>$B53    *IF(OR(Staff!$H12="No",K$18),1,0)</f>
        <v>0</v>
      </c>
      <c r="L53" s="193">
        <f>$B53    *IF(OR(Staff!$H12="No",L$18),1,0)</f>
        <v>0</v>
      </c>
      <c r="M53" s="193">
        <f>$B53    *IF(OR(Staff!$H12="No",M$18),1,0)</f>
        <v>0</v>
      </c>
      <c r="N53" s="194">
        <f>$B53    *IF(OR(Staff!$H12="No",N$18),1,0)</f>
        <v>0</v>
      </c>
      <c r="O53" s="195">
        <f t="shared" si="9"/>
        <v>0</v>
      </c>
    </row>
    <row r="54" spans="1:15" ht="15.75" thickBot="1">
      <c r="A54" s="221" t="str">
        <v/>
      </c>
      <c r="B54" s="191">
        <v>0</v>
      </c>
      <c r="C54" s="192">
        <f>$B54    *IF(OR(Staff!$H13="No",C$18),1,0)</f>
        <v>0</v>
      </c>
      <c r="D54" s="193">
        <f>$B54    *IF(OR(Staff!$H13="No",D$18),1,0)</f>
        <v>0</v>
      </c>
      <c r="E54" s="193">
        <f>$B54    *IF(OR(Staff!$H13="No",E$18),1,0)</f>
        <v>0</v>
      </c>
      <c r="F54" s="193">
        <f>$B54    *IF(OR(Staff!$H13="No",F$18),1,0)</f>
        <v>0</v>
      </c>
      <c r="G54" s="193">
        <f>$B54    *IF(OR(Staff!$H13="No",G$18),1,0)</f>
        <v>0</v>
      </c>
      <c r="H54" s="193">
        <f>$B54    *IF(OR(Staff!$H13="No",H$18),1,0)</f>
        <v>0</v>
      </c>
      <c r="I54" s="193">
        <f>$B54    *IF(OR(Staff!$H13="No",I$18),1,0)</f>
        <v>0</v>
      </c>
      <c r="J54" s="193">
        <f>$B54    *IF(OR(Staff!$H13="No",J$18),1,0)</f>
        <v>0</v>
      </c>
      <c r="K54" s="193">
        <f>$B54    *IF(OR(Staff!$H13="No",K$18),1,0)</f>
        <v>0</v>
      </c>
      <c r="L54" s="193">
        <f>$B54    *IF(OR(Staff!$H13="No",L$18),1,0)</f>
        <v>0</v>
      </c>
      <c r="M54" s="193">
        <f>$B54    *IF(OR(Staff!$H13="No",M$18),1,0)</f>
        <v>0</v>
      </c>
      <c r="N54" s="194">
        <f>$B54    *IF(OR(Staff!$H13="No",N$18),1,0)</f>
        <v>0</v>
      </c>
      <c r="O54" s="195">
        <f t="shared" si="9"/>
        <v>0</v>
      </c>
    </row>
    <row r="55" spans="1:15" ht="15.75" thickBot="1">
      <c r="A55" s="2392" t="str">
        <f>A$17</f>
        <v>Total monthly staff</v>
      </c>
      <c r="B55" s="57">
        <f t="shared" ref="B55:N55" si="10">SUM(B47:B54)</f>
        <v>1</v>
      </c>
      <c r="C55" s="196">
        <f t="shared" si="10"/>
        <v>1</v>
      </c>
      <c r="D55" s="197">
        <f t="shared" si="10"/>
        <v>1</v>
      </c>
      <c r="E55" s="197">
        <f t="shared" si="10"/>
        <v>1</v>
      </c>
      <c r="F55" s="197">
        <f t="shared" si="10"/>
        <v>1</v>
      </c>
      <c r="G55" s="197">
        <f t="shared" si="10"/>
        <v>1</v>
      </c>
      <c r="H55" s="197">
        <f t="shared" si="10"/>
        <v>1</v>
      </c>
      <c r="I55" s="197">
        <f t="shared" si="10"/>
        <v>1</v>
      </c>
      <c r="J55" s="197">
        <f t="shared" si="10"/>
        <v>1</v>
      </c>
      <c r="K55" s="197">
        <f t="shared" si="10"/>
        <v>1</v>
      </c>
      <c r="L55" s="197">
        <f t="shared" si="10"/>
        <v>1</v>
      </c>
      <c r="M55" s="197">
        <f t="shared" si="10"/>
        <v>1</v>
      </c>
      <c r="N55" s="198">
        <f t="shared" si="10"/>
        <v>1</v>
      </c>
      <c r="O55" s="199">
        <f t="shared" si="9"/>
        <v>1</v>
      </c>
    </row>
    <row r="56" spans="1:15" ht="15.75" thickBot="1"/>
    <row r="57" spans="1:15" s="219" customFormat="1" ht="15.75" thickBot="1">
      <c r="A57" s="224" t="str">
        <f t="array" ref="A57:A61">A$19:A$23</f>
        <v>Personnel hiring &amp; firings</v>
      </c>
      <c r="B57" s="225"/>
      <c r="C57" s="226" t="str">
        <f t="array" ref="C57:N57">meses</f>
        <v>January</v>
      </c>
      <c r="D57" s="227" t="str">
        <v>February</v>
      </c>
      <c r="E57" s="227" t="str">
        <v>March</v>
      </c>
      <c r="F57" s="227" t="str">
        <v>April</v>
      </c>
      <c r="G57" s="227" t="str">
        <v>May</v>
      </c>
      <c r="H57" s="227" t="str">
        <v>June</v>
      </c>
      <c r="I57" s="227" t="str">
        <v>July</v>
      </c>
      <c r="J57" s="227" t="str">
        <v>August</v>
      </c>
      <c r="K57" s="227" t="str">
        <v>September</v>
      </c>
      <c r="L57" s="227" t="str">
        <v>October</v>
      </c>
      <c r="M57" s="227" t="str">
        <v>November</v>
      </c>
      <c r="N57" s="228" t="str">
        <v>December</v>
      </c>
      <c r="O57" s="229" t="s">
        <v>0</v>
      </c>
    </row>
    <row r="58" spans="1:15">
      <c r="A58" s="2388" t="str">
        <v>Self employees ( hiring &amp; firing )</v>
      </c>
      <c r="B58" s="200"/>
      <c r="C58" s="201">
        <f>ABS(C47+C48-N28-N29)</f>
        <v>0</v>
      </c>
      <c r="D58" s="202">
        <f t="shared" ref="D58:N58" si="11">ABS(D47+D48-C47-C48)</f>
        <v>0</v>
      </c>
      <c r="E58" s="202">
        <f t="shared" si="11"/>
        <v>0</v>
      </c>
      <c r="F58" s="202">
        <f t="shared" si="11"/>
        <v>0</v>
      </c>
      <c r="G58" s="202">
        <f t="shared" si="11"/>
        <v>0</v>
      </c>
      <c r="H58" s="202">
        <f t="shared" si="11"/>
        <v>0</v>
      </c>
      <c r="I58" s="202">
        <f t="shared" si="11"/>
        <v>0</v>
      </c>
      <c r="J58" s="202">
        <f t="shared" si="11"/>
        <v>0</v>
      </c>
      <c r="K58" s="202">
        <f t="shared" si="11"/>
        <v>0</v>
      </c>
      <c r="L58" s="202">
        <f t="shared" si="11"/>
        <v>0</v>
      </c>
      <c r="M58" s="202">
        <f t="shared" si="11"/>
        <v>0</v>
      </c>
      <c r="N58" s="203">
        <f t="shared" si="11"/>
        <v>0</v>
      </c>
      <c r="O58" s="204">
        <f>SUM(C58:N58)</f>
        <v>0</v>
      </c>
    </row>
    <row r="59" spans="1:15" ht="15.75" thickBot="1">
      <c r="A59" s="2389" t="str">
        <v>Employees hiring&amp;firing</v>
      </c>
      <c r="B59" s="206"/>
      <c r="C59" s="207">
        <f>ABS(SUM(C49:C54)-SUM(N30:N35))</f>
        <v>0</v>
      </c>
      <c r="D59" s="208">
        <f t="shared" ref="D59:N59" si="12">ABS(SUM(D49:D54)-SUM(C49:C54))</f>
        <v>0</v>
      </c>
      <c r="E59" s="208">
        <f t="shared" si="12"/>
        <v>0</v>
      </c>
      <c r="F59" s="208">
        <f t="shared" si="12"/>
        <v>0</v>
      </c>
      <c r="G59" s="208">
        <f t="shared" si="12"/>
        <v>0</v>
      </c>
      <c r="H59" s="208">
        <f t="shared" si="12"/>
        <v>0</v>
      </c>
      <c r="I59" s="208">
        <f t="shared" si="12"/>
        <v>0</v>
      </c>
      <c r="J59" s="208">
        <f t="shared" si="12"/>
        <v>0</v>
      </c>
      <c r="K59" s="208">
        <f t="shared" si="12"/>
        <v>0</v>
      </c>
      <c r="L59" s="208">
        <f t="shared" si="12"/>
        <v>0</v>
      </c>
      <c r="M59" s="208">
        <f t="shared" si="12"/>
        <v>0</v>
      </c>
      <c r="N59" s="209">
        <f t="shared" si="12"/>
        <v>0</v>
      </c>
      <c r="O59" s="210">
        <f>SUM(C59:N59)</f>
        <v>0</v>
      </c>
    </row>
    <row r="60" spans="1:15" ht="6.75" customHeight="1" thickBot="1">
      <c r="A60" s="2391">
        <v>0</v>
      </c>
    </row>
    <row r="61" spans="1:15" ht="15.75" thickBot="1">
      <c r="A61" s="2390" t="str">
        <v>nº of owners (For Personal Income Tax)</v>
      </c>
      <c r="B61" s="374"/>
      <c r="C61" s="530">
        <f t="array" ref="C61:N61">C47:N47+C48:N48</f>
        <v>1</v>
      </c>
      <c r="D61" s="531">
        <v>1</v>
      </c>
      <c r="E61" s="531">
        <v>1</v>
      </c>
      <c r="F61" s="531">
        <v>1</v>
      </c>
      <c r="G61" s="531">
        <v>1</v>
      </c>
      <c r="H61" s="531">
        <v>1</v>
      </c>
      <c r="I61" s="531">
        <v>1</v>
      </c>
      <c r="J61" s="531">
        <v>1</v>
      </c>
      <c r="K61" s="531">
        <v>1</v>
      </c>
      <c r="L61" s="531">
        <v>1</v>
      </c>
      <c r="M61" s="531">
        <v>1</v>
      </c>
      <c r="N61" s="532">
        <v>1</v>
      </c>
      <c r="O61" s="528">
        <f>MAX(B61:N61)</f>
        <v>1</v>
      </c>
    </row>
    <row r="63" spans="1:15" s="533" customFormat="1" ht="19.5">
      <c r="A63" s="390" t="str">
        <f>A$6</f>
        <v>Human Resources / Staff</v>
      </c>
      <c r="B63" s="390"/>
      <c r="C63" s="390"/>
      <c r="D63" s="390"/>
      <c r="E63" s="234" t="str">
        <f>Parameters!E$77</f>
        <v>Year 3:   2029</v>
      </c>
      <c r="F63" s="2387"/>
    </row>
    <row r="64" spans="1:15" ht="6.75" customHeight="1" thickBot="1"/>
    <row r="65" spans="1:15" s="219" customFormat="1" ht="21.75" customHeight="1" thickBot="1">
      <c r="A65" s="213" t="str">
        <f>A$8</f>
        <v>Monthly staff</v>
      </c>
      <c r="B65" s="214" t="str">
        <f>B$8</f>
        <v>Initial</v>
      </c>
      <c r="C65" s="215" t="str">
        <f t="array" ref="C65:N65">meses</f>
        <v>January</v>
      </c>
      <c r="D65" s="216" t="str">
        <v>February</v>
      </c>
      <c r="E65" s="216" t="str">
        <v>March</v>
      </c>
      <c r="F65" s="216" t="str">
        <v>April</v>
      </c>
      <c r="G65" s="216" t="str">
        <v>May</v>
      </c>
      <c r="H65" s="216" t="str">
        <v>June</v>
      </c>
      <c r="I65" s="216" t="str">
        <v>July</v>
      </c>
      <c r="J65" s="216" t="str">
        <v>August</v>
      </c>
      <c r="K65" s="216" t="str">
        <v>September</v>
      </c>
      <c r="L65" s="216" t="str">
        <v>October</v>
      </c>
      <c r="M65" s="216" t="str">
        <v>November</v>
      </c>
      <c r="N65" s="217" t="str">
        <v>December</v>
      </c>
      <c r="O65" s="218" t="str">
        <f>O$8</f>
        <v>Average</v>
      </c>
    </row>
    <row r="66" spans="1:15">
      <c r="A66" s="220" t="str">
        <f t="array" ref="A66:A73">catlaborales</f>
        <v>Working Owners / Self employees</v>
      </c>
      <c r="B66" s="186">
        <f t="array" ref="B66:B73">Staff!E6:E13</f>
        <v>1</v>
      </c>
      <c r="C66" s="187">
        <f>$B66    *IF(OR(Staff!$H6="No",C$18),1,0)</f>
        <v>1</v>
      </c>
      <c r="D66" s="188">
        <f>$B66    *IF(OR(Staff!$H6="No",D$18),1,0)</f>
        <v>1</v>
      </c>
      <c r="E66" s="188">
        <f>$B66    *IF(OR(Staff!$H6="No",E$18),1,0)</f>
        <v>1</v>
      </c>
      <c r="F66" s="188">
        <f>$B66    *IF(OR(Staff!$H6="No",F$18),1,0)</f>
        <v>1</v>
      </c>
      <c r="G66" s="188">
        <f>$B66    *IF(OR(Staff!$H6="No",G$18),1,0)</f>
        <v>1</v>
      </c>
      <c r="H66" s="188">
        <f>$B66    *IF(OR(Staff!$H6="No",H$18),1,0)</f>
        <v>1</v>
      </c>
      <c r="I66" s="188">
        <f>$B66    *IF(OR(Staff!$H6="No",I$18),1,0)</f>
        <v>1</v>
      </c>
      <c r="J66" s="188">
        <f>$B66    *IF(OR(Staff!$H6="No",J$18),1,0)</f>
        <v>1</v>
      </c>
      <c r="K66" s="188">
        <f>$B66    *IF(OR(Staff!$H6="No",K$18),1,0)</f>
        <v>1</v>
      </c>
      <c r="L66" s="188">
        <f>$B66    *IF(OR(Staff!$H6="No",L$18),1,0)</f>
        <v>1</v>
      </c>
      <c r="M66" s="188">
        <f>$B66    *IF(OR(Staff!$H6="No",M$18),1,0)</f>
        <v>1</v>
      </c>
      <c r="N66" s="189">
        <f>$B66    *IF(OR(Staff!$H6="No",N$18),1,0)</f>
        <v>1</v>
      </c>
      <c r="O66" s="190">
        <f t="shared" ref="O66:O74" si="13">AVERAGE(C66:N66)</f>
        <v>1</v>
      </c>
    </row>
    <row r="67" spans="1:15">
      <c r="A67" s="221" t="str">
        <v>Other non staff not employees</v>
      </c>
      <c r="B67" s="191">
        <v>0</v>
      </c>
      <c r="C67" s="192">
        <f>$B67    *IF(OR(Staff!$H7="No",C$18),1,0)</f>
        <v>0</v>
      </c>
      <c r="D67" s="193">
        <f>$B67    *IF(OR(Staff!$H7="No",D$18),1,0)</f>
        <v>0</v>
      </c>
      <c r="E67" s="193">
        <f>$B67    *IF(OR(Staff!$H7="No",E$18),1,0)</f>
        <v>0</v>
      </c>
      <c r="F67" s="193">
        <f>$B67    *IF(OR(Staff!$H7="No",F$18),1,0)</f>
        <v>0</v>
      </c>
      <c r="G67" s="193">
        <f>$B67    *IF(OR(Staff!$H7="No",G$18),1,0)</f>
        <v>0</v>
      </c>
      <c r="H67" s="193">
        <f>$B67    *IF(OR(Staff!$H7="No",H$18),1,0)</f>
        <v>0</v>
      </c>
      <c r="I67" s="193">
        <f>$B67    *IF(OR(Staff!$H7="No",I$18),1,0)</f>
        <v>0</v>
      </c>
      <c r="J67" s="193">
        <f>$B67    *IF(OR(Staff!$H7="No",J$18),1,0)</f>
        <v>0</v>
      </c>
      <c r="K67" s="193">
        <f>$B67    *IF(OR(Staff!$H7="No",K$18),1,0)</f>
        <v>0</v>
      </c>
      <c r="L67" s="193">
        <f>$B67    *IF(OR(Staff!$H7="No",L$18),1,0)</f>
        <v>0</v>
      </c>
      <c r="M67" s="193">
        <f>$B67    *IF(OR(Staff!$H7="No",M$18),1,0)</f>
        <v>0</v>
      </c>
      <c r="N67" s="194">
        <f>$B67    *IF(OR(Staff!$H7="No",N$18),1,0)</f>
        <v>0</v>
      </c>
      <c r="O67" s="195">
        <f t="shared" si="13"/>
        <v>0</v>
      </c>
    </row>
    <row r="68" spans="1:15">
      <c r="A68" s="221" t="str">
        <v>Staff / employees</v>
      </c>
      <c r="B68" s="191">
        <v>0</v>
      </c>
      <c r="C68" s="192">
        <f>$B68    *IF(OR(Staff!$H8="No",C$18),1,0)</f>
        <v>0</v>
      </c>
      <c r="D68" s="193">
        <f>$B68    *IF(OR(Staff!$H8="No",D$18),1,0)</f>
        <v>0</v>
      </c>
      <c r="E68" s="193">
        <f>$B68    *IF(OR(Staff!$H8="No",E$18),1,0)</f>
        <v>0</v>
      </c>
      <c r="F68" s="193">
        <f>$B68    *IF(OR(Staff!$H8="No",F$18),1,0)</f>
        <v>0</v>
      </c>
      <c r="G68" s="193">
        <f>$B68    *IF(OR(Staff!$H8="No",G$18),1,0)</f>
        <v>0</v>
      </c>
      <c r="H68" s="193">
        <f>$B68    *IF(OR(Staff!$H8="No",H$18),1,0)</f>
        <v>0</v>
      </c>
      <c r="I68" s="193">
        <f>$B68    *IF(OR(Staff!$H8="No",I$18),1,0)</f>
        <v>0</v>
      </c>
      <c r="J68" s="193">
        <f>$B68    *IF(OR(Staff!$H8="No",J$18),1,0)</f>
        <v>0</v>
      </c>
      <c r="K68" s="193">
        <f>$B68    *IF(OR(Staff!$H8="No",K$18),1,0)</f>
        <v>0</v>
      </c>
      <c r="L68" s="193">
        <f>$B68    *IF(OR(Staff!$H8="No",L$18),1,0)</f>
        <v>0</v>
      </c>
      <c r="M68" s="193">
        <f>$B68    *IF(OR(Staff!$H8="No",M$18),1,0)</f>
        <v>0</v>
      </c>
      <c r="N68" s="194">
        <f>$B68    *IF(OR(Staff!$H8="No",N$18),1,0)</f>
        <v>0</v>
      </c>
      <c r="O68" s="195">
        <f t="shared" si="13"/>
        <v>0</v>
      </c>
    </row>
    <row r="69" spans="1:15">
      <c r="A69" s="221" t="str">
        <v/>
      </c>
      <c r="B69" s="191">
        <v>0</v>
      </c>
      <c r="C69" s="192">
        <f>$B69    *IF(OR(Staff!$H9="No",C$18),1,0)</f>
        <v>0</v>
      </c>
      <c r="D69" s="193">
        <f>$B69    *IF(OR(Staff!$H9="No",D$18),1,0)</f>
        <v>0</v>
      </c>
      <c r="E69" s="193">
        <f>$B69    *IF(OR(Staff!$H9="No",E$18),1,0)</f>
        <v>0</v>
      </c>
      <c r="F69" s="193">
        <f>$B69    *IF(OR(Staff!$H9="No",F$18),1,0)</f>
        <v>0</v>
      </c>
      <c r="G69" s="193">
        <f>$B69    *IF(OR(Staff!$H9="No",G$18),1,0)</f>
        <v>0</v>
      </c>
      <c r="H69" s="193">
        <f>$B69    *IF(OR(Staff!$H9="No",H$18),1,0)</f>
        <v>0</v>
      </c>
      <c r="I69" s="193">
        <f>$B69    *IF(OR(Staff!$H9="No",I$18),1,0)</f>
        <v>0</v>
      </c>
      <c r="J69" s="193">
        <f>$B69    *IF(OR(Staff!$H9="No",J$18),1,0)</f>
        <v>0</v>
      </c>
      <c r="K69" s="193">
        <f>$B69    *IF(OR(Staff!$H9="No",K$18),1,0)</f>
        <v>0</v>
      </c>
      <c r="L69" s="193">
        <f>$B69    *IF(OR(Staff!$H9="No",L$18),1,0)</f>
        <v>0</v>
      </c>
      <c r="M69" s="193">
        <f>$B69    *IF(OR(Staff!$H9="No",M$18),1,0)</f>
        <v>0</v>
      </c>
      <c r="N69" s="194">
        <f>$B69    *IF(OR(Staff!$H9="No",N$18),1,0)</f>
        <v>0</v>
      </c>
      <c r="O69" s="195">
        <f t="shared" si="13"/>
        <v>0</v>
      </c>
    </row>
    <row r="70" spans="1:15">
      <c r="A70" s="221" t="str">
        <v/>
      </c>
      <c r="B70" s="191">
        <v>0</v>
      </c>
      <c r="C70" s="192">
        <f>$B70    *IF(OR(Staff!$H10="No",C$18),1,0)</f>
        <v>0</v>
      </c>
      <c r="D70" s="193">
        <f>$B70    *IF(OR(Staff!$H10="No",D$18),1,0)</f>
        <v>0</v>
      </c>
      <c r="E70" s="193">
        <f>$B70    *IF(OR(Staff!$H10="No",E$18),1,0)</f>
        <v>0</v>
      </c>
      <c r="F70" s="193">
        <f>$B70    *IF(OR(Staff!$H10="No",F$18),1,0)</f>
        <v>0</v>
      </c>
      <c r="G70" s="193">
        <f>$B70    *IF(OR(Staff!$H10="No",G$18),1,0)</f>
        <v>0</v>
      </c>
      <c r="H70" s="193">
        <f>$B70    *IF(OR(Staff!$H10="No",H$18),1,0)</f>
        <v>0</v>
      </c>
      <c r="I70" s="193">
        <f>$B70    *IF(OR(Staff!$H10="No",I$18),1,0)</f>
        <v>0</v>
      </c>
      <c r="J70" s="193">
        <f>$B70    *IF(OR(Staff!$H10="No",J$18),1,0)</f>
        <v>0</v>
      </c>
      <c r="K70" s="193">
        <f>$B70    *IF(OR(Staff!$H10="No",K$18),1,0)</f>
        <v>0</v>
      </c>
      <c r="L70" s="193">
        <f>$B70    *IF(OR(Staff!$H10="No",L$18),1,0)</f>
        <v>0</v>
      </c>
      <c r="M70" s="193">
        <f>$B70    *IF(OR(Staff!$H10="No",M$18),1,0)</f>
        <v>0</v>
      </c>
      <c r="N70" s="194">
        <f>$B70    *IF(OR(Staff!$H10="No",N$18),1,0)</f>
        <v>0</v>
      </c>
      <c r="O70" s="195">
        <f t="shared" si="13"/>
        <v>0</v>
      </c>
    </row>
    <row r="71" spans="1:15">
      <c r="A71" s="221" t="str">
        <v/>
      </c>
      <c r="B71" s="191">
        <v>0</v>
      </c>
      <c r="C71" s="192">
        <f>$B71    *IF(OR(Staff!$H11="No",C$18),1,0)</f>
        <v>0</v>
      </c>
      <c r="D71" s="193">
        <f>$B71    *IF(OR(Staff!$H11="No",D$18),1,0)</f>
        <v>0</v>
      </c>
      <c r="E71" s="193">
        <f>$B71    *IF(OR(Staff!$H11="No",E$18),1,0)</f>
        <v>0</v>
      </c>
      <c r="F71" s="193">
        <f>$B71    *IF(OR(Staff!$H11="No",F$18),1,0)</f>
        <v>0</v>
      </c>
      <c r="G71" s="193">
        <f>$B71    *IF(OR(Staff!$H11="No",G$18),1,0)</f>
        <v>0</v>
      </c>
      <c r="H71" s="193">
        <f>$B71    *IF(OR(Staff!$H11="No",H$18),1,0)</f>
        <v>0</v>
      </c>
      <c r="I71" s="193">
        <f>$B71    *IF(OR(Staff!$H11="No",I$18),1,0)</f>
        <v>0</v>
      </c>
      <c r="J71" s="193">
        <f>$B71    *IF(OR(Staff!$H11="No",J$18),1,0)</f>
        <v>0</v>
      </c>
      <c r="K71" s="193">
        <f>$B71    *IF(OR(Staff!$H11="No",K$18),1,0)</f>
        <v>0</v>
      </c>
      <c r="L71" s="193">
        <f>$B71    *IF(OR(Staff!$H11="No",L$18),1,0)</f>
        <v>0</v>
      </c>
      <c r="M71" s="193">
        <f>$B71    *IF(OR(Staff!$H11="No",M$18),1,0)</f>
        <v>0</v>
      </c>
      <c r="N71" s="194">
        <f>$B71    *IF(OR(Staff!$H11="No",N$18),1,0)</f>
        <v>0</v>
      </c>
      <c r="O71" s="195">
        <f t="shared" si="13"/>
        <v>0</v>
      </c>
    </row>
    <row r="72" spans="1:15">
      <c r="A72" s="221" t="str">
        <v/>
      </c>
      <c r="B72" s="191">
        <v>0</v>
      </c>
      <c r="C72" s="192">
        <f>$B72    *IF(OR(Staff!$H12="No",C$18),1,0)</f>
        <v>0</v>
      </c>
      <c r="D72" s="193">
        <f>$B72    *IF(OR(Staff!$H12="No",D$18),1,0)</f>
        <v>0</v>
      </c>
      <c r="E72" s="193">
        <f>$B72    *IF(OR(Staff!$H12="No",E$18),1,0)</f>
        <v>0</v>
      </c>
      <c r="F72" s="193">
        <f>$B72    *IF(OR(Staff!$H12="No",F$18),1,0)</f>
        <v>0</v>
      </c>
      <c r="G72" s="193">
        <f>$B72    *IF(OR(Staff!$H12="No",G$18),1,0)</f>
        <v>0</v>
      </c>
      <c r="H72" s="193">
        <f>$B72    *IF(OR(Staff!$H12="No",H$18),1,0)</f>
        <v>0</v>
      </c>
      <c r="I72" s="193">
        <f>$B72    *IF(OR(Staff!$H12="No",I$18),1,0)</f>
        <v>0</v>
      </c>
      <c r="J72" s="193">
        <f>$B72    *IF(OR(Staff!$H12="No",J$18),1,0)</f>
        <v>0</v>
      </c>
      <c r="K72" s="193">
        <f>$B72    *IF(OR(Staff!$H12="No",K$18),1,0)</f>
        <v>0</v>
      </c>
      <c r="L72" s="193">
        <f>$B72    *IF(OR(Staff!$H12="No",L$18),1,0)</f>
        <v>0</v>
      </c>
      <c r="M72" s="193">
        <f>$B72    *IF(OR(Staff!$H12="No",M$18),1,0)</f>
        <v>0</v>
      </c>
      <c r="N72" s="194">
        <f>$B72    *IF(OR(Staff!$H12="No",N$18),1,0)</f>
        <v>0</v>
      </c>
      <c r="O72" s="195">
        <f t="shared" si="13"/>
        <v>0</v>
      </c>
    </row>
    <row r="73" spans="1:15" ht="15.75" thickBot="1">
      <c r="A73" s="221" t="str">
        <v/>
      </c>
      <c r="B73" s="191">
        <v>0</v>
      </c>
      <c r="C73" s="192">
        <f>$B73    *IF(OR(Staff!$H13="No",C$18),1,0)</f>
        <v>0</v>
      </c>
      <c r="D73" s="193">
        <f>$B73    *IF(OR(Staff!$H13="No",D$18),1,0)</f>
        <v>0</v>
      </c>
      <c r="E73" s="193">
        <f>$B73    *IF(OR(Staff!$H13="No",E$18),1,0)</f>
        <v>0</v>
      </c>
      <c r="F73" s="193">
        <f>$B73    *IF(OR(Staff!$H13="No",F$18),1,0)</f>
        <v>0</v>
      </c>
      <c r="G73" s="193">
        <f>$B73    *IF(OR(Staff!$H13="No",G$18),1,0)</f>
        <v>0</v>
      </c>
      <c r="H73" s="193">
        <f>$B73    *IF(OR(Staff!$H13="No",H$18),1,0)</f>
        <v>0</v>
      </c>
      <c r="I73" s="193">
        <f>$B73    *IF(OR(Staff!$H13="No",I$18),1,0)</f>
        <v>0</v>
      </c>
      <c r="J73" s="193">
        <f>$B73    *IF(OR(Staff!$H13="No",J$18),1,0)</f>
        <v>0</v>
      </c>
      <c r="K73" s="193">
        <f>$B73    *IF(OR(Staff!$H13="No",K$18),1,0)</f>
        <v>0</v>
      </c>
      <c r="L73" s="193">
        <f>$B73    *IF(OR(Staff!$H13="No",L$18),1,0)</f>
        <v>0</v>
      </c>
      <c r="M73" s="193">
        <f>$B73    *IF(OR(Staff!$H13="No",M$18),1,0)</f>
        <v>0</v>
      </c>
      <c r="N73" s="194">
        <f>$B73    *IF(OR(Staff!$H13="No",N$18),1,0)</f>
        <v>0</v>
      </c>
      <c r="O73" s="195">
        <f t="shared" si="13"/>
        <v>0</v>
      </c>
    </row>
    <row r="74" spans="1:15" ht="15.75" thickBot="1">
      <c r="A74" s="2392" t="str">
        <f>A$17</f>
        <v>Total monthly staff</v>
      </c>
      <c r="B74" s="57">
        <f t="shared" ref="B74:N74" si="14">SUM(B66:B73)</f>
        <v>1</v>
      </c>
      <c r="C74" s="196">
        <f t="shared" si="14"/>
        <v>1</v>
      </c>
      <c r="D74" s="197">
        <f t="shared" si="14"/>
        <v>1</v>
      </c>
      <c r="E74" s="197">
        <f t="shared" si="14"/>
        <v>1</v>
      </c>
      <c r="F74" s="197">
        <f t="shared" si="14"/>
        <v>1</v>
      </c>
      <c r="G74" s="197">
        <f t="shared" si="14"/>
        <v>1</v>
      </c>
      <c r="H74" s="197">
        <f t="shared" si="14"/>
        <v>1</v>
      </c>
      <c r="I74" s="197">
        <f t="shared" si="14"/>
        <v>1</v>
      </c>
      <c r="J74" s="197">
        <f t="shared" si="14"/>
        <v>1</v>
      </c>
      <c r="K74" s="197">
        <f t="shared" si="14"/>
        <v>1</v>
      </c>
      <c r="L74" s="197">
        <f t="shared" si="14"/>
        <v>1</v>
      </c>
      <c r="M74" s="197">
        <f t="shared" si="14"/>
        <v>1</v>
      </c>
      <c r="N74" s="198">
        <f t="shared" si="14"/>
        <v>1</v>
      </c>
      <c r="O74" s="199">
        <f t="shared" si="13"/>
        <v>1</v>
      </c>
    </row>
    <row r="75" spans="1:15" ht="15.75" thickBot="1"/>
    <row r="76" spans="1:15" s="219" customFormat="1" ht="15.75" thickBot="1">
      <c r="A76" s="224" t="str">
        <f t="array" ref="A76:A80">A$19:A$23</f>
        <v>Personnel hiring &amp; firings</v>
      </c>
      <c r="B76" s="225"/>
      <c r="C76" s="226" t="str">
        <f t="array" ref="C76:N76">meses</f>
        <v>January</v>
      </c>
      <c r="D76" s="227" t="str">
        <v>February</v>
      </c>
      <c r="E76" s="227" t="str">
        <v>March</v>
      </c>
      <c r="F76" s="227" t="str">
        <v>April</v>
      </c>
      <c r="G76" s="227" t="str">
        <v>May</v>
      </c>
      <c r="H76" s="227" t="str">
        <v>June</v>
      </c>
      <c r="I76" s="227" t="str">
        <v>July</v>
      </c>
      <c r="J76" s="227" t="str">
        <v>August</v>
      </c>
      <c r="K76" s="227" t="str">
        <v>September</v>
      </c>
      <c r="L76" s="227" t="str">
        <v>October</v>
      </c>
      <c r="M76" s="227" t="str">
        <v>November</v>
      </c>
      <c r="N76" s="228" t="str">
        <v>December</v>
      </c>
      <c r="O76" s="229" t="s">
        <v>0</v>
      </c>
    </row>
    <row r="77" spans="1:15">
      <c r="A77" s="2388" t="str">
        <v>Self employees ( hiring &amp; firing )</v>
      </c>
      <c r="B77" s="200"/>
      <c r="C77" s="201">
        <f>ABS(C66+C67-N47-N48)</f>
        <v>0</v>
      </c>
      <c r="D77" s="202">
        <f t="shared" ref="D77:N77" si="15">ABS(D66+D67-C66-C67)</f>
        <v>0</v>
      </c>
      <c r="E77" s="202">
        <f t="shared" si="15"/>
        <v>0</v>
      </c>
      <c r="F77" s="202">
        <f t="shared" si="15"/>
        <v>0</v>
      </c>
      <c r="G77" s="202">
        <f t="shared" si="15"/>
        <v>0</v>
      </c>
      <c r="H77" s="202">
        <f t="shared" si="15"/>
        <v>0</v>
      </c>
      <c r="I77" s="202">
        <f t="shared" si="15"/>
        <v>0</v>
      </c>
      <c r="J77" s="202">
        <f t="shared" si="15"/>
        <v>0</v>
      </c>
      <c r="K77" s="202">
        <f t="shared" si="15"/>
        <v>0</v>
      </c>
      <c r="L77" s="202">
        <f t="shared" si="15"/>
        <v>0</v>
      </c>
      <c r="M77" s="202">
        <f t="shared" si="15"/>
        <v>0</v>
      </c>
      <c r="N77" s="203">
        <f t="shared" si="15"/>
        <v>0</v>
      </c>
      <c r="O77" s="204">
        <f>SUM(C77:N77)</f>
        <v>0</v>
      </c>
    </row>
    <row r="78" spans="1:15" ht="15.75" thickBot="1">
      <c r="A78" s="2389" t="str">
        <v>Employees hiring&amp;firing</v>
      </c>
      <c r="B78" s="206"/>
      <c r="C78" s="207">
        <f>ABS(SUM(C68:C73)-SUM(N49:N54))</f>
        <v>0</v>
      </c>
      <c r="D78" s="208">
        <f t="shared" ref="D78:N78" si="16">ABS(SUM(D68:D73)-SUM(C68:C73))</f>
        <v>0</v>
      </c>
      <c r="E78" s="208">
        <f t="shared" si="16"/>
        <v>0</v>
      </c>
      <c r="F78" s="208">
        <f t="shared" si="16"/>
        <v>0</v>
      </c>
      <c r="G78" s="208">
        <f t="shared" si="16"/>
        <v>0</v>
      </c>
      <c r="H78" s="208">
        <f t="shared" si="16"/>
        <v>0</v>
      </c>
      <c r="I78" s="208">
        <f t="shared" si="16"/>
        <v>0</v>
      </c>
      <c r="J78" s="208">
        <f t="shared" si="16"/>
        <v>0</v>
      </c>
      <c r="K78" s="208">
        <f t="shared" si="16"/>
        <v>0</v>
      </c>
      <c r="L78" s="208">
        <f t="shared" si="16"/>
        <v>0</v>
      </c>
      <c r="M78" s="208">
        <f t="shared" si="16"/>
        <v>0</v>
      </c>
      <c r="N78" s="209">
        <f t="shared" si="16"/>
        <v>0</v>
      </c>
      <c r="O78" s="210">
        <f>SUM(C78:N78)</f>
        <v>0</v>
      </c>
    </row>
    <row r="79" spans="1:15" ht="6.75" customHeight="1" thickBot="1">
      <c r="A79" s="2391">
        <v>0</v>
      </c>
    </row>
    <row r="80" spans="1:15" ht="15.75" thickBot="1">
      <c r="A80" s="2390" t="str">
        <v>nº of owners (For Personal Income Tax)</v>
      </c>
      <c r="B80" s="374"/>
      <c r="C80" s="530">
        <f t="array" ref="C80:N80">C66:N66+C67:N67</f>
        <v>1</v>
      </c>
      <c r="D80" s="531">
        <v>1</v>
      </c>
      <c r="E80" s="531">
        <v>1</v>
      </c>
      <c r="F80" s="531">
        <v>1</v>
      </c>
      <c r="G80" s="531">
        <v>1</v>
      </c>
      <c r="H80" s="531">
        <v>1</v>
      </c>
      <c r="I80" s="531">
        <v>1</v>
      </c>
      <c r="J80" s="531">
        <v>1</v>
      </c>
      <c r="K80" s="531">
        <v>1</v>
      </c>
      <c r="L80" s="531">
        <v>1</v>
      </c>
      <c r="M80" s="531">
        <v>1</v>
      </c>
      <c r="N80" s="532">
        <v>1</v>
      </c>
      <c r="O80" s="528">
        <f>MAX(B80:N80)</f>
        <v>1</v>
      </c>
    </row>
    <row r="82" spans="1:15" s="533" customFormat="1" ht="19.5">
      <c r="A82" s="390" t="str">
        <f>A$6</f>
        <v>Human Resources / Staff</v>
      </c>
      <c r="B82" s="390"/>
      <c r="C82" s="390"/>
      <c r="D82" s="390"/>
      <c r="E82" s="234" t="str">
        <f>Parameters!F$77</f>
        <v>Year 4:   2030</v>
      </c>
      <c r="F82" s="2387"/>
    </row>
    <row r="83" spans="1:15" ht="9" customHeight="1" thickBot="1"/>
    <row r="84" spans="1:15" s="219" customFormat="1" ht="21.75" customHeight="1" thickBot="1">
      <c r="A84" s="213" t="str">
        <f>A$8</f>
        <v>Monthly staff</v>
      </c>
      <c r="B84" s="214" t="str">
        <f>B$8</f>
        <v>Initial</v>
      </c>
      <c r="C84" s="215" t="str">
        <f t="array" ref="C84:N84">meses</f>
        <v>January</v>
      </c>
      <c r="D84" s="216" t="str">
        <v>February</v>
      </c>
      <c r="E84" s="216" t="str">
        <v>March</v>
      </c>
      <c r="F84" s="216" t="str">
        <v>April</v>
      </c>
      <c r="G84" s="216" t="str">
        <v>May</v>
      </c>
      <c r="H84" s="216" t="str">
        <v>June</v>
      </c>
      <c r="I84" s="216" t="str">
        <v>July</v>
      </c>
      <c r="J84" s="216" t="str">
        <v>August</v>
      </c>
      <c r="K84" s="216" t="str">
        <v>September</v>
      </c>
      <c r="L84" s="216" t="str">
        <v>October</v>
      </c>
      <c r="M84" s="216" t="str">
        <v>November</v>
      </c>
      <c r="N84" s="217" t="str">
        <v>December</v>
      </c>
      <c r="O84" s="218" t="str">
        <f>O$8</f>
        <v>Average</v>
      </c>
    </row>
    <row r="85" spans="1:15">
      <c r="A85" s="220" t="str">
        <f t="array" ref="A85:A92">catlaborales</f>
        <v>Working Owners / Self employees</v>
      </c>
      <c r="B85" s="186">
        <f t="array" ref="B85:B92">Staff!F6:F13</f>
        <v>1</v>
      </c>
      <c r="C85" s="187">
        <f>$B85    *IF(OR(Staff!$H6="No",C$18),1,0)</f>
        <v>1</v>
      </c>
      <c r="D85" s="188">
        <f>$B85    *IF(OR(Staff!$H6="No",D$18),1,0)</f>
        <v>1</v>
      </c>
      <c r="E85" s="188">
        <f>$B85    *IF(OR(Staff!$H6="No",E$18),1,0)</f>
        <v>1</v>
      </c>
      <c r="F85" s="188">
        <f>$B85    *IF(OR(Staff!$H6="No",F$18),1,0)</f>
        <v>1</v>
      </c>
      <c r="G85" s="188">
        <f>$B85    *IF(OR(Staff!$H6="No",G$18),1,0)</f>
        <v>1</v>
      </c>
      <c r="H85" s="188">
        <f>$B85    *IF(OR(Staff!$H6="No",H$18),1,0)</f>
        <v>1</v>
      </c>
      <c r="I85" s="188">
        <f>$B85    *IF(OR(Staff!$H6="No",I$18),1,0)</f>
        <v>1</v>
      </c>
      <c r="J85" s="188">
        <f>$B85    *IF(OR(Staff!$H6="No",J$18),1,0)</f>
        <v>1</v>
      </c>
      <c r="K85" s="188">
        <f>$B85    *IF(OR(Staff!$H6="No",K$18),1,0)</f>
        <v>1</v>
      </c>
      <c r="L85" s="188">
        <f>$B85    *IF(OR(Staff!$H6="No",L$18),1,0)</f>
        <v>1</v>
      </c>
      <c r="M85" s="188">
        <f>$B85    *IF(OR(Staff!$H6="No",M$18),1,0)</f>
        <v>1</v>
      </c>
      <c r="N85" s="189">
        <f>$B85    *IF(OR(Staff!$H6="No",N$18),1,0)</f>
        <v>1</v>
      </c>
      <c r="O85" s="190">
        <f t="shared" ref="O85:O93" si="17">AVERAGE(C85:N85)</f>
        <v>1</v>
      </c>
    </row>
    <row r="86" spans="1:15">
      <c r="A86" s="221" t="str">
        <v>Other non staff not employees</v>
      </c>
      <c r="B86" s="191">
        <v>0</v>
      </c>
      <c r="C86" s="192">
        <f>$B86    *IF(OR(Staff!$H7="No",C$18),1,0)</f>
        <v>0</v>
      </c>
      <c r="D86" s="193">
        <f>$B86    *IF(OR(Staff!$H7="No",D$18),1,0)</f>
        <v>0</v>
      </c>
      <c r="E86" s="193">
        <f>$B86    *IF(OR(Staff!$H7="No",E$18),1,0)</f>
        <v>0</v>
      </c>
      <c r="F86" s="193">
        <f>$B86    *IF(OR(Staff!$H7="No",F$18),1,0)</f>
        <v>0</v>
      </c>
      <c r="G86" s="193">
        <f>$B86    *IF(OR(Staff!$H7="No",G$18),1,0)</f>
        <v>0</v>
      </c>
      <c r="H86" s="193">
        <f>$B86    *IF(OR(Staff!$H7="No",H$18),1,0)</f>
        <v>0</v>
      </c>
      <c r="I86" s="193">
        <f>$B86    *IF(OR(Staff!$H7="No",I$18),1,0)</f>
        <v>0</v>
      </c>
      <c r="J86" s="193">
        <f>$B86    *IF(OR(Staff!$H7="No",J$18),1,0)</f>
        <v>0</v>
      </c>
      <c r="K86" s="193">
        <f>$B86    *IF(OR(Staff!$H7="No",K$18),1,0)</f>
        <v>0</v>
      </c>
      <c r="L86" s="193">
        <f>$B86    *IF(OR(Staff!$H7="No",L$18),1,0)</f>
        <v>0</v>
      </c>
      <c r="M86" s="193">
        <f>$B86    *IF(OR(Staff!$H7="No",M$18),1,0)</f>
        <v>0</v>
      </c>
      <c r="N86" s="194">
        <f>$B86    *IF(OR(Staff!$H7="No",N$18),1,0)</f>
        <v>0</v>
      </c>
      <c r="O86" s="195">
        <f t="shared" si="17"/>
        <v>0</v>
      </c>
    </row>
    <row r="87" spans="1:15">
      <c r="A87" s="221" t="str">
        <v>Staff / employees</v>
      </c>
      <c r="B87" s="191">
        <v>0</v>
      </c>
      <c r="C87" s="192">
        <f>$B87    *IF(OR(Staff!$H8="No",C$18),1,0)</f>
        <v>0</v>
      </c>
      <c r="D87" s="193">
        <f>$B87    *IF(OR(Staff!$H8="No",D$18),1,0)</f>
        <v>0</v>
      </c>
      <c r="E87" s="193">
        <f>$B87    *IF(OR(Staff!$H8="No",E$18),1,0)</f>
        <v>0</v>
      </c>
      <c r="F87" s="193">
        <f>$B87    *IF(OR(Staff!$H8="No",F$18),1,0)</f>
        <v>0</v>
      </c>
      <c r="G87" s="193">
        <f>$B87    *IF(OR(Staff!$H8="No",G$18),1,0)</f>
        <v>0</v>
      </c>
      <c r="H87" s="193">
        <f>$B87    *IF(OR(Staff!$H8="No",H$18),1,0)</f>
        <v>0</v>
      </c>
      <c r="I87" s="193">
        <f>$B87    *IF(OR(Staff!$H8="No",I$18),1,0)</f>
        <v>0</v>
      </c>
      <c r="J87" s="193">
        <f>$B87    *IF(OR(Staff!$H8="No",J$18),1,0)</f>
        <v>0</v>
      </c>
      <c r="K87" s="193">
        <f>$B87    *IF(OR(Staff!$H8="No",K$18),1,0)</f>
        <v>0</v>
      </c>
      <c r="L87" s="193">
        <f>$B87    *IF(OR(Staff!$H8="No",L$18),1,0)</f>
        <v>0</v>
      </c>
      <c r="M87" s="193">
        <f>$B87    *IF(OR(Staff!$H8="No",M$18),1,0)</f>
        <v>0</v>
      </c>
      <c r="N87" s="194">
        <f>$B87    *IF(OR(Staff!$H8="No",N$18),1,0)</f>
        <v>0</v>
      </c>
      <c r="O87" s="195">
        <f t="shared" si="17"/>
        <v>0</v>
      </c>
    </row>
    <row r="88" spans="1:15">
      <c r="A88" s="221" t="str">
        <v/>
      </c>
      <c r="B88" s="191">
        <v>0</v>
      </c>
      <c r="C88" s="192">
        <f>$B88    *IF(OR(Staff!$H9="No",C$18),1,0)</f>
        <v>0</v>
      </c>
      <c r="D88" s="193">
        <f>$B88    *IF(OR(Staff!$H9="No",D$18),1,0)</f>
        <v>0</v>
      </c>
      <c r="E88" s="193">
        <f>$B88    *IF(OR(Staff!$H9="No",E$18),1,0)</f>
        <v>0</v>
      </c>
      <c r="F88" s="193">
        <f>$B88    *IF(OR(Staff!$H9="No",F$18),1,0)</f>
        <v>0</v>
      </c>
      <c r="G88" s="193">
        <f>$B88    *IF(OR(Staff!$H9="No",G$18),1,0)</f>
        <v>0</v>
      </c>
      <c r="H88" s="193">
        <f>$B88    *IF(OR(Staff!$H9="No",H$18),1,0)</f>
        <v>0</v>
      </c>
      <c r="I88" s="193">
        <f>$B88    *IF(OR(Staff!$H9="No",I$18),1,0)</f>
        <v>0</v>
      </c>
      <c r="J88" s="193">
        <f>$B88    *IF(OR(Staff!$H9="No",J$18),1,0)</f>
        <v>0</v>
      </c>
      <c r="K88" s="193">
        <f>$B88    *IF(OR(Staff!$H9="No",K$18),1,0)</f>
        <v>0</v>
      </c>
      <c r="L88" s="193">
        <f>$B88    *IF(OR(Staff!$H9="No",L$18),1,0)</f>
        <v>0</v>
      </c>
      <c r="M88" s="193">
        <f>$B88    *IF(OR(Staff!$H9="No",M$18),1,0)</f>
        <v>0</v>
      </c>
      <c r="N88" s="194">
        <f>$B88    *IF(OR(Staff!$H9="No",N$18),1,0)</f>
        <v>0</v>
      </c>
      <c r="O88" s="195">
        <f t="shared" si="17"/>
        <v>0</v>
      </c>
    </row>
    <row r="89" spans="1:15">
      <c r="A89" s="221" t="str">
        <v/>
      </c>
      <c r="B89" s="191">
        <v>0</v>
      </c>
      <c r="C89" s="192">
        <f>$B89    *IF(OR(Staff!$H10="No",C$18),1,0)</f>
        <v>0</v>
      </c>
      <c r="D89" s="193">
        <f>$B89    *IF(OR(Staff!$H10="No",D$18),1,0)</f>
        <v>0</v>
      </c>
      <c r="E89" s="193">
        <f>$B89    *IF(OR(Staff!$H10="No",E$18),1,0)</f>
        <v>0</v>
      </c>
      <c r="F89" s="193">
        <f>$B89    *IF(OR(Staff!$H10="No",F$18),1,0)</f>
        <v>0</v>
      </c>
      <c r="G89" s="193">
        <f>$B89    *IF(OR(Staff!$H10="No",G$18),1,0)</f>
        <v>0</v>
      </c>
      <c r="H89" s="193">
        <f>$B89    *IF(OR(Staff!$H10="No",H$18),1,0)</f>
        <v>0</v>
      </c>
      <c r="I89" s="193">
        <f>$B89    *IF(OR(Staff!$H10="No",I$18),1,0)</f>
        <v>0</v>
      </c>
      <c r="J89" s="193">
        <f>$B89    *IF(OR(Staff!$H10="No",J$18),1,0)</f>
        <v>0</v>
      </c>
      <c r="K89" s="193">
        <f>$B89    *IF(OR(Staff!$H10="No",K$18),1,0)</f>
        <v>0</v>
      </c>
      <c r="L89" s="193">
        <f>$B89    *IF(OR(Staff!$H10="No",L$18),1,0)</f>
        <v>0</v>
      </c>
      <c r="M89" s="193">
        <f>$B89    *IF(OR(Staff!$H10="No",M$18),1,0)</f>
        <v>0</v>
      </c>
      <c r="N89" s="194">
        <f>$B89    *IF(OR(Staff!$H10="No",N$18),1,0)</f>
        <v>0</v>
      </c>
      <c r="O89" s="195">
        <f t="shared" si="17"/>
        <v>0</v>
      </c>
    </row>
    <row r="90" spans="1:15">
      <c r="A90" s="221" t="str">
        <v/>
      </c>
      <c r="B90" s="191">
        <v>0</v>
      </c>
      <c r="C90" s="192">
        <f>$B90    *IF(OR(Staff!$H11="No",C$18),1,0)</f>
        <v>0</v>
      </c>
      <c r="D90" s="193">
        <f>$B90    *IF(OR(Staff!$H11="No",D$18),1,0)</f>
        <v>0</v>
      </c>
      <c r="E90" s="193">
        <f>$B90    *IF(OR(Staff!$H11="No",E$18),1,0)</f>
        <v>0</v>
      </c>
      <c r="F90" s="193">
        <f>$B90    *IF(OR(Staff!$H11="No",F$18),1,0)</f>
        <v>0</v>
      </c>
      <c r="G90" s="193">
        <f>$B90    *IF(OR(Staff!$H11="No",G$18),1,0)</f>
        <v>0</v>
      </c>
      <c r="H90" s="193">
        <f>$B90    *IF(OR(Staff!$H11="No",H$18),1,0)</f>
        <v>0</v>
      </c>
      <c r="I90" s="193">
        <f>$B90    *IF(OR(Staff!$H11="No",I$18),1,0)</f>
        <v>0</v>
      </c>
      <c r="J90" s="193">
        <f>$B90    *IF(OR(Staff!$H11="No",J$18),1,0)</f>
        <v>0</v>
      </c>
      <c r="K90" s="193">
        <f>$B90    *IF(OR(Staff!$H11="No",K$18),1,0)</f>
        <v>0</v>
      </c>
      <c r="L90" s="193">
        <f>$B90    *IF(OR(Staff!$H11="No",L$18),1,0)</f>
        <v>0</v>
      </c>
      <c r="M90" s="193">
        <f>$B90    *IF(OR(Staff!$H11="No",M$18),1,0)</f>
        <v>0</v>
      </c>
      <c r="N90" s="194">
        <f>$B90    *IF(OR(Staff!$H11="No",N$18),1,0)</f>
        <v>0</v>
      </c>
      <c r="O90" s="195">
        <f t="shared" si="17"/>
        <v>0</v>
      </c>
    </row>
    <row r="91" spans="1:15">
      <c r="A91" s="221" t="str">
        <v/>
      </c>
      <c r="B91" s="191">
        <v>0</v>
      </c>
      <c r="C91" s="192">
        <f>$B91    *IF(OR(Staff!$H12="No",C$18),1,0)</f>
        <v>0</v>
      </c>
      <c r="D91" s="193">
        <f>$B91    *IF(OR(Staff!$H12="No",D$18),1,0)</f>
        <v>0</v>
      </c>
      <c r="E91" s="193">
        <f>$B91    *IF(OR(Staff!$H12="No",E$18),1,0)</f>
        <v>0</v>
      </c>
      <c r="F91" s="193">
        <f>$B91    *IF(OR(Staff!$H12="No",F$18),1,0)</f>
        <v>0</v>
      </c>
      <c r="G91" s="193">
        <f>$B91    *IF(OR(Staff!$H12="No",G$18),1,0)</f>
        <v>0</v>
      </c>
      <c r="H91" s="193">
        <f>$B91    *IF(OR(Staff!$H12="No",H$18),1,0)</f>
        <v>0</v>
      </c>
      <c r="I91" s="193">
        <f>$B91    *IF(OR(Staff!$H12="No",I$18),1,0)</f>
        <v>0</v>
      </c>
      <c r="J91" s="193">
        <f>$B91    *IF(OR(Staff!$H12="No",J$18),1,0)</f>
        <v>0</v>
      </c>
      <c r="K91" s="193">
        <f>$B91    *IF(OR(Staff!$H12="No",K$18),1,0)</f>
        <v>0</v>
      </c>
      <c r="L91" s="193">
        <f>$B91    *IF(OR(Staff!$H12="No",L$18),1,0)</f>
        <v>0</v>
      </c>
      <c r="M91" s="193">
        <f>$B91    *IF(OR(Staff!$H12="No",M$18),1,0)</f>
        <v>0</v>
      </c>
      <c r="N91" s="194">
        <f>$B91    *IF(OR(Staff!$H12="No",N$18),1,0)</f>
        <v>0</v>
      </c>
      <c r="O91" s="195">
        <f t="shared" si="17"/>
        <v>0</v>
      </c>
    </row>
    <row r="92" spans="1:15" ht="15.75" thickBot="1">
      <c r="A92" s="221" t="str">
        <v/>
      </c>
      <c r="B92" s="191">
        <v>0</v>
      </c>
      <c r="C92" s="192">
        <f>$B92    *IF(OR(Staff!$H13="No",C$18),1,0)</f>
        <v>0</v>
      </c>
      <c r="D92" s="193">
        <f>$B92    *IF(OR(Staff!$H13="No",D$18),1,0)</f>
        <v>0</v>
      </c>
      <c r="E92" s="193">
        <f>$B92    *IF(OR(Staff!$H13="No",E$18),1,0)</f>
        <v>0</v>
      </c>
      <c r="F92" s="193">
        <f>$B92    *IF(OR(Staff!$H13="No",F$18),1,0)</f>
        <v>0</v>
      </c>
      <c r="G92" s="193">
        <f>$B92    *IF(OR(Staff!$H13="No",G$18),1,0)</f>
        <v>0</v>
      </c>
      <c r="H92" s="193">
        <f>$B92    *IF(OR(Staff!$H13="No",H$18),1,0)</f>
        <v>0</v>
      </c>
      <c r="I92" s="193">
        <f>$B92    *IF(OR(Staff!$H13="No",I$18),1,0)</f>
        <v>0</v>
      </c>
      <c r="J92" s="193">
        <f>$B92    *IF(OR(Staff!$H13="No",J$18),1,0)</f>
        <v>0</v>
      </c>
      <c r="K92" s="193">
        <f>$B92    *IF(OR(Staff!$H13="No",K$18),1,0)</f>
        <v>0</v>
      </c>
      <c r="L92" s="193">
        <f>$B92    *IF(OR(Staff!$H13="No",L$18),1,0)</f>
        <v>0</v>
      </c>
      <c r="M92" s="193">
        <f>$B92    *IF(OR(Staff!$H13="No",M$18),1,0)</f>
        <v>0</v>
      </c>
      <c r="N92" s="194">
        <f>$B92    *IF(OR(Staff!$H13="No",N$18),1,0)</f>
        <v>0</v>
      </c>
      <c r="O92" s="195">
        <f t="shared" si="17"/>
        <v>0</v>
      </c>
    </row>
    <row r="93" spans="1:15" ht="15.75" thickBot="1">
      <c r="A93" s="2392" t="str">
        <f>A$17</f>
        <v>Total monthly staff</v>
      </c>
      <c r="B93" s="57">
        <f>SUM(B85:B92)</f>
        <v>1</v>
      </c>
      <c r="C93" s="196">
        <f t="shared" ref="C93:N93" si="18">SUM(C85:C92)</f>
        <v>1</v>
      </c>
      <c r="D93" s="197">
        <f t="shared" si="18"/>
        <v>1</v>
      </c>
      <c r="E93" s="197">
        <f t="shared" si="18"/>
        <v>1</v>
      </c>
      <c r="F93" s="197">
        <f t="shared" si="18"/>
        <v>1</v>
      </c>
      <c r="G93" s="197">
        <f t="shared" si="18"/>
        <v>1</v>
      </c>
      <c r="H93" s="197">
        <f t="shared" si="18"/>
        <v>1</v>
      </c>
      <c r="I93" s="197">
        <f t="shared" si="18"/>
        <v>1</v>
      </c>
      <c r="J93" s="197">
        <f t="shared" si="18"/>
        <v>1</v>
      </c>
      <c r="K93" s="197">
        <f t="shared" si="18"/>
        <v>1</v>
      </c>
      <c r="L93" s="197">
        <f t="shared" si="18"/>
        <v>1</v>
      </c>
      <c r="M93" s="197">
        <f t="shared" si="18"/>
        <v>1</v>
      </c>
      <c r="N93" s="198">
        <f t="shared" si="18"/>
        <v>1</v>
      </c>
      <c r="O93" s="199">
        <f t="shared" si="17"/>
        <v>1</v>
      </c>
    </row>
    <row r="94" spans="1:15" ht="15.75" thickBot="1"/>
    <row r="95" spans="1:15" s="219" customFormat="1" ht="15.75" thickBot="1">
      <c r="A95" s="224" t="str">
        <f t="array" ref="A95:A99">A$19:A$23</f>
        <v>Personnel hiring &amp; firings</v>
      </c>
      <c r="B95" s="225"/>
      <c r="C95" s="226" t="str">
        <f t="array" ref="C95:N95">meses</f>
        <v>January</v>
      </c>
      <c r="D95" s="227" t="str">
        <v>February</v>
      </c>
      <c r="E95" s="227" t="str">
        <v>March</v>
      </c>
      <c r="F95" s="227" t="str">
        <v>April</v>
      </c>
      <c r="G95" s="227" t="str">
        <v>May</v>
      </c>
      <c r="H95" s="227" t="str">
        <v>June</v>
      </c>
      <c r="I95" s="227" t="str">
        <v>July</v>
      </c>
      <c r="J95" s="227" t="str">
        <v>August</v>
      </c>
      <c r="K95" s="227" t="str">
        <v>September</v>
      </c>
      <c r="L95" s="227" t="str">
        <v>October</v>
      </c>
      <c r="M95" s="227" t="str">
        <v>November</v>
      </c>
      <c r="N95" s="228" t="str">
        <v>December</v>
      </c>
      <c r="O95" s="229" t="s">
        <v>0</v>
      </c>
    </row>
    <row r="96" spans="1:15">
      <c r="A96" s="2388" t="str">
        <v>Self employees ( hiring &amp; firing )</v>
      </c>
      <c r="B96" s="200"/>
      <c r="C96" s="201">
        <f>ABS(C85+C86-N66-N67)</f>
        <v>0</v>
      </c>
      <c r="D96" s="202">
        <f t="shared" ref="D96:N96" si="19">ABS(D85+D86-C85-C86)</f>
        <v>0</v>
      </c>
      <c r="E96" s="202">
        <f t="shared" si="19"/>
        <v>0</v>
      </c>
      <c r="F96" s="202">
        <f t="shared" si="19"/>
        <v>0</v>
      </c>
      <c r="G96" s="202">
        <f t="shared" si="19"/>
        <v>0</v>
      </c>
      <c r="H96" s="202">
        <f t="shared" si="19"/>
        <v>0</v>
      </c>
      <c r="I96" s="202">
        <f t="shared" si="19"/>
        <v>0</v>
      </c>
      <c r="J96" s="202">
        <f t="shared" si="19"/>
        <v>0</v>
      </c>
      <c r="K96" s="202">
        <f t="shared" si="19"/>
        <v>0</v>
      </c>
      <c r="L96" s="202">
        <f t="shared" si="19"/>
        <v>0</v>
      </c>
      <c r="M96" s="202">
        <f t="shared" si="19"/>
        <v>0</v>
      </c>
      <c r="N96" s="203">
        <f t="shared" si="19"/>
        <v>0</v>
      </c>
      <c r="O96" s="204">
        <f>SUM(C96:N96)</f>
        <v>0</v>
      </c>
    </row>
    <row r="97" spans="1:15" ht="15.75" thickBot="1">
      <c r="A97" s="2389" t="str">
        <v>Employees hiring&amp;firing</v>
      </c>
      <c r="B97" s="206"/>
      <c r="C97" s="207">
        <f>ABS(SUM(C87:C92)-SUM(N68:N73))</f>
        <v>0</v>
      </c>
      <c r="D97" s="208">
        <f t="shared" ref="D97:N97" si="20">ABS(SUM(D87:D92)-SUM(C87:C92))</f>
        <v>0</v>
      </c>
      <c r="E97" s="208">
        <f t="shared" si="20"/>
        <v>0</v>
      </c>
      <c r="F97" s="208">
        <f t="shared" si="20"/>
        <v>0</v>
      </c>
      <c r="G97" s="208">
        <f t="shared" si="20"/>
        <v>0</v>
      </c>
      <c r="H97" s="208">
        <f t="shared" si="20"/>
        <v>0</v>
      </c>
      <c r="I97" s="208">
        <f t="shared" si="20"/>
        <v>0</v>
      </c>
      <c r="J97" s="208">
        <f t="shared" si="20"/>
        <v>0</v>
      </c>
      <c r="K97" s="208">
        <f t="shared" si="20"/>
        <v>0</v>
      </c>
      <c r="L97" s="208">
        <f t="shared" si="20"/>
        <v>0</v>
      </c>
      <c r="M97" s="208">
        <f t="shared" si="20"/>
        <v>0</v>
      </c>
      <c r="N97" s="209">
        <f t="shared" si="20"/>
        <v>0</v>
      </c>
      <c r="O97" s="210">
        <f>SUM(C97:N97)</f>
        <v>0</v>
      </c>
    </row>
    <row r="98" spans="1:15" ht="7.5" customHeight="1" thickBot="1">
      <c r="A98" s="71">
        <v>0</v>
      </c>
    </row>
    <row r="99" spans="1:15" ht="15.75" thickBot="1">
      <c r="A99" s="2390" t="str">
        <v>nº of owners (For Personal Income Tax)</v>
      </c>
      <c r="B99" s="374"/>
      <c r="C99" s="530">
        <f t="array" ref="C99:N99">C85:N85+C86:N86</f>
        <v>1</v>
      </c>
      <c r="D99" s="531">
        <v>1</v>
      </c>
      <c r="E99" s="531">
        <v>1</v>
      </c>
      <c r="F99" s="531">
        <v>1</v>
      </c>
      <c r="G99" s="531">
        <v>1</v>
      </c>
      <c r="H99" s="531">
        <v>1</v>
      </c>
      <c r="I99" s="531">
        <v>1</v>
      </c>
      <c r="J99" s="531">
        <v>1</v>
      </c>
      <c r="K99" s="531">
        <v>1</v>
      </c>
      <c r="L99" s="531">
        <v>1</v>
      </c>
      <c r="M99" s="531">
        <v>1</v>
      </c>
      <c r="N99" s="532">
        <v>1</v>
      </c>
      <c r="O99" s="528">
        <f>MAX(B99:N99)</f>
        <v>1</v>
      </c>
    </row>
  </sheetData>
  <sheetProtection sheet="1" objects="1" scenarios="1"/>
  <phoneticPr fontId="7" type="noConversion"/>
  <conditionalFormatting sqref="C9:N16 C28:N35 C47:N54 C66:N73 C85:N92">
    <cfRule type="expression" dxfId="32" priority="3" stopIfTrue="1">
      <formula>C9=""</formula>
    </cfRule>
  </conditionalFormatting>
  <conditionalFormatting sqref="C20:N20 C39:N39 C58:N58 C77:N77 C96:N96">
    <cfRule type="expression" dxfId="31" priority="1" stopIfTrue="1">
      <formula>$C9=""</formula>
    </cfRule>
  </conditionalFormatting>
  <conditionalFormatting sqref="C21:N21 C40:N40 C59:N59 C78:N78 C97:N97">
    <cfRule type="expression" dxfId="30" priority="2" stopIfTrue="1">
      <formula>$C14=""</formula>
    </cfRule>
  </conditionalFormatting>
  <dataValidations xWindow="339" yWindow="311" count="4">
    <dataValidation type="whole" allowBlank="1" showInputMessage="1" showErrorMessage="1" sqref="C78:N78 C59:N59 C21:N21 C40:N40 C97:N97 B9:B16" xr:uid="{00000000-0002-0000-0E00-000000000000}">
      <formula1>0</formula1>
      <formula2>100</formula2>
    </dataValidation>
    <dataValidation type="whole" allowBlank="1" showInputMessage="1" showErrorMessage="1" sqref="C77:N77 C20:N20 C58:N58 C39:N39 C96:N96" xr:uid="{00000000-0002-0000-0E00-000001000000}">
      <formula1>-100</formula1>
      <formula2>100</formula2>
    </dataValidation>
    <dataValidation type="decimal" allowBlank="1" showInputMessage="1" showErrorMessage="1" sqref="O96:O97 O77:O78 O47:O54 O28:O35 O58:O59 O66:O73 O39:O40 O9:O16 O20:O21 O85:O92" xr:uid="{00000000-0002-0000-0E00-000002000000}">
      <formula1>0</formula1>
      <formula2>1</formula2>
    </dataValidation>
    <dataValidation type="whole" operator="greaterThanOrEqual" allowBlank="1" showInputMessage="1" showErrorMessage="1" sqref="C9:N16 B66:N73 B28:N35 B47:N54 B85:N92" xr:uid="{00000000-0002-0000-0E00-000003000000}">
      <formula1>0</formula1>
    </dataValidation>
  </dataValidations>
  <hyperlinks>
    <hyperlink ref="B4" location="mes0" display="mes0" xr:uid="{00000000-0004-0000-0E00-000000000000}"/>
  </hyperlinks>
  <printOptions verticalCentered="1"/>
  <pageMargins left="0.82677165354330717" right="0.75" top="0.33" bottom="0.39370078740157483" header="0" footer="0"/>
  <pageSetup paperSize="9" scale="70" fitToHeight="0" orientation="landscape" horizontalDpi="300" r:id="rId1"/>
  <headerFooter alignWithMargins="0">
    <oddFooter>&amp;C&amp;A</oddFooter>
  </headerFooter>
  <rowBreaks count="1" manualBreakCount="1">
    <brk id="43" max="1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54"/>
  <sheetViews>
    <sheetView showGridLines="0" topLeftCell="A4" zoomScale="85" zoomScaleNormal="85" workbookViewId="0">
      <selection activeCell="B19" sqref="B19"/>
    </sheetView>
  </sheetViews>
  <sheetFormatPr baseColWidth="10" defaultColWidth="11" defaultRowHeight="15"/>
  <cols>
    <col min="1" max="1" width="33.5" style="35" customWidth="1"/>
    <col min="2" max="2" width="13.25" style="35" customWidth="1"/>
    <col min="3" max="3" width="11.625" style="35" customWidth="1"/>
    <col min="4" max="4" width="12.375" style="35" customWidth="1"/>
    <col min="5" max="7" width="11" style="35"/>
    <col min="8" max="8" width="11" style="35" hidden="1" customWidth="1"/>
    <col min="9" max="9" width="13.625" style="35" customWidth="1"/>
    <col min="10" max="16384" width="11" style="35"/>
  </cols>
  <sheetData>
    <row r="1" spans="1:8" s="37" customFormat="1" ht="25.5">
      <c r="A1" s="36" t="s">
        <v>499</v>
      </c>
    </row>
    <row r="2" spans="1:8" s="37" customFormat="1" ht="25.5">
      <c r="A2" s="36" t="str">
        <f>'Base Data'!B9</f>
        <v>WWW, Ltd.</v>
      </c>
    </row>
    <row r="3" spans="1:8">
      <c r="A3" s="38"/>
    </row>
    <row r="4" spans="1:8" ht="15.75" thickBot="1">
      <c r="A4" s="39"/>
    </row>
    <row r="5" spans="1:8" s="48" customFormat="1" ht="36.75" customHeight="1" thickBot="1">
      <c r="A5" s="2010" t="s">
        <v>500</v>
      </c>
      <c r="B5" s="2011" t="str">
        <f t="array" ref="B5:F5">anni</f>
        <v>Year 0:   2026</v>
      </c>
      <c r="C5" s="2011" t="str">
        <v>Year 1:   2027</v>
      </c>
      <c r="D5" s="2011" t="str">
        <v>Year 2:   2028</v>
      </c>
      <c r="E5" s="2011" t="str">
        <v>Year 3:   2029</v>
      </c>
      <c r="F5" s="2011" t="str">
        <v>Year 4:   2030</v>
      </c>
      <c r="H5" s="1975" t="s">
        <v>137</v>
      </c>
    </row>
    <row r="6" spans="1:8" s="48" customFormat="1" ht="18.75" customHeight="1">
      <c r="A6" s="51" t="s">
        <v>514</v>
      </c>
      <c r="B6" s="49">
        <v>1</v>
      </c>
      <c r="C6" s="49">
        <f t="shared" ref="C6:F10" si="0">B6</f>
        <v>1</v>
      </c>
      <c r="D6" s="49">
        <f t="shared" si="0"/>
        <v>1</v>
      </c>
      <c r="E6" s="49">
        <f t="shared" si="0"/>
        <v>1</v>
      </c>
      <c r="F6" s="49">
        <f t="shared" si="0"/>
        <v>1</v>
      </c>
      <c r="H6" s="1988" t="s">
        <v>25</v>
      </c>
    </row>
    <row r="7" spans="1:8" s="48" customFormat="1" ht="18.75" customHeight="1">
      <c r="A7" s="52" t="s">
        <v>502</v>
      </c>
      <c r="B7" s="50">
        <v>0</v>
      </c>
      <c r="C7" s="50">
        <f t="shared" si="0"/>
        <v>0</v>
      </c>
      <c r="D7" s="50">
        <f t="shared" si="0"/>
        <v>0</v>
      </c>
      <c r="E7" s="50">
        <f t="shared" si="0"/>
        <v>0</v>
      </c>
      <c r="F7" s="50">
        <f t="shared" si="0"/>
        <v>0</v>
      </c>
      <c r="H7" s="1988" t="s">
        <v>136</v>
      </c>
    </row>
    <row r="8" spans="1:8" s="48" customFormat="1" ht="18.75" customHeight="1">
      <c r="A8" s="52" t="s">
        <v>501</v>
      </c>
      <c r="B8" s="50">
        <v>0</v>
      </c>
      <c r="C8" s="50">
        <f t="shared" si="0"/>
        <v>0</v>
      </c>
      <c r="D8" s="50">
        <f t="shared" si="0"/>
        <v>0</v>
      </c>
      <c r="E8" s="50">
        <f t="shared" si="0"/>
        <v>0</v>
      </c>
      <c r="F8" s="50">
        <f t="shared" si="0"/>
        <v>0</v>
      </c>
      <c r="H8" s="1988" t="s">
        <v>136</v>
      </c>
    </row>
    <row r="9" spans="1:8" s="48" customFormat="1" ht="18.75" customHeight="1">
      <c r="A9" s="52"/>
      <c r="B9" s="50">
        <v>0</v>
      </c>
      <c r="C9" s="50">
        <f t="shared" si="0"/>
        <v>0</v>
      </c>
      <c r="D9" s="50">
        <f t="shared" si="0"/>
        <v>0</v>
      </c>
      <c r="E9" s="50">
        <f t="shared" si="0"/>
        <v>0</v>
      </c>
      <c r="F9" s="50">
        <f t="shared" si="0"/>
        <v>0</v>
      </c>
      <c r="H9" s="1988" t="s">
        <v>25</v>
      </c>
    </row>
    <row r="10" spans="1:8" s="48" customFormat="1" ht="18.75" customHeight="1">
      <c r="A10" s="52"/>
      <c r="B10" s="50">
        <v>0</v>
      </c>
      <c r="C10" s="50">
        <f t="shared" si="0"/>
        <v>0</v>
      </c>
      <c r="D10" s="50">
        <f t="shared" si="0"/>
        <v>0</v>
      </c>
      <c r="E10" s="50">
        <f t="shared" si="0"/>
        <v>0</v>
      </c>
      <c r="F10" s="50">
        <f t="shared" si="0"/>
        <v>0</v>
      </c>
      <c r="H10" s="1988" t="s">
        <v>25</v>
      </c>
    </row>
    <row r="11" spans="1:8" s="48" customFormat="1" ht="18.75" customHeight="1">
      <c r="A11" s="52"/>
      <c r="B11" s="50">
        <v>0</v>
      </c>
      <c r="C11" s="50">
        <f t="shared" ref="C11:F13" si="1">B11</f>
        <v>0</v>
      </c>
      <c r="D11" s="50">
        <f t="shared" si="1"/>
        <v>0</v>
      </c>
      <c r="E11" s="50">
        <f t="shared" si="1"/>
        <v>0</v>
      </c>
      <c r="F11" s="50">
        <f t="shared" si="1"/>
        <v>0</v>
      </c>
      <c r="H11" s="1988" t="s">
        <v>25</v>
      </c>
    </row>
    <row r="12" spans="1:8" s="48" customFormat="1" ht="18.75" customHeight="1">
      <c r="A12" s="52"/>
      <c r="B12" s="50">
        <v>0</v>
      </c>
      <c r="C12" s="50">
        <f t="shared" si="1"/>
        <v>0</v>
      </c>
      <c r="D12" s="50">
        <f t="shared" si="1"/>
        <v>0</v>
      </c>
      <c r="E12" s="50">
        <f t="shared" si="1"/>
        <v>0</v>
      </c>
      <c r="F12" s="50">
        <f t="shared" si="1"/>
        <v>0</v>
      </c>
      <c r="H12" s="1988" t="s">
        <v>25</v>
      </c>
    </row>
    <row r="13" spans="1:8" s="48" customFormat="1" ht="18.75" customHeight="1" thickBot="1">
      <c r="A13" s="52"/>
      <c r="B13" s="50">
        <v>0</v>
      </c>
      <c r="C13" s="50">
        <f t="shared" si="1"/>
        <v>0</v>
      </c>
      <c r="D13" s="50">
        <f t="shared" si="1"/>
        <v>0</v>
      </c>
      <c r="E13" s="50">
        <f t="shared" si="1"/>
        <v>0</v>
      </c>
      <c r="F13" s="50">
        <f t="shared" si="1"/>
        <v>0</v>
      </c>
      <c r="H13" s="1989" t="s">
        <v>25</v>
      </c>
    </row>
    <row r="14" spans="1:8" ht="19.5" customHeight="1" thickBot="1">
      <c r="A14" s="1499" t="s">
        <v>503</v>
      </c>
      <c r="B14" s="1497">
        <f>SUM(B6:B13)</f>
        <v>1</v>
      </c>
      <c r="C14" s="1498">
        <f>SUM(C6:C13)</f>
        <v>1</v>
      </c>
      <c r="D14" s="1497">
        <f>SUM(D6:D13)</f>
        <v>1</v>
      </c>
      <c r="E14" s="1498">
        <f>SUM(E6:E13)</f>
        <v>1</v>
      </c>
      <c r="F14" s="1497">
        <f>SUM(F6:F13)</f>
        <v>1</v>
      </c>
    </row>
    <row r="16" spans="1:8" ht="15.75" thickBot="1"/>
    <row r="17" spans="1:13" ht="24" customHeight="1" thickBot="1">
      <c r="A17" s="2383" t="s">
        <v>504</v>
      </c>
      <c r="B17" s="1473"/>
      <c r="C17" s="1473"/>
      <c r="D17" s="1473"/>
      <c r="E17" s="1473"/>
      <c r="F17" s="1474"/>
    </row>
    <row r="18" spans="1:13" ht="34.5" customHeight="1" thickBot="1">
      <c r="A18" s="2714" t="str">
        <f>"Gross salaries "&amp;Parameters!H11&amp;"/monht/person"</f>
        <v>Gross salaries €/monht/person</v>
      </c>
      <c r="B18" s="2011" t="str">
        <f t="array" ref="B18:F18">anni</f>
        <v>Year 0:   2026</v>
      </c>
      <c r="C18" s="2011" t="str">
        <v>Year 1:   2027</v>
      </c>
      <c r="D18" s="2011" t="str">
        <v>Year 2:   2028</v>
      </c>
      <c r="E18" s="2011" t="str">
        <v>Year 3:   2029</v>
      </c>
      <c r="F18" s="2011" t="str">
        <v>Year 4:   2030</v>
      </c>
      <c r="I18" s="3048" t="str">
        <f ca="1">IF('Yearly Income St'!B33&gt;0,"","Loss in year  0")</f>
        <v>Loss in year  0</v>
      </c>
      <c r="J18" s="3048" t="str">
        <f ca="1">IF('Yearly Income St'!D33&gt;0,"","Loss in year  1")</f>
        <v>Loss in year  1</v>
      </c>
      <c r="K18" s="3048" t="str">
        <f ca="1">IF('Yearly Income St'!G33&gt;0,"","Loss in year  2")</f>
        <v>Loss in year  2</v>
      </c>
      <c r="L18" s="3048" t="str">
        <f ca="1">IF('Yearly Income St'!J33&gt;0,"","Loss in year  3")</f>
        <v>Loss in year  3</v>
      </c>
      <c r="M18" s="3048" t="str">
        <f ca="1">IF('Yearly Income St'!M33&gt;0,"","Loss in year  4")</f>
        <v>Loss in year  4</v>
      </c>
    </row>
    <row r="19" spans="1:13" ht="18" customHeight="1">
      <c r="A19" s="54" t="str">
        <f t="shared" ref="A19:A26" si="2">IF(A6="","",A6)</f>
        <v>Working Owners / Self employees</v>
      </c>
      <c r="B19" s="58">
        <v>1200</v>
      </c>
      <c r="C19" s="58">
        <f>B19*1.04</f>
        <v>1248</v>
      </c>
      <c r="D19" s="58">
        <f>C19*1.04</f>
        <v>1297.92</v>
      </c>
      <c r="E19" s="58">
        <f>D19*1.04</f>
        <v>1349.8368</v>
      </c>
      <c r="F19" s="58">
        <f>E19*1.04</f>
        <v>1403.8302720000002</v>
      </c>
    </row>
    <row r="20" spans="1:13" ht="18" customHeight="1">
      <c r="A20" s="54" t="str">
        <f t="shared" si="2"/>
        <v>Other non staff not employees</v>
      </c>
      <c r="B20" s="58">
        <v>0</v>
      </c>
      <c r="C20" s="58">
        <f t="shared" ref="C20:F23" si="3">B20*1.04</f>
        <v>0</v>
      </c>
      <c r="D20" s="58">
        <f t="shared" si="3"/>
        <v>0</v>
      </c>
      <c r="E20" s="58">
        <f t="shared" si="3"/>
        <v>0</v>
      </c>
      <c r="F20" s="58">
        <f t="shared" si="3"/>
        <v>0</v>
      </c>
      <c r="I20" s="3048" t="str">
        <f ca="1">IF('Cash Flow Summary'!C34&gt;=0,"","Cash deficit year 0")</f>
        <v>Cash deficit year 0</v>
      </c>
      <c r="J20" s="3048" t="str">
        <f ca="1">IF('Cash Flow Summary'!D34&gt;=0,"","Cash deficit year 1")</f>
        <v>Cash deficit year 1</v>
      </c>
      <c r="K20" s="3048" t="str">
        <f ca="1">IF('Cash Flow Summary'!E34&gt;=0,"","Cash deficit year 2")</f>
        <v>Cash deficit year 2</v>
      </c>
      <c r="L20" s="3048" t="str">
        <f ca="1">IF('Cash Flow Summary'!F34&gt;=0,"","Cash deficit year 3")</f>
        <v>Cash deficit year 3</v>
      </c>
      <c r="M20" s="3048" t="str">
        <f ca="1">IF('Cash Flow Summary'!G34&gt;=0,"","Cash deficit year 4")</f>
        <v>Cash deficit year 4</v>
      </c>
    </row>
    <row r="21" spans="1:13" ht="18" customHeight="1">
      <c r="A21" s="55" t="str">
        <f t="shared" si="2"/>
        <v>Staff / employees</v>
      </c>
      <c r="B21" s="58">
        <v>0</v>
      </c>
      <c r="C21" s="58">
        <f t="shared" si="3"/>
        <v>0</v>
      </c>
      <c r="D21" s="58">
        <f t="shared" si="3"/>
        <v>0</v>
      </c>
      <c r="E21" s="58">
        <f t="shared" si="3"/>
        <v>0</v>
      </c>
      <c r="F21" s="58">
        <f t="shared" si="3"/>
        <v>0</v>
      </c>
    </row>
    <row r="22" spans="1:13" ht="18" customHeight="1">
      <c r="A22" s="55" t="str">
        <f t="shared" si="2"/>
        <v/>
      </c>
      <c r="B22" s="58">
        <v>0</v>
      </c>
      <c r="C22" s="58">
        <f t="shared" si="3"/>
        <v>0</v>
      </c>
      <c r="D22" s="58">
        <f t="shared" si="3"/>
        <v>0</v>
      </c>
      <c r="E22" s="58">
        <f t="shared" si="3"/>
        <v>0</v>
      </c>
      <c r="F22" s="58">
        <f t="shared" si="3"/>
        <v>0</v>
      </c>
    </row>
    <row r="23" spans="1:13" ht="18" customHeight="1">
      <c r="A23" s="55" t="str">
        <f t="shared" si="2"/>
        <v/>
      </c>
      <c r="B23" s="58">
        <v>0</v>
      </c>
      <c r="C23" s="58">
        <f t="shared" si="3"/>
        <v>0</v>
      </c>
      <c r="D23" s="58">
        <f t="shared" si="3"/>
        <v>0</v>
      </c>
      <c r="E23" s="58">
        <f t="shared" si="3"/>
        <v>0</v>
      </c>
      <c r="F23" s="58">
        <f t="shared" si="3"/>
        <v>0</v>
      </c>
    </row>
    <row r="24" spans="1:13" ht="18" customHeight="1">
      <c r="A24" s="55" t="str">
        <f t="shared" si="2"/>
        <v/>
      </c>
      <c r="B24" s="58">
        <v>0</v>
      </c>
      <c r="C24" s="58">
        <f t="shared" ref="C24:F26" si="4">B24*1.04</f>
        <v>0</v>
      </c>
      <c r="D24" s="58">
        <f t="shared" si="4"/>
        <v>0</v>
      </c>
      <c r="E24" s="58">
        <f t="shared" si="4"/>
        <v>0</v>
      </c>
      <c r="F24" s="58">
        <f t="shared" si="4"/>
        <v>0</v>
      </c>
    </row>
    <row r="25" spans="1:13" ht="18" customHeight="1">
      <c r="A25" s="55" t="str">
        <f t="shared" si="2"/>
        <v/>
      </c>
      <c r="B25" s="58">
        <v>0</v>
      </c>
      <c r="C25" s="58">
        <f t="shared" si="4"/>
        <v>0</v>
      </c>
      <c r="D25" s="58">
        <f t="shared" si="4"/>
        <v>0</v>
      </c>
      <c r="E25" s="58">
        <f t="shared" si="4"/>
        <v>0</v>
      </c>
      <c r="F25" s="58">
        <f t="shared" si="4"/>
        <v>0</v>
      </c>
    </row>
    <row r="26" spans="1:13" ht="18" customHeight="1" thickBot="1">
      <c r="A26" s="56" t="str">
        <f t="shared" si="2"/>
        <v/>
      </c>
      <c r="B26" s="68">
        <v>0</v>
      </c>
      <c r="C26" s="68">
        <f t="shared" si="4"/>
        <v>0</v>
      </c>
      <c r="D26" s="68">
        <f t="shared" si="4"/>
        <v>0</v>
      </c>
      <c r="E26" s="68">
        <f t="shared" si="4"/>
        <v>0</v>
      </c>
      <c r="F26" s="68">
        <f t="shared" si="4"/>
        <v>0</v>
      </c>
    </row>
    <row r="27" spans="1:13" ht="25.5" customHeight="1" thickBot="1"/>
    <row r="28" spans="1:13" ht="34.5" customHeight="1" thickBot="1">
      <c r="A28" s="2386" t="s">
        <v>509</v>
      </c>
      <c r="B28" s="2011" t="str">
        <f t="array" ref="B28:F28">anni</f>
        <v>Year 0:   2026</v>
      </c>
      <c r="C28" s="2011" t="str">
        <v>Year 1:   2027</v>
      </c>
      <c r="D28" s="2011" t="str">
        <v>Year 2:   2028</v>
      </c>
      <c r="E28" s="2011" t="str">
        <v>Year 3:   2029</v>
      </c>
      <c r="F28" s="2011" t="str">
        <v>Year 4:   2030</v>
      </c>
    </row>
    <row r="29" spans="1:13" ht="19.5" customHeight="1">
      <c r="A29" s="54" t="s">
        <v>513</v>
      </c>
      <c r="B29" s="1736">
        <f t="array" ref="B29">SUM(B19:B20*B6:B7)</f>
        <v>1200</v>
      </c>
      <c r="C29" s="1736">
        <f t="array" ref="C29">SUM(C19:C20*C6:C7)</f>
        <v>1248</v>
      </c>
      <c r="D29" s="1736">
        <f t="array" ref="D29">SUM(D19:D20*D6:D7)</f>
        <v>1297.92</v>
      </c>
      <c r="E29" s="1736">
        <f t="array" ref="E29">SUM(E19:E20*E6:E7)</f>
        <v>1349.8368</v>
      </c>
      <c r="F29" s="1736">
        <f t="array" ref="F29">SUM(F19:F20*F6:F7)</f>
        <v>1403.8302720000002</v>
      </c>
    </row>
    <row r="30" spans="1:13" ht="19.5" customHeight="1" thickBot="1">
      <c r="A30" s="2384" t="s">
        <v>505</v>
      </c>
      <c r="B30" s="1733">
        <f t="array" ref="B30">SUM(B8:B13*B21:B26)</f>
        <v>0</v>
      </c>
      <c r="C30" s="1733">
        <f t="array" ref="C30">SUM(C8:C13*C21:C26)</f>
        <v>0</v>
      </c>
      <c r="D30" s="1733">
        <f t="array" ref="D30">SUM(D8:D13*D21:D26)</f>
        <v>0</v>
      </c>
      <c r="E30" s="1733">
        <f t="array" ref="E30">SUM(E8:E13*E21:E26)</f>
        <v>0</v>
      </c>
      <c r="F30" s="1733">
        <f t="array" ref="F30">SUM(F8:F13*F21:F26)</f>
        <v>0</v>
      </c>
    </row>
    <row r="31" spans="1:13" ht="24" customHeight="1" thickBot="1">
      <c r="A31" s="769" t="s">
        <v>506</v>
      </c>
      <c r="B31" s="1734">
        <f>SUM(B29:B30)</f>
        <v>1200</v>
      </c>
      <c r="C31" s="1735">
        <f>SUM(C29:C30)</f>
        <v>1248</v>
      </c>
      <c r="D31" s="1734">
        <f>SUM(D29:D30)</f>
        <v>1297.92</v>
      </c>
      <c r="E31" s="1735">
        <f>SUM(E29:E30)</f>
        <v>1349.8368</v>
      </c>
      <c r="F31" s="1734">
        <f>SUM(F29:F30)</f>
        <v>1403.8302720000002</v>
      </c>
    </row>
    <row r="32" spans="1:13" ht="15.75" thickBot="1"/>
    <row r="33" spans="1:9" ht="20.25" customHeight="1" thickBot="1">
      <c r="A33" s="867"/>
      <c r="B33" s="867"/>
      <c r="C33" s="1526" t="str">
        <f>"nº moths at start "&amp;'Base Data'!B18&amp;" ("&amp;Parameters!D65&amp;") with no salariy for working owners"</f>
        <v>nº moths at start Year 0 (2026) with no salariy for working owners</v>
      </c>
      <c r="D33" s="868">
        <v>0</v>
      </c>
    </row>
    <row r="34" spans="1:9" ht="20.25" customHeight="1" thickBot="1">
      <c r="A34" s="867"/>
      <c r="B34" s="867"/>
      <c r="C34" s="1526" t="str">
        <f>"further months with increased salaries for working owners"</f>
        <v>further months with increased salaries for working owners</v>
      </c>
      <c r="D34" s="868">
        <v>0</v>
      </c>
      <c r="E34" s="1972" t="str">
        <f>IF(D34+D33+mes0&gt;24,"ERROR: Transitorio mayor que 24 meses","")</f>
        <v/>
      </c>
    </row>
    <row r="35" spans="1:9" ht="15.75" thickBot="1"/>
    <row r="36" spans="1:9" s="48" customFormat="1" ht="32.25" customHeight="1" thickBot="1">
      <c r="A36" s="2010" t="s">
        <v>507</v>
      </c>
      <c r="B36" s="2011" t="str">
        <f t="array" ref="B36:F36">anni</f>
        <v>Year 0:   2026</v>
      </c>
      <c r="C36" s="2011" t="str">
        <v>Year 1:   2027</v>
      </c>
      <c r="D36" s="2011" t="str">
        <v>Year 2:   2028</v>
      </c>
      <c r="E36" s="2011" t="str">
        <v>Year 3:   2029</v>
      </c>
      <c r="F36" s="2011" t="str">
        <v>Year 4:   2030</v>
      </c>
    </row>
    <row r="37" spans="1:9" s="48" customFormat="1" ht="19.5" customHeight="1">
      <c r="A37" s="54" t="str">
        <f t="array" ref="A37:A44">catlaborales</f>
        <v>Working Owners / Self employees</v>
      </c>
      <c r="B37" s="3192">
        <f>IF(isoc&lt;&gt;0, HLOOKUP('Base Data'!$B$15,'Base Data'!$H$49:$K$53,IF($I37="Subsidised",3,2)),HLOOKUP('Base Data'!$B$15,'Base Data'!$H$49:$K$53,IF($I37="Subsidised",5,4)))</f>
        <v>86</v>
      </c>
      <c r="C37" s="3193">
        <f>IF(isoc&lt;&gt;0, HLOOKUP('Base Data'!$B$15+1,'Base Data'!$H$49:$K$53,IF($I37="Subsidised",3,2)),HLOOKUP('Base Data'!$B$15+1,'Base Data'!$H$49:$K$53,IF($I37="Subsidised",5,4)))</f>
        <v>80</v>
      </c>
      <c r="D37" s="3192">
        <f>IF(isoc&lt;&gt;0, HLOOKUP('Base Data'!$B$15+2,'Base Data'!$H$49:$K$53,IF($I37="Subsidised",3,2)),HLOOKUP('Base Data'!$B$15+2,'Base Data'!$H$49:$K$53,IF($I37="Subsidised",5,4)))</f>
        <v>80</v>
      </c>
      <c r="E37" s="3192">
        <f>IF(isoc&lt;&gt;0, HLOOKUP('Base Data'!$B$15+3,'Base Data'!$H$49:$K$53,IF($I37="Subsidised",3,2)),HLOOKUP('Base Data'!$B$15+3,'Base Data'!$H$49:$K$53,IF($I37="Subsidised",5,4)))</f>
        <v>80</v>
      </c>
      <c r="F37" s="3192">
        <f>IF(isoc&lt;&gt;0, HLOOKUP('Base Data'!$B$15+4,'Base Data'!$H$49:$K$53,IF($I37="Subsidised",3,2)),HLOOKUP('Base Data'!$B$15+4,'Base Data'!$H$49:$K$53,IF($I37="Subsidised",5,4)))</f>
        <v>80</v>
      </c>
      <c r="G37" s="2535" t="str">
        <f>Parameters!$H$11</f>
        <v>€</v>
      </c>
      <c r="I37" s="3079" t="s">
        <v>1222</v>
      </c>
    </row>
    <row r="38" spans="1:9" s="48" customFormat="1" ht="19.5" customHeight="1">
      <c r="A38" s="54" t="str">
        <v>Other non staff not employees</v>
      </c>
      <c r="B38" s="3192">
        <f>B37</f>
        <v>86</v>
      </c>
      <c r="C38" s="3192">
        <f>C37</f>
        <v>80</v>
      </c>
      <c r="D38" s="3192">
        <f>D37</f>
        <v>80</v>
      </c>
      <c r="E38" s="3192">
        <f>E37</f>
        <v>80</v>
      </c>
      <c r="F38" s="3192">
        <f>F37</f>
        <v>80</v>
      </c>
      <c r="G38" s="2535" t="str">
        <f>Parameters!$H$11</f>
        <v>€</v>
      </c>
    </row>
    <row r="39" spans="1:9" s="48" customFormat="1" ht="18.75" customHeight="1">
      <c r="A39" s="55" t="str">
        <v>Staff / employees</v>
      </c>
      <c r="B39" s="399">
        <v>0.39</v>
      </c>
      <c r="C39" s="399">
        <f t="shared" ref="C39:F44" si="5">B39</f>
        <v>0.39</v>
      </c>
      <c r="D39" s="399">
        <f t="shared" si="5"/>
        <v>0.39</v>
      </c>
      <c r="E39" s="399">
        <f t="shared" si="5"/>
        <v>0.39</v>
      </c>
      <c r="F39" s="399">
        <f t="shared" si="5"/>
        <v>0.39</v>
      </c>
    </row>
    <row r="40" spans="1:9" s="48" customFormat="1" ht="19.5" customHeight="1">
      <c r="A40" s="55" t="str">
        <v/>
      </c>
      <c r="B40" s="399">
        <v>0.4</v>
      </c>
      <c r="C40" s="399">
        <f t="shared" si="5"/>
        <v>0.4</v>
      </c>
      <c r="D40" s="399">
        <f t="shared" si="5"/>
        <v>0.4</v>
      </c>
      <c r="E40" s="399">
        <f t="shared" si="5"/>
        <v>0.4</v>
      </c>
      <c r="F40" s="399">
        <f t="shared" si="5"/>
        <v>0.4</v>
      </c>
    </row>
    <row r="41" spans="1:9" s="48" customFormat="1" ht="19.5" customHeight="1">
      <c r="A41" s="55" t="str">
        <v/>
      </c>
      <c r="B41" s="399">
        <v>0.4</v>
      </c>
      <c r="C41" s="399">
        <f t="shared" si="5"/>
        <v>0.4</v>
      </c>
      <c r="D41" s="399">
        <f t="shared" si="5"/>
        <v>0.4</v>
      </c>
      <c r="E41" s="399">
        <f t="shared" si="5"/>
        <v>0.4</v>
      </c>
      <c r="F41" s="399">
        <f t="shared" si="5"/>
        <v>0.4</v>
      </c>
    </row>
    <row r="42" spans="1:9" ht="19.5" customHeight="1">
      <c r="A42" s="55" t="str">
        <v/>
      </c>
      <c r="B42" s="399">
        <v>0.4</v>
      </c>
      <c r="C42" s="399">
        <f t="shared" si="5"/>
        <v>0.4</v>
      </c>
      <c r="D42" s="399">
        <f t="shared" si="5"/>
        <v>0.4</v>
      </c>
      <c r="E42" s="399">
        <f t="shared" si="5"/>
        <v>0.4</v>
      </c>
      <c r="F42" s="399">
        <f t="shared" si="5"/>
        <v>0.4</v>
      </c>
    </row>
    <row r="43" spans="1:9" ht="19.5" customHeight="1">
      <c r="A43" s="55" t="str">
        <v/>
      </c>
      <c r="B43" s="399">
        <v>0.4</v>
      </c>
      <c r="C43" s="399">
        <f t="shared" si="5"/>
        <v>0.4</v>
      </c>
      <c r="D43" s="399">
        <f t="shared" si="5"/>
        <v>0.4</v>
      </c>
      <c r="E43" s="399">
        <f t="shared" si="5"/>
        <v>0.4</v>
      </c>
      <c r="F43" s="399">
        <f t="shared" si="5"/>
        <v>0.4</v>
      </c>
    </row>
    <row r="44" spans="1:9" ht="19.5" customHeight="1" thickBot="1">
      <c r="A44" s="56" t="str">
        <v/>
      </c>
      <c r="B44" s="400">
        <v>0.4</v>
      </c>
      <c r="C44" s="400">
        <f t="shared" si="5"/>
        <v>0.4</v>
      </c>
      <c r="D44" s="400">
        <f t="shared" si="5"/>
        <v>0.4</v>
      </c>
      <c r="E44" s="400">
        <f t="shared" si="5"/>
        <v>0.4</v>
      </c>
      <c r="F44" s="400">
        <f t="shared" si="5"/>
        <v>0.4</v>
      </c>
    </row>
    <row r="45" spans="1:9" ht="24" customHeight="1" thickBot="1"/>
    <row r="46" spans="1:9" ht="30.75" customHeight="1" thickBot="1">
      <c r="A46" s="2385" t="s">
        <v>508</v>
      </c>
      <c r="B46" s="2011" t="str">
        <f t="array" ref="B46:F46">anni</f>
        <v>Year 0:   2026</v>
      </c>
      <c r="C46" s="2011" t="str">
        <v>Year 1:   2027</v>
      </c>
      <c r="D46" s="2011" t="str">
        <v>Year 2:   2028</v>
      </c>
      <c r="E46" s="2011" t="str">
        <v>Year 3:   2029</v>
      </c>
      <c r="F46" s="2011" t="str">
        <v>Year 4:   2030</v>
      </c>
    </row>
    <row r="47" spans="1:9" ht="19.5" customHeight="1">
      <c r="A47" s="54" t="str">
        <f>A29</f>
        <v>Working owners &amp; self-employees</v>
      </c>
      <c r="B47" s="1736">
        <f t="array" ref="B47">SUM(B37:B38*B6:B7)</f>
        <v>86</v>
      </c>
      <c r="C47" s="1736">
        <f t="array" ref="C47">SUM(C37:C38*C6:C7)</f>
        <v>80</v>
      </c>
      <c r="D47" s="1736">
        <f t="array" ref="D47">SUM(D37:D38*D6:D7)</f>
        <v>80</v>
      </c>
      <c r="E47" s="1736">
        <f t="array" ref="E47">SUM(E37:E38*E6:E7)</f>
        <v>80</v>
      </c>
      <c r="F47" s="1736">
        <f t="array" ref="F47">SUM(F37:F38*F6:F7)</f>
        <v>80</v>
      </c>
    </row>
    <row r="48" spans="1:9" ht="19.5" customHeight="1" thickBot="1">
      <c r="A48" s="2384" t="str">
        <f>A30</f>
        <v>Employees</v>
      </c>
      <c r="B48" s="1733">
        <f t="array" ref="B48">SUM(B8:B13*B21:B26*B39:B44)</f>
        <v>0</v>
      </c>
      <c r="C48" s="1733">
        <f t="array" ref="C48">SUM(C8:C13*C21:C26*C39:C44)</f>
        <v>0</v>
      </c>
      <c r="D48" s="1733">
        <f t="array" ref="D48">SUM(D8:D13*D21:D26*D39:D44)</f>
        <v>0</v>
      </c>
      <c r="E48" s="1733">
        <f t="array" ref="E48">SUM(E8:E13*E21:E26*E39:E44)</f>
        <v>0</v>
      </c>
      <c r="F48" s="1733">
        <f t="array" ref="F48">SUM(F8:F13*F21:F26*F39:F44)</f>
        <v>0</v>
      </c>
    </row>
    <row r="49" spans="1:6" ht="24" customHeight="1" thickBot="1">
      <c r="A49" s="769" t="s">
        <v>506</v>
      </c>
      <c r="B49" s="1734">
        <f>SUM(B47:B48)</f>
        <v>86</v>
      </c>
      <c r="C49" s="1735">
        <f>SUM(C47:C48)</f>
        <v>80</v>
      </c>
      <c r="D49" s="1734">
        <f>SUM(D47:D48)</f>
        <v>80</v>
      </c>
      <c r="E49" s="1735">
        <f>SUM(E47:E48)</f>
        <v>80</v>
      </c>
      <c r="F49" s="1734">
        <f>SUM(F47:F48)</f>
        <v>80</v>
      </c>
    </row>
    <row r="51" spans="1:6" ht="15.75" thickBot="1"/>
    <row r="52" spans="1:6" s="48" customFormat="1" ht="32.25" customHeight="1" thickBot="1">
      <c r="A52" s="2010" t="s">
        <v>510</v>
      </c>
      <c r="B52" s="2011" t="str">
        <f t="array" ref="B52:F52">anni</f>
        <v>Year 0:   2026</v>
      </c>
      <c r="C52" s="2011" t="str">
        <v>Year 1:   2027</v>
      </c>
      <c r="D52" s="2011" t="str">
        <v>Year 2:   2028</v>
      </c>
      <c r="E52" s="2011" t="str">
        <v>Year 3:   2029</v>
      </c>
      <c r="F52" s="2011" t="str">
        <v>Year 4:   2030</v>
      </c>
    </row>
    <row r="53" spans="1:6" ht="17.25" customHeight="1">
      <c r="A53" s="1352" t="s">
        <v>512</v>
      </c>
      <c r="B53" s="1353">
        <v>18</v>
      </c>
      <c r="C53" s="1353">
        <f t="shared" ref="C53:F54" si="6">B53*1.04</f>
        <v>18.72</v>
      </c>
      <c r="D53" s="1353">
        <f t="shared" si="6"/>
        <v>19.468799999999998</v>
      </c>
      <c r="E53" s="1353">
        <f t="shared" si="6"/>
        <v>20.247551999999999</v>
      </c>
      <c r="F53" s="1353">
        <f t="shared" si="6"/>
        <v>21.057454079999999</v>
      </c>
    </row>
    <row r="54" spans="1:6" ht="17.25" customHeight="1" thickBot="1">
      <c r="A54" s="70" t="s">
        <v>511</v>
      </c>
      <c r="B54" s="909">
        <v>18</v>
      </c>
      <c r="C54" s="909">
        <f t="shared" si="6"/>
        <v>18.72</v>
      </c>
      <c r="D54" s="909">
        <f t="shared" si="6"/>
        <v>19.468799999999998</v>
      </c>
      <c r="E54" s="909">
        <f t="shared" si="6"/>
        <v>20.247551999999999</v>
      </c>
      <c r="F54" s="909">
        <f t="shared" si="6"/>
        <v>21.057454079999999</v>
      </c>
    </row>
  </sheetData>
  <sheetProtection sheet="1" objects="1" scenarios="1"/>
  <phoneticPr fontId="7" type="noConversion"/>
  <dataValidations count="6">
    <dataValidation type="decimal" operator="greaterThanOrEqual" allowBlank="1" showInputMessage="1" showErrorMessage="1" sqref="B53:F54 B19:F26 B37:F38" xr:uid="{00000000-0002-0000-0F00-000000000000}">
      <formula1>0</formula1>
    </dataValidation>
    <dataValidation type="whole" allowBlank="1" showInputMessage="1" showErrorMessage="1" sqref="D33:D34" xr:uid="{00000000-0002-0000-0F00-000001000000}">
      <formula1>0</formula1>
      <formula2>12</formula2>
    </dataValidation>
    <dataValidation type="decimal" allowBlank="1" showInputMessage="1" showErrorMessage="1" sqref="B39:F44" xr:uid="{00000000-0002-0000-0F00-000002000000}">
      <formula1>0</formula1>
      <formula2>1</formula2>
    </dataValidation>
    <dataValidation type="whole" operator="greaterThanOrEqual" allowBlank="1" showInputMessage="1" showErrorMessage="1" sqref="B6:F13" xr:uid="{00000000-0002-0000-0F00-000003000000}">
      <formula1>0</formula1>
    </dataValidation>
    <dataValidation type="list" allowBlank="1" showInputMessage="1" showErrorMessage="1" sqref="H6:H13" xr:uid="{00000000-0002-0000-0F00-000004000000}">
      <formula1>"Sí,No"</formula1>
    </dataValidation>
    <dataValidation type="list" allowBlank="1" showInputMessage="1" showErrorMessage="1" sqref="I37" xr:uid="{00000000-0002-0000-0F00-000005000000}">
      <formula1>"Subsidised,NON subsidised"</formula1>
    </dataValidation>
  </dataValidations>
  <printOptions horizontalCentered="1"/>
  <pageMargins left="0.78740157480314965" right="0.78740157480314965" top="0.55118110236220474" bottom="0.43307086614173229" header="0" footer="0"/>
  <pageSetup paperSize="9" scale="78"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N38"/>
  <sheetViews>
    <sheetView workbookViewId="0">
      <selection activeCell="C12" sqref="C12"/>
    </sheetView>
  </sheetViews>
  <sheetFormatPr baseColWidth="10" defaultColWidth="11" defaultRowHeight="14.25"/>
  <cols>
    <col min="1" max="1" width="32.25" style="876" customWidth="1"/>
    <col min="2" max="3" width="10.125" style="876" customWidth="1"/>
    <col min="4" max="4" width="12.625" style="876" customWidth="1"/>
    <col min="5" max="16384" width="11" style="876"/>
  </cols>
  <sheetData>
    <row r="1" spans="1:14" ht="22.5">
      <c r="A1" s="66" t="s">
        <v>1133</v>
      </c>
    </row>
    <row r="2" spans="1:14" ht="22.5">
      <c r="A2" s="66" t="str">
        <f>'Base Data'!B9</f>
        <v>WWW, Ltd.</v>
      </c>
    </row>
    <row r="3" spans="1:14" ht="22.5">
      <c r="A3" s="66"/>
    </row>
    <row r="4" spans="1:14" ht="15" thickBot="1"/>
    <row r="5" spans="1:14" s="48" customFormat="1" ht="31.5" customHeight="1" thickBot="1">
      <c r="A5" s="694" t="s">
        <v>1132</v>
      </c>
      <c r="B5" s="771"/>
      <c r="C5" s="771"/>
      <c r="D5" s="771"/>
      <c r="E5" s="1677" t="str">
        <f>+Parameters!B77</f>
        <v>Year 0:   2026</v>
      </c>
      <c r="F5" s="2870"/>
      <c r="G5" s="1677" t="str">
        <f>+Parameters!C77</f>
        <v>Year 1:   2027</v>
      </c>
      <c r="H5" s="2870"/>
      <c r="I5" s="2871" t="str">
        <f>+Parameters!D77</f>
        <v>Year 2:   2028</v>
      </c>
      <c r="J5" s="2870"/>
      <c r="K5" s="1677" t="str">
        <f>+Parameters!E77</f>
        <v>Year 3:   2029</v>
      </c>
      <c r="L5" s="2870"/>
      <c r="M5" s="2871" t="str">
        <f>+Parameters!F77</f>
        <v>Year 4:   2030</v>
      </c>
      <c r="N5" s="2870"/>
    </row>
    <row r="6" spans="1:14" s="48" customFormat="1" ht="15">
      <c r="A6" s="2872"/>
      <c r="E6" s="2873" t="s">
        <v>1125</v>
      </c>
      <c r="F6" s="2874" t="s">
        <v>1124</v>
      </c>
      <c r="G6" s="2873" t="str">
        <f>$E6</f>
        <v>% o/sales</v>
      </c>
      <c r="H6" s="2874" t="str">
        <f>$F6</f>
        <v>Yearly amount</v>
      </c>
      <c r="I6" s="2875" t="str">
        <f>$E6</f>
        <v>% o/sales</v>
      </c>
      <c r="J6" s="2874" t="str">
        <f>$F6</f>
        <v>Yearly amount</v>
      </c>
      <c r="K6" s="2873" t="str">
        <f>$E6</f>
        <v>% o/sales</v>
      </c>
      <c r="L6" s="2874" t="str">
        <f>$F6</f>
        <v>Yearly amount</v>
      </c>
      <c r="M6" s="2875" t="str">
        <f>$E6</f>
        <v>% o/sales</v>
      </c>
      <c r="N6" s="2874" t="str">
        <f>$F6</f>
        <v>Yearly amount</v>
      </c>
    </row>
    <row r="7" spans="1:14" s="48" customFormat="1" ht="18.75" customHeight="1">
      <c r="A7" s="2876" t="s">
        <v>1126</v>
      </c>
      <c r="B7" s="778"/>
      <c r="C7" s="778"/>
      <c r="D7" s="778"/>
      <c r="E7" s="2911">
        <v>0.01</v>
      </c>
      <c r="F7" s="2910">
        <f ca="1">E7*'5 years Sales Summary'!B$27</f>
        <v>71.999999999999986</v>
      </c>
      <c r="G7" s="2911">
        <f>E7</f>
        <v>0.01</v>
      </c>
      <c r="H7" s="2910">
        <f ca="1">G7*'5 years Sales Summary'!C$27</f>
        <v>123.60000000000001</v>
      </c>
      <c r="I7" s="2912">
        <f>G7</f>
        <v>0.01</v>
      </c>
      <c r="J7" s="2910">
        <f ca="1">I7*'5 years Sales Summary'!E$27</f>
        <v>133.67339999999999</v>
      </c>
      <c r="K7" s="2911">
        <f>I7</f>
        <v>0.01</v>
      </c>
      <c r="L7" s="2910">
        <f ca="1">K7*'5 years Sales Summary'!G$27</f>
        <v>144.63334571999999</v>
      </c>
      <c r="M7" s="2912">
        <f>K7</f>
        <v>0.01</v>
      </c>
      <c r="N7" s="2910">
        <f ca="1">M7*'5 years Sales Summary'!I$27</f>
        <v>156.4007042376</v>
      </c>
    </row>
    <row r="8" spans="1:14" s="48" customFormat="1" ht="18.75" customHeight="1">
      <c r="A8" s="2876" t="s">
        <v>1127</v>
      </c>
      <c r="B8" s="778"/>
      <c r="C8" s="778"/>
      <c r="D8" s="778"/>
      <c r="E8" s="2911">
        <v>0.02</v>
      </c>
      <c r="F8" s="2910">
        <f ca="1">E8*'5 years Sales Summary'!B$27</f>
        <v>143.99999999999997</v>
      </c>
      <c r="G8" s="2911">
        <f>E8</f>
        <v>0.02</v>
      </c>
      <c r="H8" s="2910">
        <f ca="1">G8*'5 years Sales Summary'!C$27</f>
        <v>247.20000000000002</v>
      </c>
      <c r="I8" s="2912">
        <f>G8</f>
        <v>0.02</v>
      </c>
      <c r="J8" s="2910">
        <f ca="1">I8*'5 years Sales Summary'!E$27</f>
        <v>267.34679999999997</v>
      </c>
      <c r="K8" s="2911">
        <f>I8</f>
        <v>0.02</v>
      </c>
      <c r="L8" s="2910">
        <f ca="1">K8*'5 years Sales Summary'!G$27</f>
        <v>289.26669143999999</v>
      </c>
      <c r="M8" s="2912">
        <f>K8</f>
        <v>0.02</v>
      </c>
      <c r="N8" s="2910">
        <f ca="1">M8*'5 years Sales Summary'!I$27</f>
        <v>312.80140847519999</v>
      </c>
    </row>
    <row r="9" spans="1:14" s="48" customFormat="1" ht="15.75" thickBot="1">
      <c r="A9" s="2877"/>
      <c r="E9" s="2906"/>
      <c r="F9" s="2907"/>
      <c r="G9" s="2906"/>
      <c r="H9" s="2907"/>
      <c r="I9" s="2908"/>
      <c r="J9" s="2907"/>
      <c r="K9" s="2906"/>
      <c r="L9" s="2907"/>
      <c r="M9" s="2908"/>
      <c r="N9" s="2907"/>
    </row>
    <row r="10" spans="1:14" s="48" customFormat="1" ht="27" thickTop="1" thickBot="1">
      <c r="A10" s="2109"/>
      <c r="B10" s="2879" t="s">
        <v>1130</v>
      </c>
      <c r="C10" s="1677" t="s">
        <v>527</v>
      </c>
      <c r="D10" s="2905"/>
      <c r="E10" s="2888"/>
      <c r="F10" s="2909" t="s">
        <v>1124</v>
      </c>
      <c r="G10" s="2888" t="s">
        <v>1131</v>
      </c>
      <c r="H10" s="2909" t="str">
        <f>$F10</f>
        <v>Yearly amount</v>
      </c>
      <c r="I10" s="2887" t="str">
        <f>$G10</f>
        <v>% yearly
 incr.</v>
      </c>
      <c r="J10" s="2909" t="str">
        <f>$F10</f>
        <v>Yearly amount</v>
      </c>
      <c r="K10" s="2888" t="str">
        <f>$G10</f>
        <v>% yearly
 incr.</v>
      </c>
      <c r="L10" s="2909" t="str">
        <f>$F10</f>
        <v>Yearly amount</v>
      </c>
      <c r="M10" s="2887" t="str">
        <f>$G10</f>
        <v>% yearly
 incr.</v>
      </c>
      <c r="N10" s="2909" t="str">
        <f>$F10</f>
        <v>Yearly amount</v>
      </c>
    </row>
    <row r="11" spans="1:14" s="48" customFormat="1" ht="15">
      <c r="A11" s="2880" t="s">
        <v>1128</v>
      </c>
      <c r="B11" s="2881">
        <v>2</v>
      </c>
      <c r="C11" s="2985">
        <v>0</v>
      </c>
      <c r="D11" s="2986" t="str">
        <f>CONCATENATE(Parameters!$H$11,"/",IF(B11=12,"month",  IF(B11=6,"2 months",IF(B11=4,"quarter",IF(B11=3,"4 months",IF(B11=2,"6 months","year"))   ))   ))</f>
        <v>€/6 months</v>
      </c>
      <c r="E11" s="2882"/>
      <c r="F11" s="2882">
        <f>C11*B11</f>
        <v>0</v>
      </c>
      <c r="G11" s="2911">
        <v>0.03</v>
      </c>
      <c r="H11" s="2882">
        <f>F11*(1+G11)</f>
        <v>0</v>
      </c>
      <c r="I11" s="2912">
        <f>G11</f>
        <v>0.03</v>
      </c>
      <c r="J11" s="2882">
        <f>H11*(1+I11)</f>
        <v>0</v>
      </c>
      <c r="K11" s="2911">
        <f>I11</f>
        <v>0.03</v>
      </c>
      <c r="L11" s="2882">
        <f>J11*(1+K11)</f>
        <v>0</v>
      </c>
      <c r="M11" s="2912">
        <f>K11</f>
        <v>0.03</v>
      </c>
      <c r="N11" s="2882">
        <f>L11*(1+M11)</f>
        <v>0</v>
      </c>
    </row>
    <row r="12" spans="1:14" s="48" customFormat="1" ht="15">
      <c r="A12" s="2880" t="s">
        <v>1129</v>
      </c>
      <c r="B12" s="2881">
        <v>3</v>
      </c>
      <c r="C12" s="2987">
        <v>0</v>
      </c>
      <c r="D12" s="2988" t="str">
        <f>CONCATENATE(Parameters!$H$11,"/",IF(B12=12,"month",  IF(B12=6,"2 months",IF(B12=4,"quarter",IF(B12=3,"4 months",IF(B12=2,"6 months","year"))   ))   ))</f>
        <v>€/4 months</v>
      </c>
      <c r="E12" s="2882"/>
      <c r="F12" s="2882">
        <f>C12*B12</f>
        <v>0</v>
      </c>
      <c r="G12" s="2911">
        <v>0.03</v>
      </c>
      <c r="H12" s="2882">
        <f>F12*(1+G12)</f>
        <v>0</v>
      </c>
      <c r="I12" s="2912">
        <f>G12</f>
        <v>0.03</v>
      </c>
      <c r="J12" s="2882">
        <f>H12*(1+I12)</f>
        <v>0</v>
      </c>
      <c r="K12" s="2911">
        <f>I12</f>
        <v>0.03</v>
      </c>
      <c r="L12" s="2882">
        <f>J12*(1+K12)</f>
        <v>0</v>
      </c>
      <c r="M12" s="2912">
        <f>K12</f>
        <v>0.03</v>
      </c>
      <c r="N12" s="2882">
        <f>L12*(1+M12)</f>
        <v>0</v>
      </c>
    </row>
    <row r="13" spans="1:14" s="48" customFormat="1" ht="15">
      <c r="A13" s="2883"/>
      <c r="B13" s="2884"/>
      <c r="C13" s="2884"/>
      <c r="D13" s="2884"/>
      <c r="E13" s="2109"/>
      <c r="F13" s="2878"/>
      <c r="G13" s="2109"/>
      <c r="H13" s="2878"/>
      <c r="I13" s="34"/>
      <c r="J13" s="2878"/>
      <c r="K13" s="2109"/>
      <c r="L13" s="2878"/>
      <c r="M13" s="34"/>
      <c r="N13" s="2878"/>
    </row>
    <row r="14" spans="1:14" s="48" customFormat="1" ht="18.75" customHeight="1">
      <c r="A14" s="2980"/>
      <c r="B14" s="2981"/>
      <c r="C14" s="2981"/>
      <c r="D14" s="2982" t="s">
        <v>1123</v>
      </c>
      <c r="E14" s="2983" t="str">
        <f>Parameters!D62&amp;" :"</f>
        <v>Year 0 :</v>
      </c>
      <c r="F14" s="2984">
        <f ca="1">SUM(F7:F8,F11:F12)</f>
        <v>215.99999999999994</v>
      </c>
      <c r="G14" s="3052">
        <f>Parameters!E62</f>
        <v>1</v>
      </c>
      <c r="H14" s="2984">
        <f ca="1">SUM(H7:H8,H11:H12)</f>
        <v>370.8</v>
      </c>
      <c r="I14" s="3052">
        <f>G14+1</f>
        <v>2</v>
      </c>
      <c r="J14" s="2984">
        <f ca="1">SUM(J7:J8,J11:J12)</f>
        <v>401.02019999999993</v>
      </c>
      <c r="K14" s="3052">
        <f>I14+1</f>
        <v>3</v>
      </c>
      <c r="L14" s="2984">
        <f ca="1">SUM(L7:L8,L11:L12)</f>
        <v>433.90003716000001</v>
      </c>
      <c r="M14" s="3052">
        <f>K14+1</f>
        <v>4</v>
      </c>
      <c r="N14" s="2984">
        <f ca="1">SUM(N7:N8,N11:N12)</f>
        <v>469.20211271279999</v>
      </c>
    </row>
    <row r="15" spans="1:14" ht="20.25" customHeight="1" thickBot="1">
      <c r="A15" s="2885"/>
      <c r="B15" s="2886"/>
      <c r="C15" s="2886"/>
      <c r="D15" s="2979" t="s">
        <v>1189</v>
      </c>
      <c r="E15" s="2885"/>
      <c r="F15" s="3080">
        <f ca="1">IFERROR(('Yearly Income St'!B13-F14)/F14,0)</f>
        <v>29.000000000000007</v>
      </c>
      <c r="G15" s="2886"/>
      <c r="H15" s="3080">
        <f ca="1">IFERROR(('Yearly Income St'!D13-H14)/H14,0)</f>
        <v>29</v>
      </c>
      <c r="I15" s="2885"/>
      <c r="J15" s="3080">
        <f ca="1">IFERROR(('Yearly Income St'!G13-J14)/J14,0)</f>
        <v>28.999999999999996</v>
      </c>
      <c r="K15" s="2886"/>
      <c r="L15" s="3080">
        <f ca="1">IFERROR(('Yearly Income St'!J13-L14)/L14,0)</f>
        <v>29</v>
      </c>
      <c r="M15" s="2885"/>
      <c r="N15" s="3080">
        <f ca="1">IFERROR(('Yearly Income St'!M13-N14)/N14,0)</f>
        <v>28.999999999999996</v>
      </c>
    </row>
    <row r="17" spans="1:14" ht="15" thickBot="1">
      <c r="D17" s="2904"/>
    </row>
    <row r="18" spans="1:14" s="48" customFormat="1" ht="27.75" customHeight="1">
      <c r="A18" s="721" t="s">
        <v>1139</v>
      </c>
      <c r="B18" s="2913"/>
      <c r="C18" s="2914"/>
      <c r="D18" s="2915"/>
      <c r="E18" s="2916" t="str">
        <f>E$5</f>
        <v>Year 0:   2026</v>
      </c>
      <c r="F18" s="2917"/>
      <c r="G18" s="2916" t="str">
        <f>G$5</f>
        <v>Year 1:   2027</v>
      </c>
      <c r="H18" s="2917"/>
      <c r="I18" s="2916" t="str">
        <f>I$5</f>
        <v>Year 2:   2028</v>
      </c>
      <c r="J18" s="2917"/>
      <c r="K18" s="2916" t="str">
        <f>K$5</f>
        <v>Year 3:   2029</v>
      </c>
      <c r="L18" s="2917"/>
      <c r="M18" s="2916" t="str">
        <f>M$5</f>
        <v>Year 4:   2030</v>
      </c>
      <c r="N18" s="2917"/>
    </row>
    <row r="19" spans="1:14" s="48" customFormat="1" ht="18.75" customHeight="1">
      <c r="A19" s="2918"/>
      <c r="B19" s="2919"/>
      <c r="C19" s="2920"/>
      <c r="D19" s="2921" t="s">
        <v>1140</v>
      </c>
      <c r="E19" s="2922"/>
      <c r="F19" s="3040">
        <f ca="1">+'Sales Forecasts'!P6</f>
        <v>7199.9999999999991</v>
      </c>
      <c r="G19" s="2923"/>
      <c r="H19" s="3040">
        <f>+'Sales Forecasts'!P19</f>
        <v>12000</v>
      </c>
      <c r="I19" s="2923"/>
      <c r="J19" s="3040">
        <f>+'Sales Forecasts'!P32</f>
        <v>12600</v>
      </c>
      <c r="K19" s="2923"/>
      <c r="L19" s="3040">
        <f>+'Sales Forecasts'!P45</f>
        <v>13236</v>
      </c>
      <c r="M19" s="2923"/>
      <c r="N19" s="3040">
        <f>+'Sales Forecasts'!P58</f>
        <v>13896</v>
      </c>
    </row>
    <row r="20" spans="1:14" s="48" customFormat="1" ht="18.75" customHeight="1">
      <c r="A20" s="2918"/>
      <c r="B20" s="2919"/>
      <c r="C20" s="2919"/>
      <c r="D20" s="2924" t="s">
        <v>1134</v>
      </c>
      <c r="E20" s="2918"/>
      <c r="F20" s="2925">
        <f ca="1">IFERROR(F14/F19,0)</f>
        <v>2.9999999999999995E-2</v>
      </c>
      <c r="G20" s="2918"/>
      <c r="H20" s="2926">
        <f ca="1">IFERROR(H14/H19,0)</f>
        <v>3.09E-2</v>
      </c>
      <c r="I20" s="320"/>
      <c r="J20" s="2926">
        <f ca="1">IFERROR(J14/J19,0)</f>
        <v>3.1826999999999994E-2</v>
      </c>
      <c r="K20" s="320"/>
      <c r="L20" s="2926">
        <f ca="1">IFERROR(L14/L19,0)</f>
        <v>3.2781810000000002E-2</v>
      </c>
      <c r="M20" s="320"/>
      <c r="N20" s="2926">
        <f ca="1">IFERROR(N14/N19,0)</f>
        <v>3.37652643E-2</v>
      </c>
    </row>
    <row r="21" spans="1:14" s="48" customFormat="1" ht="18.75" customHeight="1">
      <c r="A21" s="320"/>
      <c r="B21" s="2919" t="s">
        <v>1135</v>
      </c>
      <c r="C21" s="2919"/>
      <c r="D21" s="2927"/>
      <c r="E21" s="2918"/>
      <c r="F21" s="2927"/>
      <c r="G21" s="2918"/>
      <c r="H21" s="2928"/>
      <c r="I21" s="320"/>
      <c r="J21" s="2928"/>
      <c r="K21" s="320"/>
      <c r="L21" s="2928"/>
      <c r="M21" s="320"/>
      <c r="N21" s="2928"/>
    </row>
    <row r="22" spans="1:14" s="48" customFormat="1" ht="18.75" customHeight="1">
      <c r="A22" s="320"/>
      <c r="B22" s="2920"/>
      <c r="C22" s="2920"/>
      <c r="D22" s="2929" t="str">
        <f>"Purchase per client: Mean Ticket ( "&amp;Parameters!$H$11&amp;"/año )"</f>
        <v>Purchase per client: Mean Ticket ( €/año )</v>
      </c>
      <c r="E22" s="320"/>
      <c r="F22" s="2930">
        <f ca="1">'5 years Sales Summary'!B27/'Sales Forecasts'!N14</f>
        <v>1</v>
      </c>
      <c r="G22" s="2931"/>
      <c r="H22" s="2930">
        <f ca="1">'Yearly Income St'!D7/'Sales Forecasts'!N27</f>
        <v>1.03</v>
      </c>
      <c r="I22" s="2931"/>
      <c r="J22" s="2930">
        <f ca="1">'Yearly Income St'!G7/'Sales Forecasts'!N40</f>
        <v>1.0609</v>
      </c>
      <c r="K22" s="2931"/>
      <c r="L22" s="2930">
        <f ca="1">'Yearly Income St'!J7/'Sales Forecasts'!N53</f>
        <v>1.092727</v>
      </c>
      <c r="M22" s="2931"/>
      <c r="N22" s="2930">
        <f ca="1">'Yearly Income St'!M7/'Sales Forecasts'!N66</f>
        <v>1.1255088099999999</v>
      </c>
    </row>
    <row r="23" spans="1:14" s="48" customFormat="1" ht="18.75" customHeight="1" thickBot="1">
      <c r="A23" s="321"/>
      <c r="B23" s="2932"/>
      <c r="C23" s="2932"/>
      <c r="D23" s="2933" t="str">
        <f>"Gross Margin ( % )"</f>
        <v>Gross Margin ( % )</v>
      </c>
      <c r="E23" s="321"/>
      <c r="F23" s="2934">
        <f ca="1">'Basic Ratios'!C11</f>
        <v>0.9</v>
      </c>
      <c r="G23" s="321"/>
      <c r="H23" s="2934">
        <f ca="1">'Basic Ratios'!D11</f>
        <v>0.9</v>
      </c>
      <c r="I23" s="321"/>
      <c r="J23" s="2934">
        <f ca="1">'Basic Ratios'!E11</f>
        <v>0.89999999999999991</v>
      </c>
      <c r="K23" s="321"/>
      <c r="L23" s="2934">
        <f ca="1">'Basic Ratios'!F11</f>
        <v>0.9</v>
      </c>
      <c r="M23" s="321"/>
      <c r="N23" s="2934">
        <f ca="1">'Basic Ratios'!G11</f>
        <v>0.89999999999999991</v>
      </c>
    </row>
    <row r="24" spans="1:14" s="48" customFormat="1" ht="15">
      <c r="F24" s="2935" t="str">
        <f ca="1">IF(AND(F20&lt;F22,H20&lt;H22,J20&lt;J22,L20&lt;L22,N20&lt;N22),"","CAC &gt; Mean Ticket -&gt;&gt;  The first sale is not enough to cover the client adquisition cost")</f>
        <v/>
      </c>
    </row>
    <row r="25" spans="1:14" s="48" customFormat="1" ht="15.75" thickBot="1"/>
    <row r="26" spans="1:14" s="48" customFormat="1" ht="20.25" customHeight="1">
      <c r="A26" s="3078"/>
      <c r="B26" s="771"/>
      <c r="C26" s="3077" t="s">
        <v>1188</v>
      </c>
      <c r="D26" s="2974" t="s">
        <v>1136</v>
      </c>
      <c r="E26" s="818"/>
      <c r="F26" s="2975">
        <v>10</v>
      </c>
      <c r="G26" s="771"/>
      <c r="H26" s="2976">
        <f t="shared" ref="H26:N27" si="0">F26</f>
        <v>10</v>
      </c>
      <c r="I26" s="818"/>
      <c r="J26" s="2975">
        <f t="shared" si="0"/>
        <v>10</v>
      </c>
      <c r="K26" s="771"/>
      <c r="L26" s="2976">
        <f t="shared" si="0"/>
        <v>10</v>
      </c>
      <c r="M26" s="818"/>
      <c r="N26" s="2975">
        <f t="shared" si="0"/>
        <v>10</v>
      </c>
    </row>
    <row r="27" spans="1:14" s="48" customFormat="1" ht="19.5" customHeight="1" thickBot="1">
      <c r="A27" s="2977"/>
      <c r="B27" s="821"/>
      <c r="C27" s="2973" t="s">
        <v>1141</v>
      </c>
      <c r="D27" s="2978" t="s">
        <v>1137</v>
      </c>
      <c r="E27" s="820"/>
      <c r="F27" s="2971">
        <v>3</v>
      </c>
      <c r="G27" s="821"/>
      <c r="H27" s="2972">
        <f t="shared" si="0"/>
        <v>3</v>
      </c>
      <c r="I27" s="820"/>
      <c r="J27" s="2971">
        <f t="shared" si="0"/>
        <v>3</v>
      </c>
      <c r="K27" s="821"/>
      <c r="L27" s="2972">
        <f t="shared" si="0"/>
        <v>3</v>
      </c>
      <c r="M27" s="820"/>
      <c r="N27" s="2971">
        <f t="shared" si="0"/>
        <v>3</v>
      </c>
    </row>
    <row r="28" spans="1:14" s="48" customFormat="1" ht="15.75" thickBot="1">
      <c r="A28" s="2908"/>
      <c r="B28" s="2908"/>
      <c r="C28" s="2936"/>
      <c r="D28" s="2936"/>
    </row>
    <row r="29" spans="1:14" s="48" customFormat="1" ht="28.5" customHeight="1">
      <c r="A29" s="721" t="s">
        <v>1142</v>
      </c>
      <c r="B29" s="2913"/>
      <c r="C29" s="2914"/>
      <c r="D29" s="2915"/>
      <c r="E29" s="2916" t="str">
        <f>E$5</f>
        <v>Year 0:   2026</v>
      </c>
      <c r="F29" s="2917"/>
      <c r="G29" s="2916" t="str">
        <f>G$5</f>
        <v>Year 1:   2027</v>
      </c>
      <c r="H29" s="2917"/>
      <c r="I29" s="2916" t="str">
        <f>I$5</f>
        <v>Year 2:   2028</v>
      </c>
      <c r="J29" s="2917"/>
      <c r="K29" s="2916" t="str">
        <f>K$5</f>
        <v>Year 3:   2029</v>
      </c>
      <c r="L29" s="2917"/>
      <c r="M29" s="2916" t="str">
        <f>M$5</f>
        <v>Year 4:   2030</v>
      </c>
      <c r="N29" s="2917"/>
    </row>
    <row r="30" spans="1:14" s="48" customFormat="1" ht="19.5" customHeight="1">
      <c r="A30" s="2918"/>
      <c r="B30" s="2919"/>
      <c r="C30" s="2920"/>
      <c r="D30" s="2921" t="s">
        <v>1143</v>
      </c>
      <c r="E30" s="320"/>
      <c r="F30" s="2930">
        <f ca="1">F22*F26*F27*F23</f>
        <v>27</v>
      </c>
      <c r="G30" s="2931"/>
      <c r="H30" s="2930">
        <f ca="1">H22*H26*H27*H23</f>
        <v>27.810000000000002</v>
      </c>
      <c r="I30" s="2931"/>
      <c r="J30" s="2930">
        <f ca="1">J22*J26*J27*J23</f>
        <v>28.644299999999994</v>
      </c>
      <c r="K30" s="2931"/>
      <c r="L30" s="2930">
        <f ca="1">L22*L26*L27*L23</f>
        <v>29.503629</v>
      </c>
      <c r="M30" s="2931"/>
      <c r="N30" s="2930">
        <f ca="1">N22*N26*N27*N23</f>
        <v>30.388737869999996</v>
      </c>
    </row>
    <row r="31" spans="1:14" s="48" customFormat="1" ht="19.5" customHeight="1" thickBot="1">
      <c r="A31" s="2937"/>
      <c r="B31" s="2938"/>
      <c r="C31" s="2932"/>
      <c r="D31" s="2939" t="s">
        <v>1138</v>
      </c>
      <c r="E31" s="321" t="s">
        <v>1135</v>
      </c>
      <c r="F31" s="2940">
        <f ca="1">IFERROR(F30/F20,0)</f>
        <v>900.00000000000011</v>
      </c>
      <c r="G31" s="321" t="s">
        <v>1135</v>
      </c>
      <c r="H31" s="2940">
        <f ca="1">IFERROR(H30/H20,0)</f>
        <v>900.00000000000011</v>
      </c>
      <c r="I31" s="321" t="s">
        <v>1135</v>
      </c>
      <c r="J31" s="2940">
        <f ca="1">IFERROR(J30/J20,0)</f>
        <v>900</v>
      </c>
      <c r="K31" s="321" t="s">
        <v>1135</v>
      </c>
      <c r="L31" s="2940">
        <f ca="1">IFERROR(L30/L20,0)</f>
        <v>900</v>
      </c>
      <c r="M31" s="321" t="s">
        <v>1135</v>
      </c>
      <c r="N31" s="2940">
        <f ca="1">IFERROR(N30/N20,0)</f>
        <v>899.99999999999989</v>
      </c>
    </row>
    <row r="32" spans="1:14" s="48" customFormat="1" ht="15"/>
    <row r="33" spans="1:14" s="48" customFormat="1" ht="15">
      <c r="F33" s="2368" t="str">
        <f ca="1">IF(AND(F30&gt;F20,H30&gt;H20,J30&gt;J20,L30&gt;L20,N30&gt;N20),"LTV &gt; CAC: lo que deja un cliente es mayor que el coste que supone adquirirlo","LTV &lt; CAC: the margin from a client is LESS than the adquisition cost")</f>
        <v>LTV &gt; CAC: lo que deja un cliente es mayor que el coste que supone adquirirlo</v>
      </c>
    </row>
    <row r="34" spans="1:14" s="48" customFormat="1" ht="15">
      <c r="F34" s="2368" t="s">
        <v>1144</v>
      </c>
    </row>
    <row r="35" spans="1:14" s="48" customFormat="1" ht="15"/>
    <row r="36" spans="1:14" s="48" customFormat="1" ht="15.75" thickBot="1"/>
    <row r="37" spans="1:14" s="48" customFormat="1" ht="20.25" customHeight="1">
      <c r="A37" s="3021"/>
      <c r="B37" s="3022"/>
      <c r="C37" s="3023" t="s">
        <v>1191</v>
      </c>
      <c r="D37" s="3024" t="s">
        <v>1194</v>
      </c>
      <c r="E37" s="818"/>
      <c r="F37" s="3025">
        <f>IF(F27=0,0,1/F27)</f>
        <v>0.33333333333333331</v>
      </c>
      <c r="G37" s="3026"/>
      <c r="H37" s="3025">
        <f>IF(H27=0,0,1/H27)</f>
        <v>0.33333333333333331</v>
      </c>
      <c r="I37" s="3027"/>
      <c r="J37" s="3025">
        <f>IF(J27=0,0,1/J27)</f>
        <v>0.33333333333333331</v>
      </c>
      <c r="K37" s="3026"/>
      <c r="L37" s="3025">
        <f>IF(L27=0,0,1/L27)</f>
        <v>0.33333333333333331</v>
      </c>
      <c r="M37" s="3027"/>
      <c r="N37" s="3028">
        <f>IF(N27=0,0,1/N27)</f>
        <v>0.33333333333333331</v>
      </c>
    </row>
    <row r="38" spans="1:14" s="48" customFormat="1" ht="19.5" customHeight="1" thickBot="1">
      <c r="A38" s="3029"/>
      <c r="B38" s="834"/>
      <c r="C38" s="3030" t="s">
        <v>1192</v>
      </c>
      <c r="D38" s="3031" t="s">
        <v>1193</v>
      </c>
      <c r="E38" s="820"/>
      <c r="F38" s="3032">
        <f>1-F37</f>
        <v>0.66666666666666674</v>
      </c>
      <c r="G38" s="2886"/>
      <c r="H38" s="3032">
        <f>1-H37</f>
        <v>0.66666666666666674</v>
      </c>
      <c r="I38" s="2885"/>
      <c r="J38" s="3032">
        <f>1-J37</f>
        <v>0.66666666666666674</v>
      </c>
      <c r="K38" s="2886"/>
      <c r="L38" s="3032">
        <f>1-L37</f>
        <v>0.66666666666666674</v>
      </c>
      <c r="M38" s="2885"/>
      <c r="N38" s="3033">
        <f>1-N37</f>
        <v>0.66666666666666674</v>
      </c>
    </row>
  </sheetData>
  <sheetProtection sheet="1" objects="1" scenarios="1"/>
  <conditionalFormatting sqref="F33">
    <cfRule type="expression" dxfId="29" priority="13" stopIfTrue="1">
      <formula>OR(F30&lt;F20,H30&lt;H20,J30&lt;J20,L30&lt;L20,N30&lt;N20)</formula>
    </cfRule>
  </conditionalFormatting>
  <dataValidations count="1">
    <dataValidation type="list" allowBlank="1" showInputMessage="1" showErrorMessage="1" sqref="B11:B12" xr:uid="{00000000-0002-0000-1000-000000000000}">
      <formula1>"12,6,4,3,2,1"</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31">
    <tabColor theme="6" tint="-0.249977111117893"/>
    <pageSetUpPr fitToPage="1"/>
  </sheetPr>
  <dimension ref="A1:X33"/>
  <sheetViews>
    <sheetView showGridLines="0" workbookViewId="0">
      <pane xSplit="3" topLeftCell="D1" activePane="topRight" state="frozenSplit"/>
      <selection activeCell="E23" sqref="E23"/>
      <selection pane="topRight" activeCell="B21" sqref="B21"/>
    </sheetView>
  </sheetViews>
  <sheetFormatPr baseColWidth="10" defaultColWidth="11" defaultRowHeight="15"/>
  <cols>
    <col min="1" max="1" width="30.625" style="35" customWidth="1"/>
    <col min="2" max="3" width="10.125" style="35" customWidth="1"/>
    <col min="4" max="4" width="9.875" style="35" hidden="1" customWidth="1"/>
    <col min="5" max="16" width="8.625" style="35" hidden="1" customWidth="1"/>
    <col min="17" max="17" width="11.875" style="35" customWidth="1"/>
    <col min="18" max="18" width="8.875" style="35" customWidth="1"/>
    <col min="19" max="19" width="11" style="35"/>
    <col min="20" max="20" width="8.875" style="35" hidden="1" customWidth="1"/>
    <col min="21" max="23" width="8.875" style="35" customWidth="1"/>
    <col min="24" max="24" width="9.75" style="35" customWidth="1"/>
    <col min="25" max="16384" width="11" style="35"/>
  </cols>
  <sheetData>
    <row r="1" spans="1:24" ht="19.5">
      <c r="A1" s="390" t="s">
        <v>550</v>
      </c>
      <c r="B1" s="60"/>
      <c r="C1" s="60"/>
      <c r="D1" s="60"/>
      <c r="E1" s="61"/>
      <c r="F1" s="61"/>
      <c r="G1" s="61"/>
    </row>
    <row r="2" spans="1:24" ht="22.5">
      <c r="A2" s="66" t="str">
        <f>'Base Data'!B9</f>
        <v>WWW, Ltd.</v>
      </c>
      <c r="B2" s="60"/>
      <c r="C2" s="60"/>
      <c r="D2" s="60"/>
      <c r="E2" s="2227">
        <v>1</v>
      </c>
      <c r="F2" s="2227">
        <v>2</v>
      </c>
      <c r="G2" s="2227">
        <v>3</v>
      </c>
      <c r="H2" s="2227">
        <v>4</v>
      </c>
      <c r="I2" s="2227">
        <v>5</v>
      </c>
      <c r="J2" s="2227">
        <v>6</v>
      </c>
      <c r="K2" s="2227">
        <v>7</v>
      </c>
      <c r="L2" s="2227">
        <v>8</v>
      </c>
      <c r="M2" s="2227">
        <v>9</v>
      </c>
      <c r="N2" s="2227">
        <v>10</v>
      </c>
      <c r="O2" s="2227">
        <v>11</v>
      </c>
      <c r="P2" s="2227">
        <v>12</v>
      </c>
    </row>
    <row r="3" spans="1:24" ht="23.25" thickBot="1">
      <c r="A3" s="66"/>
      <c r="B3" s="60"/>
      <c r="C3" s="60"/>
      <c r="D3" s="2227" t="s">
        <v>132</v>
      </c>
      <c r="E3" s="2227" t="b">
        <f t="shared" ref="E3:P3" si="0">AND(E$2&gt;=inicioTemporada,E$2&lt;=finTemporada)</f>
        <v>1</v>
      </c>
      <c r="F3" s="2227" t="b">
        <f t="shared" si="0"/>
        <v>1</v>
      </c>
      <c r="G3" s="2227" t="b">
        <f t="shared" si="0"/>
        <v>1</v>
      </c>
      <c r="H3" s="2227" t="b">
        <f t="shared" si="0"/>
        <v>1</v>
      </c>
      <c r="I3" s="2227" t="b">
        <f t="shared" si="0"/>
        <v>1</v>
      </c>
      <c r="J3" s="2227" t="b">
        <f t="shared" si="0"/>
        <v>1</v>
      </c>
      <c r="K3" s="2227" t="b">
        <f t="shared" si="0"/>
        <v>1</v>
      </c>
      <c r="L3" s="2227" t="b">
        <f t="shared" si="0"/>
        <v>1</v>
      </c>
      <c r="M3" s="2227" t="b">
        <f t="shared" si="0"/>
        <v>1</v>
      </c>
      <c r="N3" s="2227" t="b">
        <f t="shared" si="0"/>
        <v>1</v>
      </c>
      <c r="O3" s="2227" t="b">
        <f t="shared" si="0"/>
        <v>1</v>
      </c>
      <c r="P3" s="2227" t="b">
        <f t="shared" si="0"/>
        <v>1</v>
      </c>
    </row>
    <row r="4" spans="1:24" ht="15.75" thickBot="1">
      <c r="E4" s="981"/>
      <c r="F4" s="981">
        <v>6</v>
      </c>
      <c r="G4" s="981">
        <v>4</v>
      </c>
      <c r="H4" s="981" t="s">
        <v>133</v>
      </c>
      <c r="I4" s="981">
        <v>1</v>
      </c>
      <c r="J4" s="981" t="s">
        <v>134</v>
      </c>
      <c r="K4" s="981"/>
      <c r="L4" s="981" t="s">
        <v>133</v>
      </c>
      <c r="M4" s="981">
        <v>4</v>
      </c>
      <c r="N4" s="981">
        <v>6</v>
      </c>
      <c r="O4" s="981"/>
      <c r="P4" s="981" t="s">
        <v>135</v>
      </c>
      <c r="U4" s="1948" t="s">
        <v>1073</v>
      </c>
      <c r="V4" s="62"/>
      <c r="W4" s="63"/>
      <c r="X4" s="63"/>
    </row>
    <row r="5" spans="1:24" s="48" customFormat="1" ht="26.25" customHeight="1" thickTop="1" thickBot="1">
      <c r="A5" s="1354" t="s">
        <v>530</v>
      </c>
      <c r="B5" s="1355" t="s">
        <v>527</v>
      </c>
      <c r="C5" s="1973" t="s">
        <v>528</v>
      </c>
      <c r="D5" s="1974" t="s">
        <v>210</v>
      </c>
      <c r="E5" s="1356" t="str">
        <f t="array" ref="E5:P5">meses</f>
        <v>January</v>
      </c>
      <c r="F5" s="1357" t="str">
        <v>February</v>
      </c>
      <c r="G5" s="1357" t="str">
        <v>March</v>
      </c>
      <c r="H5" s="1357" t="str">
        <v>April</v>
      </c>
      <c r="I5" s="1357" t="str">
        <v>May</v>
      </c>
      <c r="J5" s="1357" t="str">
        <v>June</v>
      </c>
      <c r="K5" s="1357" t="str">
        <v>July</v>
      </c>
      <c r="L5" s="1357" t="str">
        <v>August</v>
      </c>
      <c r="M5" s="1358" t="str">
        <v>September</v>
      </c>
      <c r="N5" s="1358" t="str">
        <v>October</v>
      </c>
      <c r="O5" s="1358" t="str">
        <v>November</v>
      </c>
      <c r="P5" s="1359" t="str">
        <v>December</v>
      </c>
      <c r="Q5" s="2836" t="s">
        <v>529</v>
      </c>
      <c r="R5" s="2837" t="s">
        <v>3</v>
      </c>
      <c r="T5" s="2754" t="str">
        <f t="array" ref="T5:X5">anni</f>
        <v>Year 0:   2026</v>
      </c>
      <c r="U5" s="1949" t="str">
        <v>Year 1:   2027</v>
      </c>
      <c r="V5" s="1950" t="str">
        <v>Year 2:   2028</v>
      </c>
      <c r="W5" s="1951" t="str">
        <v>Year 3:   2029</v>
      </c>
      <c r="X5" s="1951" t="str">
        <v>Year 4:   2030</v>
      </c>
    </row>
    <row r="6" spans="1:24" ht="15.75" thickBot="1">
      <c r="A6" s="1991" t="s">
        <v>534</v>
      </c>
      <c r="B6" s="1977">
        <v>0</v>
      </c>
      <c r="C6" s="1978">
        <v>1</v>
      </c>
      <c r="D6" s="1976" t="s">
        <v>25</v>
      </c>
      <c r="E6" s="1979">
        <f>IF(AND($C6=1,E$2=5),$B6,IF(AND($C6=1,E$2=12),-$B6))
+IF(NOT(MOD(E$2,12/$C6)),$B6,0)    *    IF(OR($D6="No",E$3),1,0)</f>
        <v>0</v>
      </c>
      <c r="F6" s="1980">
        <f t="shared" ref="E6:P15" si="1">IF(AND($C6=1,F$2=5),$B6,IF(AND($C6=1,F$2=12),-$B6))
+IF(NOT(MOD(F$2,12/$C6)),$B6,0)    *    IF(OR($D6="No",F$3),1,0)</f>
        <v>0</v>
      </c>
      <c r="G6" s="1980">
        <f t="shared" si="1"/>
        <v>0</v>
      </c>
      <c r="H6" s="1980">
        <f t="shared" si="1"/>
        <v>0</v>
      </c>
      <c r="I6" s="1980">
        <f t="shared" si="1"/>
        <v>0</v>
      </c>
      <c r="J6" s="1980">
        <f t="shared" si="1"/>
        <v>0</v>
      </c>
      <c r="K6" s="1980">
        <f t="shared" si="1"/>
        <v>0</v>
      </c>
      <c r="L6" s="1980">
        <f t="shared" si="1"/>
        <v>0</v>
      </c>
      <c r="M6" s="1980">
        <f t="shared" si="1"/>
        <v>0</v>
      </c>
      <c r="N6" s="1980">
        <f t="shared" si="1"/>
        <v>0</v>
      </c>
      <c r="O6" s="1980">
        <f t="shared" si="1"/>
        <v>0</v>
      </c>
      <c r="P6" s="1981">
        <f t="shared" si="1"/>
        <v>0</v>
      </c>
      <c r="Q6" s="2838">
        <f t="shared" ref="Q6:Q27" si="2">SUM(E6:P6)</f>
        <v>0</v>
      </c>
      <c r="R6" s="2839">
        <f t="array" aca="1" ref="R6:R27" ca="1">IFERROR(Q6:Q27/$Q$28,0)</f>
        <v>0</v>
      </c>
      <c r="T6" s="2755">
        <f t="shared" ref="T6:T27" si="3">Q6</f>
        <v>0</v>
      </c>
      <c r="U6" s="2761">
        <f t="shared" ref="U6:U27" si="4">Q6*1.04</f>
        <v>0</v>
      </c>
      <c r="V6" s="2762">
        <f t="shared" ref="V6:W27" si="5">U6*1.04</f>
        <v>0</v>
      </c>
      <c r="W6" s="2763">
        <f t="shared" si="5"/>
        <v>0</v>
      </c>
      <c r="X6" s="2764">
        <f t="shared" ref="X6:X27" si="6">W6*1.04</f>
        <v>0</v>
      </c>
    </row>
    <row r="7" spans="1:24" ht="15.75" thickBot="1">
      <c r="A7" s="1991" t="str">
        <f>"Other fixed expenses ( "&amp;'Base Data'!$A$28&amp;" exempted)"</f>
        <v>Other fixed expenses ( VAT exempted)</v>
      </c>
      <c r="B7" s="1977">
        <v>0</v>
      </c>
      <c r="C7" s="1978">
        <v>1</v>
      </c>
      <c r="D7" s="1976" t="s">
        <v>25</v>
      </c>
      <c r="E7" s="1979">
        <f t="shared" si="1"/>
        <v>0</v>
      </c>
      <c r="F7" s="1980">
        <f t="shared" si="1"/>
        <v>0</v>
      </c>
      <c r="G7" s="1980">
        <f t="shared" si="1"/>
        <v>0</v>
      </c>
      <c r="H7" s="1980">
        <f t="shared" si="1"/>
        <v>0</v>
      </c>
      <c r="I7" s="1980">
        <f t="shared" si="1"/>
        <v>0</v>
      </c>
      <c r="J7" s="1980">
        <f t="shared" si="1"/>
        <v>0</v>
      </c>
      <c r="K7" s="1980">
        <f t="shared" si="1"/>
        <v>0</v>
      </c>
      <c r="L7" s="1980">
        <f t="shared" si="1"/>
        <v>0</v>
      </c>
      <c r="M7" s="1980">
        <f t="shared" si="1"/>
        <v>0</v>
      </c>
      <c r="N7" s="1980">
        <f t="shared" si="1"/>
        <v>0</v>
      </c>
      <c r="O7" s="1980">
        <f t="shared" si="1"/>
        <v>0</v>
      </c>
      <c r="P7" s="1980">
        <f t="shared" si="1"/>
        <v>0</v>
      </c>
      <c r="Q7" s="2840">
        <f t="shared" si="2"/>
        <v>0</v>
      </c>
      <c r="R7" s="2839">
        <f ca="1"/>
        <v>0</v>
      </c>
      <c r="T7" s="2756">
        <f t="shared" si="3"/>
        <v>0</v>
      </c>
      <c r="U7" s="2765">
        <f t="shared" si="4"/>
        <v>0</v>
      </c>
      <c r="V7" s="2766">
        <f t="shared" si="5"/>
        <v>0</v>
      </c>
      <c r="W7" s="2766">
        <f t="shared" si="5"/>
        <v>0</v>
      </c>
      <c r="X7" s="2767">
        <f t="shared" si="6"/>
        <v>0</v>
      </c>
    </row>
    <row r="8" spans="1:24" ht="15.75" thickBot="1">
      <c r="A8" s="1991" t="s">
        <v>535</v>
      </c>
      <c r="B8" s="1977">
        <v>0</v>
      </c>
      <c r="C8" s="1978">
        <v>1</v>
      </c>
      <c r="D8" s="1976" t="s">
        <v>25</v>
      </c>
      <c r="E8" s="1979">
        <f t="shared" si="1"/>
        <v>0</v>
      </c>
      <c r="F8" s="1980">
        <f t="shared" si="1"/>
        <v>0</v>
      </c>
      <c r="G8" s="1980">
        <f t="shared" si="1"/>
        <v>0</v>
      </c>
      <c r="H8" s="1980">
        <f t="shared" si="1"/>
        <v>0</v>
      </c>
      <c r="I8" s="1980">
        <f t="shared" si="1"/>
        <v>0</v>
      </c>
      <c r="J8" s="1980">
        <f t="shared" si="1"/>
        <v>0</v>
      </c>
      <c r="K8" s="1980">
        <f t="shared" si="1"/>
        <v>0</v>
      </c>
      <c r="L8" s="1980">
        <f t="shared" si="1"/>
        <v>0</v>
      </c>
      <c r="M8" s="1980">
        <f t="shared" si="1"/>
        <v>0</v>
      </c>
      <c r="N8" s="1980">
        <f t="shared" si="1"/>
        <v>0</v>
      </c>
      <c r="O8" s="1980">
        <f t="shared" si="1"/>
        <v>0</v>
      </c>
      <c r="P8" s="1981">
        <f t="shared" si="1"/>
        <v>0</v>
      </c>
      <c r="Q8" s="2840">
        <f t="shared" si="2"/>
        <v>0</v>
      </c>
      <c r="R8" s="2839">
        <f ca="1"/>
        <v>0</v>
      </c>
      <c r="T8" s="2756">
        <f t="shared" si="3"/>
        <v>0</v>
      </c>
      <c r="U8" s="2765">
        <f t="shared" si="4"/>
        <v>0</v>
      </c>
      <c r="V8" s="2766">
        <f t="shared" si="5"/>
        <v>0</v>
      </c>
      <c r="W8" s="2766">
        <f t="shared" si="5"/>
        <v>0</v>
      </c>
      <c r="X8" s="2767">
        <f t="shared" si="6"/>
        <v>0</v>
      </c>
    </row>
    <row r="9" spans="1:24" ht="15.75" thickBot="1">
      <c r="A9" s="1991" t="s">
        <v>536</v>
      </c>
      <c r="B9" s="1977">
        <v>0</v>
      </c>
      <c r="C9" s="1978">
        <v>2</v>
      </c>
      <c r="D9" s="1976" t="s">
        <v>25</v>
      </c>
      <c r="E9" s="1979">
        <f t="shared" si="1"/>
        <v>0</v>
      </c>
      <c r="F9" s="1980">
        <f t="shared" si="1"/>
        <v>0</v>
      </c>
      <c r="G9" s="1980">
        <f t="shared" si="1"/>
        <v>0</v>
      </c>
      <c r="H9" s="1980">
        <f t="shared" si="1"/>
        <v>0</v>
      </c>
      <c r="I9" s="1980">
        <f t="shared" si="1"/>
        <v>0</v>
      </c>
      <c r="J9" s="1980">
        <f t="shared" si="1"/>
        <v>0</v>
      </c>
      <c r="K9" s="1980">
        <f t="shared" si="1"/>
        <v>0</v>
      </c>
      <c r="L9" s="1980">
        <f t="shared" si="1"/>
        <v>0</v>
      </c>
      <c r="M9" s="1980">
        <f t="shared" si="1"/>
        <v>0</v>
      </c>
      <c r="N9" s="1980">
        <f t="shared" si="1"/>
        <v>0</v>
      </c>
      <c r="O9" s="1980">
        <f t="shared" si="1"/>
        <v>0</v>
      </c>
      <c r="P9" s="1981">
        <f t="shared" si="1"/>
        <v>0</v>
      </c>
      <c r="Q9" s="2840">
        <f t="shared" si="2"/>
        <v>0</v>
      </c>
      <c r="R9" s="2839">
        <f ca="1"/>
        <v>0</v>
      </c>
      <c r="T9" s="2756">
        <f t="shared" si="3"/>
        <v>0</v>
      </c>
      <c r="U9" s="2765">
        <f t="shared" si="4"/>
        <v>0</v>
      </c>
      <c r="V9" s="2766">
        <f t="shared" si="5"/>
        <v>0</v>
      </c>
      <c r="W9" s="2766">
        <f t="shared" si="5"/>
        <v>0</v>
      </c>
      <c r="X9" s="2767">
        <f t="shared" si="6"/>
        <v>0</v>
      </c>
    </row>
    <row r="10" spans="1:24" ht="15.75" thickBot="1">
      <c r="A10" s="1991" t="s">
        <v>537</v>
      </c>
      <c r="B10" s="1977">
        <v>0</v>
      </c>
      <c r="C10" s="1978">
        <v>6</v>
      </c>
      <c r="D10" s="1976" t="s">
        <v>25</v>
      </c>
      <c r="E10" s="1979">
        <f t="shared" si="1"/>
        <v>0</v>
      </c>
      <c r="F10" s="1980">
        <f t="shared" si="1"/>
        <v>0</v>
      </c>
      <c r="G10" s="1980">
        <f t="shared" si="1"/>
        <v>0</v>
      </c>
      <c r="H10" s="1980">
        <f t="shared" si="1"/>
        <v>0</v>
      </c>
      <c r="I10" s="1980">
        <f t="shared" si="1"/>
        <v>0</v>
      </c>
      <c r="J10" s="1980">
        <f t="shared" si="1"/>
        <v>0</v>
      </c>
      <c r="K10" s="1980">
        <f t="shared" si="1"/>
        <v>0</v>
      </c>
      <c r="L10" s="1980">
        <f t="shared" si="1"/>
        <v>0</v>
      </c>
      <c r="M10" s="1980">
        <f t="shared" si="1"/>
        <v>0</v>
      </c>
      <c r="N10" s="1980">
        <f t="shared" si="1"/>
        <v>0</v>
      </c>
      <c r="O10" s="1980">
        <f t="shared" si="1"/>
        <v>0</v>
      </c>
      <c r="P10" s="1980">
        <f t="shared" si="1"/>
        <v>0</v>
      </c>
      <c r="Q10" s="1981">
        <f t="shared" si="2"/>
        <v>0</v>
      </c>
      <c r="R10" s="2839">
        <f ca="1"/>
        <v>0</v>
      </c>
      <c r="T10" s="2756">
        <f t="shared" si="3"/>
        <v>0</v>
      </c>
      <c r="U10" s="2765">
        <f t="shared" si="4"/>
        <v>0</v>
      </c>
      <c r="V10" s="2766">
        <f t="shared" si="5"/>
        <v>0</v>
      </c>
      <c r="W10" s="2766">
        <f t="shared" si="5"/>
        <v>0</v>
      </c>
      <c r="X10" s="2767">
        <f t="shared" si="6"/>
        <v>0</v>
      </c>
    </row>
    <row r="11" spans="1:24" ht="15.75" thickBot="1">
      <c r="A11" s="1991" t="str">
        <f>IF(finTemporada-inicioTemporada&lt;11,"Electricidad "&amp;Parameters!B15&amp;"-"&amp;Parameters!C15,"Electricity (High Season)")</f>
        <v>Electricity (High Season)</v>
      </c>
      <c r="B11" s="1977">
        <v>0</v>
      </c>
      <c r="C11" s="1978">
        <v>12</v>
      </c>
      <c r="D11" s="1976" t="s">
        <v>236</v>
      </c>
      <c r="E11" s="1979">
        <f t="shared" si="1"/>
        <v>0</v>
      </c>
      <c r="F11" s="1980">
        <f t="shared" si="1"/>
        <v>0</v>
      </c>
      <c r="G11" s="1980">
        <f t="shared" si="1"/>
        <v>0</v>
      </c>
      <c r="H11" s="1980">
        <f t="shared" si="1"/>
        <v>0</v>
      </c>
      <c r="I11" s="1980">
        <f t="shared" si="1"/>
        <v>0</v>
      </c>
      <c r="J11" s="1980">
        <f t="shared" si="1"/>
        <v>0</v>
      </c>
      <c r="K11" s="1980">
        <f t="shared" si="1"/>
        <v>0</v>
      </c>
      <c r="L11" s="1980">
        <f t="shared" si="1"/>
        <v>0</v>
      </c>
      <c r="M11" s="1980">
        <f t="shared" si="1"/>
        <v>0</v>
      </c>
      <c r="N11" s="1980">
        <f t="shared" si="1"/>
        <v>0</v>
      </c>
      <c r="O11" s="1980">
        <f t="shared" si="1"/>
        <v>0</v>
      </c>
      <c r="P11" s="1981">
        <f t="shared" si="1"/>
        <v>0</v>
      </c>
      <c r="Q11" s="2840">
        <f t="shared" si="2"/>
        <v>0</v>
      </c>
      <c r="R11" s="2839">
        <f ca="1"/>
        <v>0</v>
      </c>
      <c r="T11" s="2756">
        <f t="shared" si="3"/>
        <v>0</v>
      </c>
      <c r="U11" s="2765">
        <f t="shared" si="4"/>
        <v>0</v>
      </c>
      <c r="V11" s="2766">
        <f t="shared" si="5"/>
        <v>0</v>
      </c>
      <c r="W11" s="2766">
        <f t="shared" si="5"/>
        <v>0</v>
      </c>
      <c r="X11" s="2767">
        <f t="shared" si="6"/>
        <v>0</v>
      </c>
    </row>
    <row r="12" spans="1:24" ht="15.75" thickBot="1">
      <c r="A12" s="1991" t="s">
        <v>538</v>
      </c>
      <c r="B12" s="1977">
        <v>0</v>
      </c>
      <c r="C12" s="1978">
        <v>12</v>
      </c>
      <c r="D12" s="1976" t="s">
        <v>236</v>
      </c>
      <c r="E12" s="1979">
        <f t="shared" si="1"/>
        <v>0</v>
      </c>
      <c r="F12" s="1980">
        <f t="shared" si="1"/>
        <v>0</v>
      </c>
      <c r="G12" s="1980">
        <f t="shared" si="1"/>
        <v>0</v>
      </c>
      <c r="H12" s="1980">
        <f t="shared" si="1"/>
        <v>0</v>
      </c>
      <c r="I12" s="1980">
        <f t="shared" si="1"/>
        <v>0</v>
      </c>
      <c r="J12" s="1980">
        <f t="shared" si="1"/>
        <v>0</v>
      </c>
      <c r="K12" s="1980">
        <f t="shared" si="1"/>
        <v>0</v>
      </c>
      <c r="L12" s="1980">
        <f t="shared" si="1"/>
        <v>0</v>
      </c>
      <c r="M12" s="1980">
        <f t="shared" si="1"/>
        <v>0</v>
      </c>
      <c r="N12" s="1980">
        <f t="shared" si="1"/>
        <v>0</v>
      </c>
      <c r="O12" s="1980">
        <f t="shared" si="1"/>
        <v>0</v>
      </c>
      <c r="P12" s="1981">
        <f t="shared" si="1"/>
        <v>0</v>
      </c>
      <c r="Q12" s="2840">
        <f t="shared" si="2"/>
        <v>0</v>
      </c>
      <c r="R12" s="2839">
        <f ca="1"/>
        <v>0</v>
      </c>
      <c r="T12" s="2756">
        <f t="shared" si="3"/>
        <v>0</v>
      </c>
      <c r="U12" s="2765">
        <f t="shared" si="4"/>
        <v>0</v>
      </c>
      <c r="V12" s="2766">
        <f t="shared" si="5"/>
        <v>0</v>
      </c>
      <c r="W12" s="2766">
        <f t="shared" si="5"/>
        <v>0</v>
      </c>
      <c r="X12" s="2767">
        <f t="shared" si="6"/>
        <v>0</v>
      </c>
    </row>
    <row r="13" spans="1:24" ht="15.75" thickBot="1">
      <c r="A13" s="1991" t="s">
        <v>539</v>
      </c>
      <c r="B13" s="1977">
        <v>0</v>
      </c>
      <c r="C13" s="1978">
        <v>12</v>
      </c>
      <c r="D13" s="1976" t="s">
        <v>236</v>
      </c>
      <c r="E13" s="1979">
        <f t="shared" si="1"/>
        <v>0</v>
      </c>
      <c r="F13" s="1980">
        <f t="shared" si="1"/>
        <v>0</v>
      </c>
      <c r="G13" s="1980">
        <f t="shared" si="1"/>
        <v>0</v>
      </c>
      <c r="H13" s="1980">
        <f t="shared" si="1"/>
        <v>0</v>
      </c>
      <c r="I13" s="1980">
        <f t="shared" si="1"/>
        <v>0</v>
      </c>
      <c r="J13" s="1980">
        <f t="shared" si="1"/>
        <v>0</v>
      </c>
      <c r="K13" s="1980">
        <f t="shared" si="1"/>
        <v>0</v>
      </c>
      <c r="L13" s="1980">
        <f t="shared" si="1"/>
        <v>0</v>
      </c>
      <c r="M13" s="1980">
        <f t="shared" si="1"/>
        <v>0</v>
      </c>
      <c r="N13" s="1980">
        <f t="shared" si="1"/>
        <v>0</v>
      </c>
      <c r="O13" s="1980">
        <f t="shared" si="1"/>
        <v>0</v>
      </c>
      <c r="P13" s="1981">
        <f t="shared" si="1"/>
        <v>0</v>
      </c>
      <c r="Q13" s="2840">
        <f t="shared" si="2"/>
        <v>0</v>
      </c>
      <c r="R13" s="2839">
        <f ca="1"/>
        <v>0</v>
      </c>
      <c r="T13" s="2756">
        <f t="shared" si="3"/>
        <v>0</v>
      </c>
      <c r="U13" s="2765">
        <f t="shared" si="4"/>
        <v>0</v>
      </c>
      <c r="V13" s="2766">
        <f t="shared" si="5"/>
        <v>0</v>
      </c>
      <c r="W13" s="2766">
        <f t="shared" si="5"/>
        <v>0</v>
      </c>
      <c r="X13" s="2767">
        <f t="shared" si="6"/>
        <v>0</v>
      </c>
    </row>
    <row r="14" spans="1:24" ht="15.75" thickBot="1">
      <c r="A14" s="1991" t="s">
        <v>540</v>
      </c>
      <c r="B14" s="1977">
        <v>0</v>
      </c>
      <c r="C14" s="1978">
        <v>12</v>
      </c>
      <c r="D14" s="1976" t="s">
        <v>236</v>
      </c>
      <c r="E14" s="1979">
        <f t="shared" si="1"/>
        <v>0</v>
      </c>
      <c r="F14" s="1980">
        <f t="shared" si="1"/>
        <v>0</v>
      </c>
      <c r="G14" s="1980">
        <f t="shared" si="1"/>
        <v>0</v>
      </c>
      <c r="H14" s="1980">
        <f>IF(AND($C14=1,H$2=5),$B14,IF(AND($C14=1,H$2=12),-$B14))
+IF(NOT(MOD(H$2,12/$C14)),$B14,0)    *    IF(OR($D14="No",H$3),1,0)</f>
        <v>0</v>
      </c>
      <c r="I14" s="1980">
        <f t="shared" si="1"/>
        <v>0</v>
      </c>
      <c r="J14" s="1980">
        <f t="shared" si="1"/>
        <v>0</v>
      </c>
      <c r="K14" s="1980">
        <f t="shared" si="1"/>
        <v>0</v>
      </c>
      <c r="L14" s="1980">
        <f t="shared" si="1"/>
        <v>0</v>
      </c>
      <c r="M14" s="1980">
        <f t="shared" si="1"/>
        <v>0</v>
      </c>
      <c r="N14" s="1980">
        <f t="shared" si="1"/>
        <v>0</v>
      </c>
      <c r="O14" s="1980">
        <f t="shared" si="1"/>
        <v>0</v>
      </c>
      <c r="P14" s="1981">
        <f t="shared" si="1"/>
        <v>0</v>
      </c>
      <c r="Q14" s="2840">
        <f t="shared" si="2"/>
        <v>0</v>
      </c>
      <c r="R14" s="2839">
        <f ca="1"/>
        <v>0</v>
      </c>
      <c r="T14" s="2756">
        <f t="shared" si="3"/>
        <v>0</v>
      </c>
      <c r="U14" s="2765">
        <f t="shared" si="4"/>
        <v>0</v>
      </c>
      <c r="V14" s="2766">
        <f t="shared" si="5"/>
        <v>0</v>
      </c>
      <c r="W14" s="2766">
        <f t="shared" si="5"/>
        <v>0</v>
      </c>
      <c r="X14" s="2767">
        <f t="shared" si="6"/>
        <v>0</v>
      </c>
    </row>
    <row r="15" spans="1:24" ht="15.75" thickBot="1">
      <c r="A15" s="1991" t="s">
        <v>541</v>
      </c>
      <c r="B15" s="1977">
        <v>0</v>
      </c>
      <c r="C15" s="1978">
        <v>2</v>
      </c>
      <c r="D15" s="1976" t="s">
        <v>236</v>
      </c>
      <c r="E15" s="1979">
        <f t="shared" si="1"/>
        <v>0</v>
      </c>
      <c r="F15" s="1980">
        <f t="shared" si="1"/>
        <v>0</v>
      </c>
      <c r="G15" s="1980">
        <f t="shared" si="1"/>
        <v>0</v>
      </c>
      <c r="H15" s="1980">
        <f t="shared" si="1"/>
        <v>0</v>
      </c>
      <c r="I15" s="1980">
        <f t="shared" si="1"/>
        <v>0</v>
      </c>
      <c r="J15" s="1980">
        <f t="shared" si="1"/>
        <v>0</v>
      </c>
      <c r="K15" s="1980">
        <f t="shared" si="1"/>
        <v>0</v>
      </c>
      <c r="L15" s="1980">
        <f t="shared" si="1"/>
        <v>0</v>
      </c>
      <c r="M15" s="1980">
        <f t="shared" si="1"/>
        <v>0</v>
      </c>
      <c r="N15" s="1980">
        <f t="shared" si="1"/>
        <v>0</v>
      </c>
      <c r="O15" s="1980">
        <f t="shared" si="1"/>
        <v>0</v>
      </c>
      <c r="P15" s="1981">
        <f t="shared" si="1"/>
        <v>0</v>
      </c>
      <c r="Q15" s="2840">
        <f>SUM(E15:P15)</f>
        <v>0</v>
      </c>
      <c r="R15" s="2839">
        <f ca="1"/>
        <v>0</v>
      </c>
      <c r="T15" s="2756">
        <f t="shared" si="3"/>
        <v>0</v>
      </c>
      <c r="U15" s="2765">
        <f t="shared" si="4"/>
        <v>0</v>
      </c>
      <c r="V15" s="2766">
        <f t="shared" si="5"/>
        <v>0</v>
      </c>
      <c r="W15" s="2766">
        <f t="shared" si="5"/>
        <v>0</v>
      </c>
      <c r="X15" s="2767">
        <f t="shared" si="6"/>
        <v>0</v>
      </c>
    </row>
    <row r="16" spans="1:24" ht="15.75" thickBot="1">
      <c r="A16" s="1991" t="s">
        <v>542</v>
      </c>
      <c r="B16" s="1977">
        <v>0</v>
      </c>
      <c r="C16" s="1978">
        <v>12</v>
      </c>
      <c r="D16" s="1976" t="s">
        <v>236</v>
      </c>
      <c r="E16" s="1979">
        <f t="shared" ref="E16:P27" si="7">IF(AND($C16=1,E$2=5),$B16,IF(AND($C16=1,E$2=12),-$B16))
+IF(NOT(MOD(E$2,12/$C16)),$B16,0)    *    IF(OR($D16="No",E$3),1,0)</f>
        <v>0</v>
      </c>
      <c r="F16" s="1980">
        <f t="shared" si="7"/>
        <v>0</v>
      </c>
      <c r="G16" s="1980">
        <f t="shared" si="7"/>
        <v>0</v>
      </c>
      <c r="H16" s="1980">
        <f t="shared" si="7"/>
        <v>0</v>
      </c>
      <c r="I16" s="1980">
        <f t="shared" si="7"/>
        <v>0</v>
      </c>
      <c r="J16" s="1980">
        <f t="shared" si="7"/>
        <v>0</v>
      </c>
      <c r="K16" s="1980">
        <f t="shared" si="7"/>
        <v>0</v>
      </c>
      <c r="L16" s="1980">
        <f t="shared" si="7"/>
        <v>0</v>
      </c>
      <c r="M16" s="1980">
        <f t="shared" si="7"/>
        <v>0</v>
      </c>
      <c r="N16" s="1980">
        <f t="shared" si="7"/>
        <v>0</v>
      </c>
      <c r="O16" s="1980">
        <f t="shared" si="7"/>
        <v>0</v>
      </c>
      <c r="P16" s="1981">
        <f t="shared" si="7"/>
        <v>0</v>
      </c>
      <c r="Q16" s="2840">
        <f>SUM(E16:P16)</f>
        <v>0</v>
      </c>
      <c r="R16" s="2839">
        <f ca="1"/>
        <v>0</v>
      </c>
      <c r="T16" s="2756">
        <f t="shared" si="3"/>
        <v>0</v>
      </c>
      <c r="U16" s="2765">
        <f t="shared" si="4"/>
        <v>0</v>
      </c>
      <c r="V16" s="2766">
        <f t="shared" si="5"/>
        <v>0</v>
      </c>
      <c r="W16" s="2766">
        <f t="shared" si="5"/>
        <v>0</v>
      </c>
      <c r="X16" s="2767">
        <f t="shared" si="6"/>
        <v>0</v>
      </c>
    </row>
    <row r="17" spans="1:24" ht="15.75" thickBot="1">
      <c r="A17" s="1991" t="s">
        <v>545</v>
      </c>
      <c r="B17" s="1977">
        <v>0</v>
      </c>
      <c r="C17" s="1978">
        <v>12</v>
      </c>
      <c r="D17" s="1976" t="s">
        <v>236</v>
      </c>
      <c r="E17" s="1979">
        <f t="shared" si="7"/>
        <v>0</v>
      </c>
      <c r="F17" s="1980">
        <f t="shared" si="7"/>
        <v>0</v>
      </c>
      <c r="G17" s="1980">
        <f t="shared" si="7"/>
        <v>0</v>
      </c>
      <c r="H17" s="1980">
        <f t="shared" si="7"/>
        <v>0</v>
      </c>
      <c r="I17" s="1980">
        <f t="shared" si="7"/>
        <v>0</v>
      </c>
      <c r="J17" s="1980">
        <f t="shared" si="7"/>
        <v>0</v>
      </c>
      <c r="K17" s="1980">
        <f t="shared" si="7"/>
        <v>0</v>
      </c>
      <c r="L17" s="1980">
        <f t="shared" si="7"/>
        <v>0</v>
      </c>
      <c r="M17" s="1980">
        <f t="shared" si="7"/>
        <v>0</v>
      </c>
      <c r="N17" s="1980">
        <f t="shared" si="7"/>
        <v>0</v>
      </c>
      <c r="O17" s="1980">
        <f t="shared" si="7"/>
        <v>0</v>
      </c>
      <c r="P17" s="1981">
        <f t="shared" si="7"/>
        <v>0</v>
      </c>
      <c r="Q17" s="2840">
        <f t="shared" si="2"/>
        <v>0</v>
      </c>
      <c r="R17" s="2839">
        <f ca="1"/>
        <v>0</v>
      </c>
      <c r="T17" s="2756">
        <f t="shared" si="3"/>
        <v>0</v>
      </c>
      <c r="U17" s="2765">
        <f t="shared" si="4"/>
        <v>0</v>
      </c>
      <c r="V17" s="2766">
        <f t="shared" si="5"/>
        <v>0</v>
      </c>
      <c r="W17" s="2766">
        <f t="shared" si="5"/>
        <v>0</v>
      </c>
      <c r="X17" s="2767">
        <f t="shared" si="6"/>
        <v>0</v>
      </c>
    </row>
    <row r="18" spans="1:24" ht="15.75" thickBot="1">
      <c r="A18" s="1991" t="s">
        <v>548</v>
      </c>
      <c r="B18" s="1977">
        <v>0</v>
      </c>
      <c r="C18" s="1978">
        <v>12</v>
      </c>
      <c r="D18" s="1976" t="s">
        <v>236</v>
      </c>
      <c r="E18" s="1979">
        <f t="shared" si="7"/>
        <v>0</v>
      </c>
      <c r="F18" s="1980">
        <f t="shared" si="7"/>
        <v>0</v>
      </c>
      <c r="G18" s="1980">
        <f t="shared" si="7"/>
        <v>0</v>
      </c>
      <c r="H18" s="1980">
        <f t="shared" si="7"/>
        <v>0</v>
      </c>
      <c r="I18" s="1980">
        <f t="shared" si="7"/>
        <v>0</v>
      </c>
      <c r="J18" s="1980">
        <f t="shared" si="7"/>
        <v>0</v>
      </c>
      <c r="K18" s="1980">
        <f t="shared" si="7"/>
        <v>0</v>
      </c>
      <c r="L18" s="1980">
        <f t="shared" si="7"/>
        <v>0</v>
      </c>
      <c r="M18" s="1980">
        <f t="shared" si="7"/>
        <v>0</v>
      </c>
      <c r="N18" s="1980">
        <f t="shared" si="7"/>
        <v>0</v>
      </c>
      <c r="O18" s="1980">
        <f t="shared" si="7"/>
        <v>0</v>
      </c>
      <c r="P18" s="1981">
        <f t="shared" si="7"/>
        <v>0</v>
      </c>
      <c r="Q18" s="2840">
        <f t="shared" si="2"/>
        <v>0</v>
      </c>
      <c r="R18" s="2839">
        <f ca="1"/>
        <v>0</v>
      </c>
      <c r="T18" s="2756">
        <f t="shared" si="3"/>
        <v>0</v>
      </c>
      <c r="U18" s="2765">
        <f t="shared" si="4"/>
        <v>0</v>
      </c>
      <c r="V18" s="2766">
        <f t="shared" si="5"/>
        <v>0</v>
      </c>
      <c r="W18" s="2766">
        <f t="shared" si="5"/>
        <v>0</v>
      </c>
      <c r="X18" s="2767">
        <f t="shared" si="6"/>
        <v>0</v>
      </c>
    </row>
    <row r="19" spans="1:24" ht="15.75" thickBot="1">
      <c r="A19" s="1991" t="s">
        <v>549</v>
      </c>
      <c r="B19" s="1977">
        <v>0</v>
      </c>
      <c r="C19" s="1978">
        <v>12</v>
      </c>
      <c r="D19" s="1976" t="s">
        <v>236</v>
      </c>
      <c r="E19" s="1979">
        <f t="shared" si="7"/>
        <v>0</v>
      </c>
      <c r="F19" s="1980">
        <f t="shared" si="7"/>
        <v>0</v>
      </c>
      <c r="G19" s="1980">
        <f t="shared" si="7"/>
        <v>0</v>
      </c>
      <c r="H19" s="1980">
        <f t="shared" si="7"/>
        <v>0</v>
      </c>
      <c r="I19" s="1980">
        <f t="shared" si="7"/>
        <v>0</v>
      </c>
      <c r="J19" s="1980">
        <f t="shared" si="7"/>
        <v>0</v>
      </c>
      <c r="K19" s="1980">
        <f t="shared" si="7"/>
        <v>0</v>
      </c>
      <c r="L19" s="1980">
        <f t="shared" si="7"/>
        <v>0</v>
      </c>
      <c r="M19" s="1980">
        <f t="shared" si="7"/>
        <v>0</v>
      </c>
      <c r="N19" s="1980">
        <f t="shared" si="7"/>
        <v>0</v>
      </c>
      <c r="O19" s="1980">
        <f t="shared" si="7"/>
        <v>0</v>
      </c>
      <c r="P19" s="1981">
        <f t="shared" si="7"/>
        <v>0</v>
      </c>
      <c r="Q19" s="2840">
        <f t="shared" si="2"/>
        <v>0</v>
      </c>
      <c r="R19" s="2839">
        <f ca="1"/>
        <v>0</v>
      </c>
      <c r="T19" s="2756">
        <f t="shared" si="3"/>
        <v>0</v>
      </c>
      <c r="U19" s="2765">
        <f t="shared" si="4"/>
        <v>0</v>
      </c>
      <c r="V19" s="2766">
        <f t="shared" si="5"/>
        <v>0</v>
      </c>
      <c r="W19" s="2766">
        <f t="shared" si="5"/>
        <v>0</v>
      </c>
      <c r="X19" s="2767">
        <f t="shared" si="6"/>
        <v>0</v>
      </c>
    </row>
    <row r="20" spans="1:24" ht="15.75" thickBot="1">
      <c r="A20" s="1991" t="s">
        <v>544</v>
      </c>
      <c r="B20" s="1977">
        <v>0</v>
      </c>
      <c r="C20" s="1978">
        <v>12</v>
      </c>
      <c r="D20" s="1976" t="s">
        <v>236</v>
      </c>
      <c r="E20" s="1979">
        <f t="shared" si="7"/>
        <v>0</v>
      </c>
      <c r="F20" s="1980">
        <f t="shared" si="7"/>
        <v>0</v>
      </c>
      <c r="G20" s="1980">
        <f t="shared" si="7"/>
        <v>0</v>
      </c>
      <c r="H20" s="1980">
        <f t="shared" si="7"/>
        <v>0</v>
      </c>
      <c r="I20" s="1980">
        <f t="shared" si="7"/>
        <v>0</v>
      </c>
      <c r="J20" s="1980">
        <f t="shared" si="7"/>
        <v>0</v>
      </c>
      <c r="K20" s="1980">
        <f t="shared" si="7"/>
        <v>0</v>
      </c>
      <c r="L20" s="1980">
        <f t="shared" si="7"/>
        <v>0</v>
      </c>
      <c r="M20" s="1980">
        <f t="shared" si="7"/>
        <v>0</v>
      </c>
      <c r="N20" s="1980">
        <f t="shared" si="7"/>
        <v>0</v>
      </c>
      <c r="O20" s="1980">
        <f t="shared" si="7"/>
        <v>0</v>
      </c>
      <c r="P20" s="1981">
        <f t="shared" si="7"/>
        <v>0</v>
      </c>
      <c r="Q20" s="2840">
        <f t="shared" si="2"/>
        <v>0</v>
      </c>
      <c r="R20" s="2839">
        <f ca="1"/>
        <v>0</v>
      </c>
      <c r="T20" s="2756">
        <f t="shared" si="3"/>
        <v>0</v>
      </c>
      <c r="U20" s="2765">
        <f t="shared" si="4"/>
        <v>0</v>
      </c>
      <c r="V20" s="2766">
        <f t="shared" si="5"/>
        <v>0</v>
      </c>
      <c r="W20" s="2766">
        <f t="shared" si="5"/>
        <v>0</v>
      </c>
      <c r="X20" s="2767">
        <f t="shared" si="6"/>
        <v>0</v>
      </c>
    </row>
    <row r="21" spans="1:24" ht="15.75" thickBot="1">
      <c r="A21" s="1991" t="s">
        <v>543</v>
      </c>
      <c r="B21" s="1977">
        <v>0</v>
      </c>
      <c r="C21" s="1978">
        <v>12</v>
      </c>
      <c r="D21" s="1976" t="s">
        <v>236</v>
      </c>
      <c r="E21" s="1979">
        <f t="shared" si="7"/>
        <v>0</v>
      </c>
      <c r="F21" s="1980">
        <f t="shared" si="7"/>
        <v>0</v>
      </c>
      <c r="G21" s="1980">
        <f t="shared" si="7"/>
        <v>0</v>
      </c>
      <c r="H21" s="1980">
        <f t="shared" si="7"/>
        <v>0</v>
      </c>
      <c r="I21" s="1980">
        <f t="shared" si="7"/>
        <v>0</v>
      </c>
      <c r="J21" s="1980">
        <f t="shared" si="7"/>
        <v>0</v>
      </c>
      <c r="K21" s="1980">
        <f t="shared" si="7"/>
        <v>0</v>
      </c>
      <c r="L21" s="1980">
        <f t="shared" si="7"/>
        <v>0</v>
      </c>
      <c r="M21" s="1980">
        <f t="shared" si="7"/>
        <v>0</v>
      </c>
      <c r="N21" s="1980">
        <f t="shared" si="7"/>
        <v>0</v>
      </c>
      <c r="O21" s="1980">
        <f t="shared" si="7"/>
        <v>0</v>
      </c>
      <c r="P21" s="1981">
        <f t="shared" si="7"/>
        <v>0</v>
      </c>
      <c r="Q21" s="2840">
        <f t="shared" si="2"/>
        <v>0</v>
      </c>
      <c r="R21" s="2839">
        <f ca="1"/>
        <v>0</v>
      </c>
      <c r="T21" s="2756">
        <f t="shared" si="3"/>
        <v>0</v>
      </c>
      <c r="U21" s="2765">
        <f t="shared" si="4"/>
        <v>0</v>
      </c>
      <c r="V21" s="2766">
        <f t="shared" si="5"/>
        <v>0</v>
      </c>
      <c r="W21" s="2766">
        <f t="shared" si="5"/>
        <v>0</v>
      </c>
      <c r="X21" s="2767">
        <f t="shared" si="6"/>
        <v>0</v>
      </c>
    </row>
    <row r="22" spans="1:24" ht="15.75" thickBot="1">
      <c r="A22" s="1991" t="s">
        <v>1199</v>
      </c>
      <c r="B22" s="2882">
        <f ca="1">'Marketing Expenses'!F7/C22</f>
        <v>5.9999999999999991</v>
      </c>
      <c r="C22" s="1978">
        <v>12</v>
      </c>
      <c r="D22" s="1976" t="s">
        <v>25</v>
      </c>
      <c r="E22" s="1979">
        <f t="shared" ca="1" si="7"/>
        <v>5.9999999999999991</v>
      </c>
      <c r="F22" s="1980">
        <f t="shared" ca="1" si="7"/>
        <v>5.9999999999999991</v>
      </c>
      <c r="G22" s="1980">
        <f t="shared" ca="1" si="7"/>
        <v>5.9999999999999991</v>
      </c>
      <c r="H22" s="1980">
        <f t="shared" ca="1" si="7"/>
        <v>5.9999999999999991</v>
      </c>
      <c r="I22" s="1980">
        <f t="shared" ca="1" si="7"/>
        <v>5.9999999999999991</v>
      </c>
      <c r="J22" s="1980">
        <f t="shared" ca="1" si="7"/>
        <v>5.9999999999999991</v>
      </c>
      <c r="K22" s="1980">
        <f t="shared" ca="1" si="7"/>
        <v>5.9999999999999991</v>
      </c>
      <c r="L22" s="1980">
        <f t="shared" ca="1" si="7"/>
        <v>5.9999999999999991</v>
      </c>
      <c r="M22" s="1980">
        <f t="shared" ca="1" si="7"/>
        <v>5.9999999999999991</v>
      </c>
      <c r="N22" s="1980">
        <f t="shared" ca="1" si="7"/>
        <v>5.9999999999999991</v>
      </c>
      <c r="O22" s="1980">
        <f t="shared" ca="1" si="7"/>
        <v>5.9999999999999991</v>
      </c>
      <c r="P22" s="1981">
        <f t="shared" ca="1" si="7"/>
        <v>5.9999999999999991</v>
      </c>
      <c r="Q22" s="2840">
        <f ca="1">SUM(E22:P22)</f>
        <v>71.999999999999986</v>
      </c>
      <c r="R22" s="2839">
        <f ca="1"/>
        <v>0.30303030303030304</v>
      </c>
      <c r="T22" s="2756"/>
      <c r="U22" s="2890">
        <f ca="1">'Marketing Expenses'!H7</f>
        <v>123.60000000000001</v>
      </c>
      <c r="V22" s="2891">
        <f ca="1">'Marketing Expenses'!J7</f>
        <v>133.67339999999999</v>
      </c>
      <c r="W22" s="2891">
        <f ca="1">'Marketing Expenses'!L7</f>
        <v>144.63334571999999</v>
      </c>
      <c r="X22" s="2892">
        <f ca="1">'Marketing Expenses'!N7</f>
        <v>156.4007042376</v>
      </c>
    </row>
    <row r="23" spans="1:24" ht="15.75" thickBot="1">
      <c r="A23" s="1991" t="s">
        <v>1200</v>
      </c>
      <c r="B23" s="2882">
        <f>'Marketing Expenses'!C11</f>
        <v>0</v>
      </c>
      <c r="C23" s="2889">
        <f>+'Marketing Expenses'!B11</f>
        <v>2</v>
      </c>
      <c r="D23" s="1976" t="s">
        <v>25</v>
      </c>
      <c r="E23" s="1979">
        <f t="shared" si="7"/>
        <v>0</v>
      </c>
      <c r="F23" s="1980">
        <f t="shared" si="7"/>
        <v>0</v>
      </c>
      <c r="G23" s="1980">
        <f t="shared" si="7"/>
        <v>0</v>
      </c>
      <c r="H23" s="1980">
        <f t="shared" si="7"/>
        <v>0</v>
      </c>
      <c r="I23" s="1980">
        <f t="shared" si="7"/>
        <v>0</v>
      </c>
      <c r="J23" s="1980">
        <f t="shared" si="7"/>
        <v>0</v>
      </c>
      <c r="K23" s="1980">
        <f t="shared" si="7"/>
        <v>0</v>
      </c>
      <c r="L23" s="1980">
        <f t="shared" si="7"/>
        <v>0</v>
      </c>
      <c r="M23" s="1980">
        <f t="shared" si="7"/>
        <v>0</v>
      </c>
      <c r="N23" s="1980">
        <f t="shared" si="7"/>
        <v>0</v>
      </c>
      <c r="O23" s="1980">
        <f t="shared" si="7"/>
        <v>0</v>
      </c>
      <c r="P23" s="1981">
        <f t="shared" si="7"/>
        <v>0</v>
      </c>
      <c r="Q23" s="2840">
        <f t="shared" ref="Q23" si="8">SUM(E23:P23)</f>
        <v>0</v>
      </c>
      <c r="R23" s="2839">
        <f ca="1"/>
        <v>0</v>
      </c>
      <c r="T23" s="2756"/>
      <c r="U23" s="2890">
        <f>'Marketing Expenses'!H11</f>
        <v>0</v>
      </c>
      <c r="V23" s="2891">
        <f>'Marketing Expenses'!J11</f>
        <v>0</v>
      </c>
      <c r="W23" s="3049">
        <f>'Marketing Expenses'!L11</f>
        <v>0</v>
      </c>
      <c r="X23" s="3050">
        <f>'Marketing Expenses'!N11</f>
        <v>0</v>
      </c>
    </row>
    <row r="24" spans="1:24" ht="15.75" thickBot="1">
      <c r="A24" s="1991" t="s">
        <v>1201</v>
      </c>
      <c r="B24" s="2882">
        <f ca="1">'Marketing Expenses'!F8/C24</f>
        <v>11.999999999999998</v>
      </c>
      <c r="C24" s="1978">
        <v>12</v>
      </c>
      <c r="D24" s="1976" t="s">
        <v>25</v>
      </c>
      <c r="E24" s="1979">
        <f t="shared" ca="1" si="7"/>
        <v>11.999999999999998</v>
      </c>
      <c r="F24" s="1980">
        <f t="shared" ca="1" si="7"/>
        <v>11.999999999999998</v>
      </c>
      <c r="G24" s="1980">
        <f t="shared" ca="1" si="7"/>
        <v>11.999999999999998</v>
      </c>
      <c r="H24" s="1980">
        <f t="shared" ca="1" si="7"/>
        <v>11.999999999999998</v>
      </c>
      <c r="I24" s="1980">
        <f t="shared" ca="1" si="7"/>
        <v>11.999999999999998</v>
      </c>
      <c r="J24" s="1980">
        <f t="shared" ca="1" si="7"/>
        <v>11.999999999999998</v>
      </c>
      <c r="K24" s="1980">
        <f t="shared" ca="1" si="7"/>
        <v>11.999999999999998</v>
      </c>
      <c r="L24" s="1980">
        <f t="shared" ca="1" si="7"/>
        <v>11.999999999999998</v>
      </c>
      <c r="M24" s="1980">
        <f t="shared" ca="1" si="7"/>
        <v>11.999999999999998</v>
      </c>
      <c r="N24" s="1980">
        <f t="shared" ca="1" si="7"/>
        <v>11.999999999999998</v>
      </c>
      <c r="O24" s="1980">
        <f t="shared" ca="1" si="7"/>
        <v>11.999999999999998</v>
      </c>
      <c r="P24" s="1981">
        <f t="shared" ca="1" si="7"/>
        <v>11.999999999999998</v>
      </c>
      <c r="Q24" s="2840">
        <f t="shared" ca="1" si="2"/>
        <v>143.99999999999997</v>
      </c>
      <c r="R24" s="2839">
        <f ca="1"/>
        <v>0.60606060606060608</v>
      </c>
      <c r="T24" s="2756">
        <f t="shared" ca="1" si="3"/>
        <v>143.99999999999997</v>
      </c>
      <c r="U24" s="2890">
        <f ca="1">'Marketing Expenses'!H8</f>
        <v>247.20000000000002</v>
      </c>
      <c r="V24" s="2891">
        <f ca="1">'Marketing Expenses'!J8</f>
        <v>267.34679999999997</v>
      </c>
      <c r="W24" s="2891">
        <f ca="1">'Marketing Expenses'!L8</f>
        <v>289.26669143999999</v>
      </c>
      <c r="X24" s="2892">
        <f ca="1">'Marketing Expenses'!N8</f>
        <v>312.80140847519999</v>
      </c>
    </row>
    <row r="25" spans="1:24" ht="15.75" thickBot="1">
      <c r="A25" s="1991" t="s">
        <v>1202</v>
      </c>
      <c r="B25" s="2882">
        <f>'Marketing Expenses'!C12</f>
        <v>0</v>
      </c>
      <c r="C25" s="2889">
        <f>+'Marketing Expenses'!B12</f>
        <v>3</v>
      </c>
      <c r="D25" s="1976" t="s">
        <v>25</v>
      </c>
      <c r="E25" s="1979">
        <f t="shared" si="7"/>
        <v>0</v>
      </c>
      <c r="F25" s="1980">
        <f t="shared" si="7"/>
        <v>0</v>
      </c>
      <c r="G25" s="1980">
        <f t="shared" si="7"/>
        <v>0</v>
      </c>
      <c r="H25" s="1980">
        <f t="shared" si="7"/>
        <v>0</v>
      </c>
      <c r="I25" s="1980">
        <f t="shared" si="7"/>
        <v>0</v>
      </c>
      <c r="J25" s="1980">
        <f t="shared" si="7"/>
        <v>0</v>
      </c>
      <c r="K25" s="1980">
        <f t="shared" si="7"/>
        <v>0</v>
      </c>
      <c r="L25" s="1980">
        <f t="shared" si="7"/>
        <v>0</v>
      </c>
      <c r="M25" s="1980">
        <f t="shared" si="7"/>
        <v>0</v>
      </c>
      <c r="N25" s="1980">
        <f t="shared" si="7"/>
        <v>0</v>
      </c>
      <c r="O25" s="1980">
        <f t="shared" si="7"/>
        <v>0</v>
      </c>
      <c r="P25" s="1981">
        <f t="shared" si="7"/>
        <v>0</v>
      </c>
      <c r="Q25" s="2840">
        <f t="shared" ref="Q25" si="9">SUM(E25:P25)</f>
        <v>0</v>
      </c>
      <c r="R25" s="2839">
        <f ca="1"/>
        <v>0</v>
      </c>
      <c r="T25" s="2756"/>
      <c r="U25" s="3051">
        <f>'Marketing Expenses'!H12</f>
        <v>0</v>
      </c>
      <c r="V25" s="2891">
        <f>'Marketing Expenses'!J12</f>
        <v>0</v>
      </c>
      <c r="W25" s="2891">
        <f>'Marketing Expenses'!L12</f>
        <v>0</v>
      </c>
      <c r="X25" s="2892">
        <f>'Marketing Expenses'!N12</f>
        <v>0</v>
      </c>
    </row>
    <row r="26" spans="1:24" ht="15.75" thickBot="1">
      <c r="A26" s="1991" t="s">
        <v>546</v>
      </c>
      <c r="B26" s="1977">
        <v>0</v>
      </c>
      <c r="C26" s="1978">
        <v>12</v>
      </c>
      <c r="D26" s="1976" t="s">
        <v>236</v>
      </c>
      <c r="E26" s="1979">
        <f t="shared" si="7"/>
        <v>0</v>
      </c>
      <c r="F26" s="1980">
        <f t="shared" si="7"/>
        <v>0</v>
      </c>
      <c r="G26" s="1980">
        <f t="shared" si="7"/>
        <v>0</v>
      </c>
      <c r="H26" s="1980">
        <f t="shared" si="7"/>
        <v>0</v>
      </c>
      <c r="I26" s="1980">
        <f t="shared" si="7"/>
        <v>0</v>
      </c>
      <c r="J26" s="1980">
        <f t="shared" si="7"/>
        <v>0</v>
      </c>
      <c r="K26" s="1980">
        <f t="shared" si="7"/>
        <v>0</v>
      </c>
      <c r="L26" s="1980">
        <f t="shared" si="7"/>
        <v>0</v>
      </c>
      <c r="M26" s="1980">
        <f t="shared" si="7"/>
        <v>0</v>
      </c>
      <c r="N26" s="1980">
        <f t="shared" si="7"/>
        <v>0</v>
      </c>
      <c r="O26" s="1980">
        <f t="shared" si="7"/>
        <v>0</v>
      </c>
      <c r="P26" s="1981">
        <f t="shared" si="7"/>
        <v>0</v>
      </c>
      <c r="Q26" s="2840">
        <f t="shared" si="2"/>
        <v>0</v>
      </c>
      <c r="R26" s="2839">
        <f ca="1"/>
        <v>0</v>
      </c>
      <c r="T26" s="2756">
        <f t="shared" si="3"/>
        <v>0</v>
      </c>
      <c r="U26" s="2765">
        <f t="shared" si="4"/>
        <v>0</v>
      </c>
      <c r="V26" s="2766">
        <f t="shared" si="5"/>
        <v>0</v>
      </c>
      <c r="W26" s="2766">
        <f t="shared" si="5"/>
        <v>0</v>
      </c>
      <c r="X26" s="2767">
        <f t="shared" si="6"/>
        <v>0</v>
      </c>
    </row>
    <row r="27" spans="1:24" ht="15.75" thickBot="1">
      <c r="A27" s="1991" t="s">
        <v>547</v>
      </c>
      <c r="B27" s="1977">
        <f ca="1">SUM(Q6:Q26)/C27*10%</f>
        <v>1.7999999999999998</v>
      </c>
      <c r="C27" s="1978">
        <v>12</v>
      </c>
      <c r="D27" s="1976" t="s">
        <v>236</v>
      </c>
      <c r="E27" s="1979">
        <f t="shared" ca="1" si="7"/>
        <v>1.7999999999999998</v>
      </c>
      <c r="F27" s="1980">
        <f t="shared" ca="1" si="7"/>
        <v>1.7999999999999998</v>
      </c>
      <c r="G27" s="1980">
        <f t="shared" ca="1" si="7"/>
        <v>1.7999999999999998</v>
      </c>
      <c r="H27" s="1980">
        <f t="shared" ca="1" si="7"/>
        <v>1.7999999999999998</v>
      </c>
      <c r="I27" s="1980">
        <f t="shared" ca="1" si="7"/>
        <v>1.7999999999999998</v>
      </c>
      <c r="J27" s="1980">
        <f t="shared" ca="1" si="7"/>
        <v>1.7999999999999998</v>
      </c>
      <c r="K27" s="1980">
        <f t="shared" ca="1" si="7"/>
        <v>1.7999999999999998</v>
      </c>
      <c r="L27" s="1980">
        <f t="shared" ca="1" si="7"/>
        <v>1.7999999999999998</v>
      </c>
      <c r="M27" s="1980">
        <f t="shared" ca="1" si="7"/>
        <v>1.7999999999999998</v>
      </c>
      <c r="N27" s="1980">
        <f t="shared" ca="1" si="7"/>
        <v>1.7999999999999998</v>
      </c>
      <c r="O27" s="1980">
        <f t="shared" ca="1" si="7"/>
        <v>1.7999999999999998</v>
      </c>
      <c r="P27" s="1981">
        <f t="shared" ca="1" si="7"/>
        <v>1.7999999999999998</v>
      </c>
      <c r="Q27" s="2840">
        <f t="shared" ca="1" si="2"/>
        <v>21.600000000000005</v>
      </c>
      <c r="R27" s="2839">
        <f ca="1"/>
        <v>9.0909090909090953E-2</v>
      </c>
      <c r="T27" s="2756">
        <f t="shared" ca="1" si="3"/>
        <v>21.600000000000005</v>
      </c>
      <c r="U27" s="2765">
        <f t="shared" ca="1" si="4"/>
        <v>22.464000000000006</v>
      </c>
      <c r="V27" s="2766">
        <f t="shared" ca="1" si="5"/>
        <v>23.362560000000006</v>
      </c>
      <c r="W27" s="2766">
        <f t="shared" ca="1" si="5"/>
        <v>24.297062400000005</v>
      </c>
      <c r="X27" s="2767">
        <f t="shared" ca="1" si="6"/>
        <v>25.268944896000008</v>
      </c>
    </row>
    <row r="28" spans="1:24" ht="15.75" thickBot="1">
      <c r="A28" s="2393" t="s">
        <v>531</v>
      </c>
      <c r="B28" s="1982"/>
      <c r="C28" s="1983"/>
      <c r="D28" s="1984"/>
      <c r="E28" s="1985">
        <f t="shared" ref="E28:Q28" ca="1" si="10">SUM(E6:E27)</f>
        <v>19.799999999999997</v>
      </c>
      <c r="F28" s="1986">
        <f t="shared" ca="1" si="10"/>
        <v>19.799999999999997</v>
      </c>
      <c r="G28" s="1986">
        <f t="shared" ca="1" si="10"/>
        <v>19.799999999999997</v>
      </c>
      <c r="H28" s="1986">
        <f t="shared" ca="1" si="10"/>
        <v>19.799999999999997</v>
      </c>
      <c r="I28" s="1986">
        <f t="shared" ca="1" si="10"/>
        <v>19.799999999999997</v>
      </c>
      <c r="J28" s="1986">
        <f t="shared" ca="1" si="10"/>
        <v>19.799999999999997</v>
      </c>
      <c r="K28" s="1986">
        <f t="shared" ca="1" si="10"/>
        <v>19.799999999999997</v>
      </c>
      <c r="L28" s="1986">
        <f t="shared" ca="1" si="10"/>
        <v>19.799999999999997</v>
      </c>
      <c r="M28" s="1986">
        <f t="shared" ca="1" si="10"/>
        <v>19.799999999999997</v>
      </c>
      <c r="N28" s="1986">
        <f t="shared" ca="1" si="10"/>
        <v>19.799999999999997</v>
      </c>
      <c r="O28" s="1986">
        <f t="shared" ca="1" si="10"/>
        <v>19.799999999999997</v>
      </c>
      <c r="P28" s="1987">
        <f t="shared" ca="1" si="10"/>
        <v>19.799999999999997</v>
      </c>
      <c r="Q28" s="2841">
        <f t="shared" ca="1" si="10"/>
        <v>237.59999999999994</v>
      </c>
      <c r="R28" s="2842">
        <f ca="1">SUM(R6:R27)</f>
        <v>1.0000000000000002</v>
      </c>
      <c r="T28" s="2757">
        <f ca="1">SUM(T6:T27)</f>
        <v>165.59999999999997</v>
      </c>
      <c r="U28" s="2758">
        <f ca="1">SUM(U6:U27)</f>
        <v>393.26400000000001</v>
      </c>
      <c r="V28" s="2759">
        <f ca="1">SUM(V6:V27)</f>
        <v>424.38275999999996</v>
      </c>
      <c r="W28" s="2759">
        <f ca="1">SUM(W6:W27)</f>
        <v>458.19709956000003</v>
      </c>
      <c r="X28" s="2760">
        <f ca="1">SUM(X6:X27)</f>
        <v>494.47105760879998</v>
      </c>
    </row>
    <row r="29" spans="1:24" ht="15.75" thickTop="1"/>
    <row r="30" spans="1:24" ht="15.75" thickBot="1"/>
    <row r="31" spans="1:24" ht="15.75" thickBot="1">
      <c r="A31" s="67" t="s">
        <v>526</v>
      </c>
      <c r="B31" s="62"/>
      <c r="C31" s="63"/>
      <c r="D31" s="340"/>
    </row>
    <row r="32" spans="1:24" ht="15.75" thickBot="1">
      <c r="A32" s="64"/>
      <c r="B32" s="2394" t="s">
        <v>532</v>
      </c>
      <c r="C32" s="65">
        <v>2</v>
      </c>
      <c r="D32" s="340"/>
    </row>
    <row r="33" spans="1:4" ht="15.75" thickBot="1">
      <c r="A33" s="64"/>
      <c r="B33" s="2394" t="s">
        <v>533</v>
      </c>
      <c r="C33" s="65">
        <v>0</v>
      </c>
      <c r="D33" s="340"/>
    </row>
  </sheetData>
  <sheetProtection sheet="1" objects="1" scenarios="1"/>
  <phoneticPr fontId="7" type="noConversion"/>
  <dataValidations xWindow="869" yWindow="376" count="7">
    <dataValidation allowBlank="1" showInputMessage="1" showErrorMessage="1" prompt="In this expenses sheet for year 0 all labels can be modified for all fixed expenses items and automatically the change will take effect in all the rest fixed expenses sheets for the rest 4 years in the book." sqref="A1 A20:A27 A6:A18" xr:uid="{00000000-0002-0000-1100-000000000000}"/>
    <dataValidation type="whole" allowBlank="1" showInputMessage="1" showErrorMessage="1" sqref="C32:C33" xr:uid="{00000000-0002-0000-1100-000001000000}">
      <formula1>0</formula1>
      <formula2>12</formula2>
    </dataValidation>
    <dataValidation type="decimal" allowBlank="1" showInputMessage="1" showErrorMessage="1" prompt="Tipo de IPC o inflacción anual prevista (entre el 0% y el 8%)" sqref="T6:T27 U27:X27" xr:uid="{00000000-0002-0000-1100-000002000000}">
      <formula1>-1</formula1>
      <formula2>2</formula2>
    </dataValidation>
    <dataValidation type="list" allowBlank="1" showInputMessage="1" showErrorMessage="1" sqref="C6:C27" xr:uid="{00000000-0002-0000-1100-000003000000}">
      <formula1>"12,6,4,3,2,1"</formula1>
    </dataValidation>
    <dataValidation type="list" allowBlank="1" showInputMessage="1" showErrorMessage="1" sqref="D6:D27" xr:uid="{00000000-0002-0000-1100-000004000000}">
      <formula1>"Yes,No"</formula1>
    </dataValidation>
    <dataValidation allowBlank="1" showInputMessage="1" showErrorMessage="1" prompt="In this expenses sheet for year 0 all labels can be_x000a_En esta hoja de gastos fijos para el año 0 se pueden modificar las etiquetas de las distintas partidas de gastos fijos y automáticamente se transladarán a las hojas de gastos fijos de los otros dos años." sqref="A19" xr:uid="{00000000-0002-0000-1100-000005000000}"/>
    <dataValidation allowBlank="1" showInputMessage="1" showErrorMessage="1" prompt="Tipo de IPC o inflacción anual prevista (entre el 0% y el 8%)" sqref="U22:X23" xr:uid="{00000000-0002-0000-1100-000006000000}"/>
  </dataValidations>
  <printOptions horizontalCentered="1"/>
  <pageMargins left="0.43307086614173229" right="0.74803149606299213" top="0.70866141732283472" bottom="0.51181102362204722" header="0" footer="0"/>
  <pageSetup paperSize="9" orientation="landscape" horizontalDpi="300" r:id="rId1"/>
  <headerFooter alignWithMargins="0">
    <oddFooter>&amp;C&amp;"Tahoma,Normal"&amp;10&amp;A</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58">
    <tabColor indexed="50"/>
    <pageSetUpPr fitToPage="1"/>
  </sheetPr>
  <dimension ref="A1:K64"/>
  <sheetViews>
    <sheetView showGridLines="0" zoomScale="85" zoomScaleNormal="85" workbookViewId="0">
      <selection activeCell="B7" sqref="B7"/>
    </sheetView>
  </sheetViews>
  <sheetFormatPr baseColWidth="10" defaultColWidth="11" defaultRowHeight="15"/>
  <cols>
    <col min="1" max="1" width="26.25" style="35" customWidth="1"/>
    <col min="2" max="10" width="10" style="35" customWidth="1"/>
    <col min="11" max="11" width="10.875" style="35" customWidth="1"/>
    <col min="12" max="16384" width="11" style="35"/>
  </cols>
  <sheetData>
    <row r="1" spans="1:11" s="97" customFormat="1" ht="22.5">
      <c r="A1" s="66" t="s">
        <v>561</v>
      </c>
      <c r="B1" s="66"/>
      <c r="C1" s="66"/>
      <c r="D1" s="66"/>
      <c r="E1" s="66"/>
    </row>
    <row r="2" spans="1:11" s="97" customFormat="1" ht="22.5">
      <c r="A2" s="66" t="s">
        <v>560</v>
      </c>
      <c r="B2" s="66"/>
      <c r="C2" s="66"/>
      <c r="D2" s="66"/>
      <c r="E2" s="66"/>
    </row>
    <row r="3" spans="1:11" s="97" customFormat="1" ht="22.5">
      <c r="A3" s="66" t="str">
        <f>'Base Data'!B9</f>
        <v>WWW, Ltd.</v>
      </c>
      <c r="B3" s="66"/>
      <c r="C3" s="66"/>
      <c r="D3" s="66"/>
      <c r="E3" s="66"/>
    </row>
    <row r="4" spans="1:11" s="97" customFormat="1" ht="20.25" customHeight="1">
      <c r="A4" s="66"/>
      <c r="B4" s="66"/>
      <c r="C4" s="66"/>
      <c r="D4" s="66"/>
      <c r="E4" s="66"/>
    </row>
    <row r="5" spans="1:11" s="97" customFormat="1" ht="23.25" thickBot="1">
      <c r="A5" s="66" t="s">
        <v>557</v>
      </c>
      <c r="B5" s="66"/>
      <c r="C5" s="66"/>
    </row>
    <row r="6" spans="1:11" ht="44.25" customHeight="1" thickBot="1">
      <c r="A6" s="1720" t="s">
        <v>559</v>
      </c>
      <c r="B6" s="385" t="str">
        <f>+Parameters!B77</f>
        <v>Year 0:   2026</v>
      </c>
      <c r="C6" s="397" t="str">
        <f>+Parameters!C77</f>
        <v>Year 1:   2027</v>
      </c>
      <c r="D6" s="396"/>
      <c r="E6" s="397" t="str">
        <f>+Parameters!D77</f>
        <v>Year 2:   2028</v>
      </c>
      <c r="F6" s="396"/>
      <c r="G6" s="397" t="str">
        <f>+Parameters!E77</f>
        <v>Year 3:   2029</v>
      </c>
      <c r="H6" s="396"/>
      <c r="I6" s="397" t="str">
        <f>+Parameters!F77</f>
        <v>Year 4:   2030</v>
      </c>
      <c r="J6" s="396"/>
      <c r="K6" s="548" t="s">
        <v>1118</v>
      </c>
    </row>
    <row r="7" spans="1:11" s="48" customFormat="1" ht="17.25" customHeight="1">
      <c r="A7" s="1325" t="s">
        <v>551</v>
      </c>
      <c r="B7" s="393">
        <v>1</v>
      </c>
      <c r="C7" s="398">
        <v>0.03</v>
      </c>
      <c r="D7" s="3165">
        <f t="array" ref="D7:D14">B7:B14*(1+C7:C14)</f>
        <v>1.03</v>
      </c>
      <c r="E7" s="398">
        <f>C7</f>
        <v>0.03</v>
      </c>
      <c r="F7" s="3165">
        <f t="array" ref="F7:F14">D7:D14*(1+E7:E14)</f>
        <v>1.0609</v>
      </c>
      <c r="G7" s="398">
        <f t="shared" ref="G7:G14" si="0">E7</f>
        <v>0.03</v>
      </c>
      <c r="H7" s="3165">
        <f t="array" ref="H7:H14">F7:F14*(1+G7:G14)</f>
        <v>1.092727</v>
      </c>
      <c r="I7" s="398">
        <f>G7</f>
        <v>0.03</v>
      </c>
      <c r="J7" s="3165">
        <f t="array" ref="J7:J14">H7:H14*(1+I7:I14)</f>
        <v>1.1255088100000001</v>
      </c>
      <c r="K7" s="398">
        <v>0.02</v>
      </c>
    </row>
    <row r="8" spans="1:11" s="48" customFormat="1" ht="17.25" customHeight="1">
      <c r="A8" s="52"/>
      <c r="B8" s="394">
        <v>1</v>
      </c>
      <c r="C8" s="399">
        <f t="shared" ref="C8:C14" si="1">C7</f>
        <v>0.03</v>
      </c>
      <c r="D8" s="3166">
        <v>1.03</v>
      </c>
      <c r="E8" s="399">
        <f t="shared" ref="E8:E14" si="2">E7</f>
        <v>0.03</v>
      </c>
      <c r="F8" s="3166">
        <v>1.0609</v>
      </c>
      <c r="G8" s="399">
        <f t="shared" si="0"/>
        <v>0.03</v>
      </c>
      <c r="H8" s="3166">
        <v>1.092727</v>
      </c>
      <c r="I8" s="399">
        <f t="shared" ref="I8:I14" si="3">I7</f>
        <v>0.03</v>
      </c>
      <c r="J8" s="3166">
        <v>1.1255088100000001</v>
      </c>
      <c r="K8" s="399">
        <f t="shared" ref="K8:K14" si="4">K7</f>
        <v>0.02</v>
      </c>
    </row>
    <row r="9" spans="1:11" s="48" customFormat="1" ht="17.25" customHeight="1">
      <c r="A9" s="52"/>
      <c r="B9" s="394">
        <v>1</v>
      </c>
      <c r="C9" s="399">
        <f t="shared" si="1"/>
        <v>0.03</v>
      </c>
      <c r="D9" s="3166">
        <v>1.03</v>
      </c>
      <c r="E9" s="399">
        <f t="shared" si="2"/>
        <v>0.03</v>
      </c>
      <c r="F9" s="3166">
        <v>1.0609</v>
      </c>
      <c r="G9" s="399">
        <f t="shared" si="0"/>
        <v>0.03</v>
      </c>
      <c r="H9" s="3166">
        <v>1.092727</v>
      </c>
      <c r="I9" s="399">
        <f t="shared" si="3"/>
        <v>0.03</v>
      </c>
      <c r="J9" s="3166">
        <v>1.1255088100000001</v>
      </c>
      <c r="K9" s="399">
        <f t="shared" si="4"/>
        <v>0.02</v>
      </c>
    </row>
    <row r="10" spans="1:11" s="48" customFormat="1" ht="17.25" customHeight="1">
      <c r="A10" s="52"/>
      <c r="B10" s="394">
        <v>1</v>
      </c>
      <c r="C10" s="399">
        <f t="shared" si="1"/>
        <v>0.03</v>
      </c>
      <c r="D10" s="3166">
        <v>1.03</v>
      </c>
      <c r="E10" s="399">
        <f t="shared" si="2"/>
        <v>0.03</v>
      </c>
      <c r="F10" s="3166">
        <v>1.0609</v>
      </c>
      <c r="G10" s="399">
        <f t="shared" si="0"/>
        <v>0.03</v>
      </c>
      <c r="H10" s="3166">
        <v>1.092727</v>
      </c>
      <c r="I10" s="399">
        <f t="shared" si="3"/>
        <v>0.03</v>
      </c>
      <c r="J10" s="3166">
        <v>1.1255088100000001</v>
      </c>
      <c r="K10" s="399">
        <f t="shared" si="4"/>
        <v>0.02</v>
      </c>
    </row>
    <row r="11" spans="1:11" s="48" customFormat="1" ht="17.25" customHeight="1">
      <c r="A11" s="52"/>
      <c r="B11" s="394">
        <v>1</v>
      </c>
      <c r="C11" s="399">
        <f t="shared" si="1"/>
        <v>0.03</v>
      </c>
      <c r="D11" s="3166">
        <v>1.03</v>
      </c>
      <c r="E11" s="399">
        <f t="shared" si="2"/>
        <v>0.03</v>
      </c>
      <c r="F11" s="3166">
        <v>1.0609</v>
      </c>
      <c r="G11" s="399">
        <f t="shared" si="0"/>
        <v>0.03</v>
      </c>
      <c r="H11" s="3166">
        <v>1.092727</v>
      </c>
      <c r="I11" s="399">
        <f t="shared" si="3"/>
        <v>0.03</v>
      </c>
      <c r="J11" s="3166">
        <v>1.1255088100000001</v>
      </c>
      <c r="K11" s="399">
        <f t="shared" si="4"/>
        <v>0.02</v>
      </c>
    </row>
    <row r="12" spans="1:11" s="48" customFormat="1" ht="17.25" customHeight="1">
      <c r="A12" s="52"/>
      <c r="B12" s="394">
        <v>1</v>
      </c>
      <c r="C12" s="399">
        <f t="shared" si="1"/>
        <v>0.03</v>
      </c>
      <c r="D12" s="3166">
        <v>1.03</v>
      </c>
      <c r="E12" s="399">
        <f t="shared" si="2"/>
        <v>0.03</v>
      </c>
      <c r="F12" s="3166">
        <v>1.0609</v>
      </c>
      <c r="G12" s="399">
        <f t="shared" si="0"/>
        <v>0.03</v>
      </c>
      <c r="H12" s="3166">
        <v>1.092727</v>
      </c>
      <c r="I12" s="399">
        <f t="shared" si="3"/>
        <v>0.03</v>
      </c>
      <c r="J12" s="3166">
        <v>1.1255088100000001</v>
      </c>
      <c r="K12" s="399">
        <f t="shared" si="4"/>
        <v>0.02</v>
      </c>
    </row>
    <row r="13" spans="1:11" s="48" customFormat="1" ht="17.25" customHeight="1">
      <c r="A13" s="52"/>
      <c r="B13" s="394">
        <v>1</v>
      </c>
      <c r="C13" s="399">
        <f t="shared" si="1"/>
        <v>0.03</v>
      </c>
      <c r="D13" s="3166">
        <v>1.03</v>
      </c>
      <c r="E13" s="399">
        <f t="shared" si="2"/>
        <v>0.03</v>
      </c>
      <c r="F13" s="3166">
        <v>1.0609</v>
      </c>
      <c r="G13" s="399">
        <f t="shared" si="0"/>
        <v>0.03</v>
      </c>
      <c r="H13" s="3166">
        <v>1.092727</v>
      </c>
      <c r="I13" s="399">
        <f t="shared" si="3"/>
        <v>0.03</v>
      </c>
      <c r="J13" s="3166">
        <v>1.1255088100000001</v>
      </c>
      <c r="K13" s="399">
        <f t="shared" si="4"/>
        <v>0.02</v>
      </c>
    </row>
    <row r="14" spans="1:11" s="48" customFormat="1" ht="17.25" customHeight="1" thickBot="1">
      <c r="A14" s="53"/>
      <c r="B14" s="395">
        <v>4</v>
      </c>
      <c r="C14" s="400">
        <f t="shared" si="1"/>
        <v>0.03</v>
      </c>
      <c r="D14" s="3167">
        <v>4.12</v>
      </c>
      <c r="E14" s="400">
        <f t="shared" si="2"/>
        <v>0.03</v>
      </c>
      <c r="F14" s="3167">
        <v>4.2435999999999998</v>
      </c>
      <c r="G14" s="400">
        <f t="shared" si="0"/>
        <v>0.03</v>
      </c>
      <c r="H14" s="3167">
        <v>4.370908</v>
      </c>
      <c r="I14" s="400">
        <f t="shared" si="3"/>
        <v>0.03</v>
      </c>
      <c r="J14" s="3167">
        <v>4.5020352400000005</v>
      </c>
      <c r="K14" s="400">
        <f t="shared" si="4"/>
        <v>0.02</v>
      </c>
    </row>
    <row r="15" spans="1:11">
      <c r="A15" s="61" t="s">
        <v>552</v>
      </c>
    </row>
    <row r="17" spans="1:11" ht="26.25" thickBot="1">
      <c r="A17" s="66" t="s">
        <v>558</v>
      </c>
      <c r="H17" s="380"/>
    </row>
    <row r="18" spans="1:11" s="48" customFormat="1" ht="48" customHeight="1" thickBot="1">
      <c r="A18" s="381" t="str">
        <f t="array" ref="A18:C18">A6:C6</f>
        <v>Line of products
(products or services)</v>
      </c>
      <c r="B18" s="385" t="str">
        <v>Year 0:   2026</v>
      </c>
      <c r="C18" s="397" t="str">
        <v>Year 1:   2027</v>
      </c>
      <c r="D18" s="396"/>
      <c r="E18" s="397" t="str">
        <f>E6</f>
        <v>Year 2:   2028</v>
      </c>
      <c r="F18" s="396"/>
      <c r="G18" s="397" t="str">
        <f>G6</f>
        <v>Year 3:   2029</v>
      </c>
      <c r="H18" s="396"/>
      <c r="I18" s="397" t="str">
        <f>I6</f>
        <v>Year 4:   2030</v>
      </c>
      <c r="J18" s="396"/>
    </row>
    <row r="19" spans="1:11" s="48" customFormat="1" ht="17.25" customHeight="1">
      <c r="A19" s="69" t="str">
        <f t="shared" ref="A19:A26" si="5">IF(A7="","",A7)</f>
        <v>product 1</v>
      </c>
      <c r="B19" s="393">
        <f t="shared" ref="B19:B26" si="6">B7*10%</f>
        <v>0.1</v>
      </c>
      <c r="C19" s="398">
        <f>C7</f>
        <v>0.03</v>
      </c>
      <c r="D19" s="3165">
        <f t="array" ref="D19:D26">B19:B26*(1+C19:C26)</f>
        <v>0.10300000000000001</v>
      </c>
      <c r="E19" s="398">
        <f>C19</f>
        <v>0.03</v>
      </c>
      <c r="F19" s="3165">
        <f t="array" ref="F19:F26">D19:D26*(1+E19:E26)</f>
        <v>0.10609000000000002</v>
      </c>
      <c r="G19" s="398">
        <f>E19</f>
        <v>0.03</v>
      </c>
      <c r="H19" s="3165">
        <f t="array" ref="H19:H26">F19:F26*(1+G19:G26)</f>
        <v>0.10927270000000001</v>
      </c>
      <c r="I19" s="398">
        <f>G19</f>
        <v>0.03</v>
      </c>
      <c r="J19" s="3165">
        <f t="array" ref="J19:J26">H19:H26*(1+I19:I26)</f>
        <v>0.11255088100000002</v>
      </c>
    </row>
    <row r="20" spans="1:11" s="48" customFormat="1" ht="17.25" customHeight="1">
      <c r="A20" s="1326" t="str">
        <f t="shared" si="5"/>
        <v/>
      </c>
      <c r="B20" s="394">
        <f t="shared" si="6"/>
        <v>0.1</v>
      </c>
      <c r="C20" s="399">
        <f t="shared" ref="C20:C26" si="7">C19</f>
        <v>0.03</v>
      </c>
      <c r="D20" s="3166">
        <v>0.10300000000000001</v>
      </c>
      <c r="E20" s="399">
        <f t="shared" ref="E20:I26" si="8">E19</f>
        <v>0.03</v>
      </c>
      <c r="F20" s="3166">
        <v>0.10609000000000002</v>
      </c>
      <c r="G20" s="399">
        <f t="shared" si="8"/>
        <v>0.03</v>
      </c>
      <c r="H20" s="3166">
        <v>0.10927270000000001</v>
      </c>
      <c r="I20" s="399">
        <f t="shared" si="8"/>
        <v>0.03</v>
      </c>
      <c r="J20" s="3166">
        <v>0.11255088100000002</v>
      </c>
    </row>
    <row r="21" spans="1:11" s="48" customFormat="1" ht="17.25" customHeight="1">
      <c r="A21" s="1326" t="str">
        <f t="shared" si="5"/>
        <v/>
      </c>
      <c r="B21" s="394">
        <f t="shared" si="6"/>
        <v>0.1</v>
      </c>
      <c r="C21" s="399">
        <f t="shared" si="7"/>
        <v>0.03</v>
      </c>
      <c r="D21" s="3166">
        <v>0.10300000000000001</v>
      </c>
      <c r="E21" s="399">
        <f t="shared" si="8"/>
        <v>0.03</v>
      </c>
      <c r="F21" s="3166">
        <v>0.10609000000000002</v>
      </c>
      <c r="G21" s="399">
        <f t="shared" si="8"/>
        <v>0.03</v>
      </c>
      <c r="H21" s="3166">
        <v>0.10927270000000001</v>
      </c>
      <c r="I21" s="399">
        <f t="shared" si="8"/>
        <v>0.03</v>
      </c>
      <c r="J21" s="3166">
        <v>0.11255088100000002</v>
      </c>
    </row>
    <row r="22" spans="1:11" s="48" customFormat="1" ht="17.25" customHeight="1">
      <c r="A22" s="1326" t="str">
        <f t="shared" si="5"/>
        <v/>
      </c>
      <c r="B22" s="394">
        <f t="shared" si="6"/>
        <v>0.1</v>
      </c>
      <c r="C22" s="399">
        <f t="shared" si="7"/>
        <v>0.03</v>
      </c>
      <c r="D22" s="3166">
        <v>0.10300000000000001</v>
      </c>
      <c r="E22" s="399">
        <f t="shared" si="8"/>
        <v>0.03</v>
      </c>
      <c r="F22" s="3166">
        <v>0.10609000000000002</v>
      </c>
      <c r="G22" s="399">
        <f t="shared" si="8"/>
        <v>0.03</v>
      </c>
      <c r="H22" s="3166">
        <v>0.10927270000000001</v>
      </c>
      <c r="I22" s="399">
        <f t="shared" si="8"/>
        <v>0.03</v>
      </c>
      <c r="J22" s="3166">
        <v>0.11255088100000002</v>
      </c>
    </row>
    <row r="23" spans="1:11" s="48" customFormat="1" ht="17.25" customHeight="1">
      <c r="A23" s="1326" t="str">
        <f t="shared" si="5"/>
        <v/>
      </c>
      <c r="B23" s="394">
        <f t="shared" si="6"/>
        <v>0.1</v>
      </c>
      <c r="C23" s="399">
        <f t="shared" si="7"/>
        <v>0.03</v>
      </c>
      <c r="D23" s="3166">
        <v>0.10300000000000001</v>
      </c>
      <c r="E23" s="399">
        <f t="shared" si="8"/>
        <v>0.03</v>
      </c>
      <c r="F23" s="3166">
        <v>0.10609000000000002</v>
      </c>
      <c r="G23" s="399">
        <f t="shared" si="8"/>
        <v>0.03</v>
      </c>
      <c r="H23" s="3166">
        <v>0.10927270000000001</v>
      </c>
      <c r="I23" s="399">
        <f t="shared" si="8"/>
        <v>0.03</v>
      </c>
      <c r="J23" s="3166">
        <v>0.11255088100000002</v>
      </c>
    </row>
    <row r="24" spans="1:11" s="48" customFormat="1" ht="17.25" customHeight="1">
      <c r="A24" s="1326" t="str">
        <f t="shared" si="5"/>
        <v/>
      </c>
      <c r="B24" s="394">
        <f t="shared" si="6"/>
        <v>0.1</v>
      </c>
      <c r="C24" s="399">
        <f t="shared" si="7"/>
        <v>0.03</v>
      </c>
      <c r="D24" s="3166">
        <v>0.10300000000000001</v>
      </c>
      <c r="E24" s="399">
        <f t="shared" si="8"/>
        <v>0.03</v>
      </c>
      <c r="F24" s="3166">
        <v>0.10609000000000002</v>
      </c>
      <c r="G24" s="399">
        <f t="shared" si="8"/>
        <v>0.03</v>
      </c>
      <c r="H24" s="3166">
        <v>0.10927270000000001</v>
      </c>
      <c r="I24" s="399">
        <f t="shared" si="8"/>
        <v>0.03</v>
      </c>
      <c r="J24" s="3166">
        <v>0.11255088100000002</v>
      </c>
    </row>
    <row r="25" spans="1:11" s="48" customFormat="1" ht="17.25" customHeight="1">
      <c r="A25" s="1326" t="str">
        <f t="shared" si="5"/>
        <v/>
      </c>
      <c r="B25" s="394">
        <f t="shared" si="6"/>
        <v>0.1</v>
      </c>
      <c r="C25" s="399">
        <f t="shared" si="7"/>
        <v>0.03</v>
      </c>
      <c r="D25" s="3166">
        <v>0.10300000000000001</v>
      </c>
      <c r="E25" s="399">
        <f t="shared" si="8"/>
        <v>0.03</v>
      </c>
      <c r="F25" s="3166">
        <v>0.10609000000000002</v>
      </c>
      <c r="G25" s="399">
        <f t="shared" si="8"/>
        <v>0.03</v>
      </c>
      <c r="H25" s="3166">
        <v>0.10927270000000001</v>
      </c>
      <c r="I25" s="399">
        <f t="shared" si="8"/>
        <v>0.03</v>
      </c>
      <c r="J25" s="3166">
        <v>0.11255088100000002</v>
      </c>
    </row>
    <row r="26" spans="1:11" s="48" customFormat="1" ht="17.25" customHeight="1" thickBot="1">
      <c r="A26" s="70" t="str">
        <f t="shared" si="5"/>
        <v/>
      </c>
      <c r="B26" s="395">
        <f t="shared" si="6"/>
        <v>0.4</v>
      </c>
      <c r="C26" s="400">
        <f t="shared" si="7"/>
        <v>0.03</v>
      </c>
      <c r="D26" s="3167">
        <v>0.41200000000000003</v>
      </c>
      <c r="E26" s="400">
        <f t="shared" si="8"/>
        <v>0.03</v>
      </c>
      <c r="F26" s="3167">
        <v>0.42436000000000007</v>
      </c>
      <c r="G26" s="400">
        <f t="shared" si="8"/>
        <v>0.03</v>
      </c>
      <c r="H26" s="3167">
        <v>0.43709080000000006</v>
      </c>
      <c r="I26" s="400">
        <f t="shared" si="8"/>
        <v>0.03</v>
      </c>
      <c r="J26" s="3167">
        <v>0.45020352400000008</v>
      </c>
    </row>
    <row r="27" spans="1:11">
      <c r="A27" s="61" t="s">
        <v>553</v>
      </c>
    </row>
    <row r="28" spans="1:11">
      <c r="A28" s="61"/>
    </row>
    <row r="30" spans="1:11" s="48" customFormat="1" ht="33" customHeight="1" thickBot="1">
      <c r="A30" s="2396" t="s">
        <v>562</v>
      </c>
    </row>
    <row r="31" spans="1:11" ht="32.25" customHeight="1" thickBot="1">
      <c r="A31" s="382" t="s">
        <v>3</v>
      </c>
      <c r="B31" s="391" t="str">
        <f>B6</f>
        <v>Year 0:   2026</v>
      </c>
      <c r="C31" s="392"/>
      <c r="D31" s="391" t="str">
        <f>C6</f>
        <v>Year 1:   2027</v>
      </c>
      <c r="E31" s="392"/>
      <c r="F31" s="391" t="str">
        <f>E6</f>
        <v>Year 2:   2028</v>
      </c>
      <c r="G31" s="392"/>
      <c r="H31" s="391" t="str">
        <f>G6</f>
        <v>Year 3:   2029</v>
      </c>
      <c r="I31" s="392"/>
      <c r="J31" s="391" t="str">
        <f>I6</f>
        <v>Year 4:   2030</v>
      </c>
      <c r="K31" s="392"/>
    </row>
    <row r="32" spans="1:11" ht="30.75" thickBot="1">
      <c r="A32" s="383" t="str">
        <f>$A$6</f>
        <v>Line of products
(products or services)</v>
      </c>
      <c r="B32" s="384" t="s">
        <v>564</v>
      </c>
      <c r="C32" s="384" t="s">
        <v>563</v>
      </c>
      <c r="D32" s="384" t="str">
        <f t="array" ref="D32:E32">$B32:$C32</f>
        <v>Unit.  Direct Cost</v>
      </c>
      <c r="E32" s="384" t="str">
        <v>Unit. Margin</v>
      </c>
      <c r="F32" s="384" t="str">
        <f t="array" ref="F32:G32">$B32:$C32</f>
        <v>Unit.  Direct Cost</v>
      </c>
      <c r="G32" s="384" t="str">
        <v>Unit. Margin</v>
      </c>
      <c r="H32" s="384" t="str">
        <f t="array" ref="H32:I32">$B32:$C32</f>
        <v>Unit.  Direct Cost</v>
      </c>
      <c r="I32" s="384" t="str">
        <v>Unit. Margin</v>
      </c>
      <c r="J32" s="384" t="str">
        <f t="array" ref="J32:K32">$B32:$C32</f>
        <v>Unit.  Direct Cost</v>
      </c>
      <c r="K32" s="384" t="str">
        <v>Unit. Margin</v>
      </c>
    </row>
    <row r="33" spans="1:11">
      <c r="A33" s="1327" t="str">
        <f t="array" ref="A33:A40">productos</f>
        <v>product 1</v>
      </c>
      <c r="B33" s="386">
        <f t="array" ref="B33:B40">IF(B7:B14=0,"",B19:B26/B7:B14)</f>
        <v>0.1</v>
      </c>
      <c r="C33" s="386">
        <f t="array" ref="C33:C40">IF(B33:B40="","",1-B33:B40)</f>
        <v>0.9</v>
      </c>
      <c r="D33" s="386">
        <f t="array" ref="D33:D40">IF(D7:D14=0,"",D19:D26/D7:D14)</f>
        <v>0.1</v>
      </c>
      <c r="E33" s="386">
        <f t="array" ref="E33:E40">IF(D33:D40="","",1-D33:D40)</f>
        <v>0.9</v>
      </c>
      <c r="F33" s="386">
        <f t="array" ref="F33:F40">IF(F7:F14=0,"",F19:F26/F7:F14)</f>
        <v>0.10000000000000002</v>
      </c>
      <c r="G33" s="386">
        <f t="array" ref="G33:G40">IF(F33:F40="","",1-F33:F40)</f>
        <v>0.9</v>
      </c>
      <c r="H33" s="386">
        <f t="array" ref="H33:H40">IF(H7:H14=0,"",H19:H26/H7:H14)</f>
        <v>0.10000000000000002</v>
      </c>
      <c r="I33" s="386">
        <f t="array" ref="I33:I40">IF(H33:H40="","",1-H33:H40)</f>
        <v>0.9</v>
      </c>
      <c r="J33" s="386">
        <f t="array" ref="J33:J40">IF(J7:J14=0,"",J19:J26/J7:J14)</f>
        <v>0.1</v>
      </c>
      <c r="K33" s="386">
        <f t="array" ref="K33:K40">IF(J33:J40="","",1-J33:J40)</f>
        <v>0.9</v>
      </c>
    </row>
    <row r="34" spans="1:11">
      <c r="A34" s="1328" t="str">
        <v/>
      </c>
      <c r="B34" s="386">
        <v>0.1</v>
      </c>
      <c r="C34" s="386">
        <v>0.9</v>
      </c>
      <c r="D34" s="386">
        <v>0.1</v>
      </c>
      <c r="E34" s="386">
        <v>0.9</v>
      </c>
      <c r="F34" s="386">
        <v>0.10000000000000002</v>
      </c>
      <c r="G34" s="386">
        <v>0.9</v>
      </c>
      <c r="H34" s="386">
        <v>0.10000000000000002</v>
      </c>
      <c r="I34" s="386">
        <v>0.9</v>
      </c>
      <c r="J34" s="386">
        <v>0.1</v>
      </c>
      <c r="K34" s="386">
        <v>0.9</v>
      </c>
    </row>
    <row r="35" spans="1:11">
      <c r="A35" s="1328" t="str">
        <v/>
      </c>
      <c r="B35" s="386">
        <v>0.1</v>
      </c>
      <c r="C35" s="386">
        <v>0.9</v>
      </c>
      <c r="D35" s="386">
        <v>0.1</v>
      </c>
      <c r="E35" s="386">
        <v>0.9</v>
      </c>
      <c r="F35" s="386">
        <v>0.10000000000000002</v>
      </c>
      <c r="G35" s="386">
        <v>0.9</v>
      </c>
      <c r="H35" s="386">
        <v>0.10000000000000002</v>
      </c>
      <c r="I35" s="386">
        <v>0.9</v>
      </c>
      <c r="J35" s="386">
        <v>0.1</v>
      </c>
      <c r="K35" s="386">
        <v>0.9</v>
      </c>
    </row>
    <row r="36" spans="1:11">
      <c r="A36" s="1328" t="str">
        <v/>
      </c>
      <c r="B36" s="386">
        <v>0.1</v>
      </c>
      <c r="C36" s="386">
        <v>0.9</v>
      </c>
      <c r="D36" s="386">
        <v>0.1</v>
      </c>
      <c r="E36" s="386">
        <v>0.9</v>
      </c>
      <c r="F36" s="386">
        <v>0.10000000000000002</v>
      </c>
      <c r="G36" s="386">
        <v>0.9</v>
      </c>
      <c r="H36" s="386">
        <v>0.10000000000000002</v>
      </c>
      <c r="I36" s="386">
        <v>0.9</v>
      </c>
      <c r="J36" s="386">
        <v>0.1</v>
      </c>
      <c r="K36" s="386">
        <v>0.9</v>
      </c>
    </row>
    <row r="37" spans="1:11">
      <c r="A37" s="1328" t="str">
        <v/>
      </c>
      <c r="B37" s="386">
        <v>0.1</v>
      </c>
      <c r="C37" s="386">
        <v>0.9</v>
      </c>
      <c r="D37" s="386">
        <v>0.1</v>
      </c>
      <c r="E37" s="386">
        <v>0.9</v>
      </c>
      <c r="F37" s="386">
        <v>0.10000000000000002</v>
      </c>
      <c r="G37" s="386">
        <v>0.9</v>
      </c>
      <c r="H37" s="386">
        <v>0.10000000000000002</v>
      </c>
      <c r="I37" s="386">
        <v>0.9</v>
      </c>
      <c r="J37" s="386">
        <v>0.1</v>
      </c>
      <c r="K37" s="386">
        <v>0.9</v>
      </c>
    </row>
    <row r="38" spans="1:11">
      <c r="A38" s="1328" t="str">
        <v/>
      </c>
      <c r="B38" s="386">
        <v>0.1</v>
      </c>
      <c r="C38" s="386">
        <v>0.9</v>
      </c>
      <c r="D38" s="386">
        <v>0.1</v>
      </c>
      <c r="E38" s="386">
        <v>0.9</v>
      </c>
      <c r="F38" s="386">
        <v>0.10000000000000002</v>
      </c>
      <c r="G38" s="386">
        <v>0.9</v>
      </c>
      <c r="H38" s="386">
        <v>0.10000000000000002</v>
      </c>
      <c r="I38" s="386">
        <v>0.9</v>
      </c>
      <c r="J38" s="386">
        <v>0.1</v>
      </c>
      <c r="K38" s="386">
        <v>0.9</v>
      </c>
    </row>
    <row r="39" spans="1:11">
      <c r="A39" s="1328" t="str">
        <v/>
      </c>
      <c r="B39" s="386">
        <v>0.1</v>
      </c>
      <c r="C39" s="387">
        <v>0.9</v>
      </c>
      <c r="D39" s="386">
        <v>0.1</v>
      </c>
      <c r="E39" s="387">
        <v>0.9</v>
      </c>
      <c r="F39" s="386">
        <v>0.10000000000000002</v>
      </c>
      <c r="G39" s="387">
        <v>0.9</v>
      </c>
      <c r="H39" s="386">
        <v>0.10000000000000002</v>
      </c>
      <c r="I39" s="387">
        <v>0.9</v>
      </c>
      <c r="J39" s="386">
        <v>0.1</v>
      </c>
      <c r="K39" s="3046">
        <v>0.9</v>
      </c>
    </row>
    <row r="40" spans="1:11" ht="15.75" thickBot="1">
      <c r="A40" s="1329" t="str">
        <v/>
      </c>
      <c r="B40" s="388">
        <v>0.1</v>
      </c>
      <c r="C40" s="389">
        <v>0.9</v>
      </c>
      <c r="D40" s="388">
        <v>0.1</v>
      </c>
      <c r="E40" s="389">
        <v>0.9</v>
      </c>
      <c r="F40" s="388">
        <v>0.10000000000000002</v>
      </c>
      <c r="G40" s="389">
        <v>0.9</v>
      </c>
      <c r="H40" s="388">
        <v>0.10000000000000002</v>
      </c>
      <c r="I40" s="389">
        <v>0.9</v>
      </c>
      <c r="J40" s="388">
        <v>0.1</v>
      </c>
      <c r="K40" s="3047">
        <v>0.9</v>
      </c>
    </row>
    <row r="43" spans="1:11" s="20" customFormat="1" ht="26.25" thickBot="1">
      <c r="A43" s="290" t="s">
        <v>565</v>
      </c>
      <c r="B43" s="537"/>
      <c r="C43" s="534"/>
      <c r="D43" s="538"/>
      <c r="F43" s="534"/>
      <c r="G43" s="534"/>
      <c r="H43" s="534"/>
      <c r="I43" s="539"/>
    </row>
    <row r="44" spans="1:11" s="34" customFormat="1" ht="19.5" customHeight="1" thickBot="1">
      <c r="A44" s="165" t="s">
        <v>567</v>
      </c>
      <c r="B44" s="546" t="s">
        <v>555</v>
      </c>
      <c r="C44" s="2395">
        <v>30</v>
      </c>
      <c r="D44" s="2395">
        <v>60</v>
      </c>
      <c r="E44" s="2395">
        <v>90</v>
      </c>
      <c r="F44" s="2395">
        <v>120</v>
      </c>
      <c r="G44" s="2395">
        <v>150</v>
      </c>
      <c r="H44" s="2395">
        <v>180</v>
      </c>
      <c r="I44" s="546" t="s">
        <v>554</v>
      </c>
      <c r="J44" s="546" t="s">
        <v>556</v>
      </c>
    </row>
    <row r="45" spans="1:11" s="20" customFormat="1">
      <c r="A45" s="1327" t="str">
        <f t="array" ref="A45:A52">productos</f>
        <v>product 1</v>
      </c>
      <c r="B45" s="1714">
        <f t="shared" ref="B45:B52" si="9">IF(SUM(C45:H45)&gt;1,"ERROR",1-SUM(C45:H45))</f>
        <v>1</v>
      </c>
      <c r="C45" s="1715">
        <v>0</v>
      </c>
      <c r="D45" s="1715">
        <v>0</v>
      </c>
      <c r="E45" s="1715">
        <v>0</v>
      </c>
      <c r="F45" s="1715">
        <v>0</v>
      </c>
      <c r="G45" s="1715">
        <v>0</v>
      </c>
      <c r="H45" s="1715">
        <v>0</v>
      </c>
      <c r="I45" s="1716">
        <f t="shared" ref="I45:I52" si="10">SUM(B45:H45)</f>
        <v>1</v>
      </c>
      <c r="J45" s="1914">
        <f t="array" ref="J45">SUM($C$44:$H$44*C45:H45)</f>
        <v>0</v>
      </c>
      <c r="K45" s="1713" t="str">
        <f t="shared" ref="K45:K52" si="11">IF(I45&lt;&gt;1,"ERROR EN PORCENTAJES","")</f>
        <v/>
      </c>
    </row>
    <row r="46" spans="1:11" s="20" customFormat="1">
      <c r="A46" s="1328" t="str">
        <v/>
      </c>
      <c r="B46" s="1714">
        <f t="shared" si="9"/>
        <v>1</v>
      </c>
      <c r="C46" s="1715">
        <v>0</v>
      </c>
      <c r="D46" s="1715">
        <v>0</v>
      </c>
      <c r="E46" s="1715">
        <v>0</v>
      </c>
      <c r="F46" s="1715">
        <v>0</v>
      </c>
      <c r="G46" s="1715">
        <v>0</v>
      </c>
      <c r="H46" s="1715">
        <v>0</v>
      </c>
      <c r="I46" s="1716">
        <f t="shared" si="10"/>
        <v>1</v>
      </c>
      <c r="J46" s="1914">
        <f t="array" ref="J46">SUM($C$44:$H$44*C46:H46)</f>
        <v>0</v>
      </c>
      <c r="K46" s="1713" t="str">
        <f t="shared" si="11"/>
        <v/>
      </c>
    </row>
    <row r="47" spans="1:11" s="20" customFormat="1">
      <c r="A47" s="1328" t="str">
        <v/>
      </c>
      <c r="B47" s="1714">
        <f t="shared" si="9"/>
        <v>1</v>
      </c>
      <c r="C47" s="1715">
        <v>0</v>
      </c>
      <c r="D47" s="1715">
        <v>0</v>
      </c>
      <c r="E47" s="1715">
        <v>0</v>
      </c>
      <c r="F47" s="1715">
        <v>0</v>
      </c>
      <c r="G47" s="1715">
        <v>0</v>
      </c>
      <c r="H47" s="1715">
        <v>0</v>
      </c>
      <c r="I47" s="1716">
        <f t="shared" si="10"/>
        <v>1</v>
      </c>
      <c r="J47" s="1914">
        <f t="array" ref="J47">SUM($C$44:$H$44*C47:H47)</f>
        <v>0</v>
      </c>
      <c r="K47" s="1713" t="str">
        <f t="shared" si="11"/>
        <v/>
      </c>
    </row>
    <row r="48" spans="1:11" s="20" customFormat="1">
      <c r="A48" s="1328" t="str">
        <v/>
      </c>
      <c r="B48" s="1714">
        <f t="shared" si="9"/>
        <v>1</v>
      </c>
      <c r="C48" s="1715">
        <v>0</v>
      </c>
      <c r="D48" s="1715">
        <v>0</v>
      </c>
      <c r="E48" s="1715">
        <v>0</v>
      </c>
      <c r="F48" s="1715">
        <v>0</v>
      </c>
      <c r="G48" s="1715">
        <v>0</v>
      </c>
      <c r="H48" s="1715">
        <v>0</v>
      </c>
      <c r="I48" s="1716">
        <f t="shared" si="10"/>
        <v>1</v>
      </c>
      <c r="J48" s="1914">
        <f t="array" ref="J48">SUM($C$44:$H$44*C48:H48)</f>
        <v>0</v>
      </c>
      <c r="K48" s="1713" t="str">
        <f t="shared" si="11"/>
        <v/>
      </c>
    </row>
    <row r="49" spans="1:11" s="20" customFormat="1">
      <c r="A49" s="1328" t="str">
        <v/>
      </c>
      <c r="B49" s="1714">
        <f t="shared" si="9"/>
        <v>1</v>
      </c>
      <c r="C49" s="1715">
        <v>0</v>
      </c>
      <c r="D49" s="1715">
        <v>0</v>
      </c>
      <c r="E49" s="1715">
        <v>0</v>
      </c>
      <c r="F49" s="1715">
        <v>0</v>
      </c>
      <c r="G49" s="1715">
        <v>0</v>
      </c>
      <c r="H49" s="1715">
        <v>0</v>
      </c>
      <c r="I49" s="1716">
        <f t="shared" si="10"/>
        <v>1</v>
      </c>
      <c r="J49" s="1914">
        <f t="array" ref="J49">SUM($C$44:$H$44*C49:H49)</f>
        <v>0</v>
      </c>
      <c r="K49" s="1713" t="str">
        <f t="shared" si="11"/>
        <v/>
      </c>
    </row>
    <row r="50" spans="1:11" s="20" customFormat="1">
      <c r="A50" s="1328" t="str">
        <v/>
      </c>
      <c r="B50" s="1714">
        <f t="shared" si="9"/>
        <v>1</v>
      </c>
      <c r="C50" s="1715">
        <v>0</v>
      </c>
      <c r="D50" s="1715">
        <v>0</v>
      </c>
      <c r="E50" s="1715">
        <v>0</v>
      </c>
      <c r="F50" s="1715">
        <v>0</v>
      </c>
      <c r="G50" s="1715">
        <v>0</v>
      </c>
      <c r="H50" s="1715">
        <v>0</v>
      </c>
      <c r="I50" s="1716">
        <f t="shared" si="10"/>
        <v>1</v>
      </c>
      <c r="J50" s="1914">
        <f t="array" ref="J50">SUM($C$44:$H$44*C50:H50)</f>
        <v>0</v>
      </c>
      <c r="K50" s="1713" t="str">
        <f t="shared" si="11"/>
        <v/>
      </c>
    </row>
    <row r="51" spans="1:11" s="20" customFormat="1">
      <c r="A51" s="1328" t="str">
        <v/>
      </c>
      <c r="B51" s="1714">
        <f t="shared" si="9"/>
        <v>1</v>
      </c>
      <c r="C51" s="1715">
        <v>0</v>
      </c>
      <c r="D51" s="1715">
        <v>0</v>
      </c>
      <c r="E51" s="1715">
        <v>0</v>
      </c>
      <c r="F51" s="1715">
        <v>0</v>
      </c>
      <c r="G51" s="1715">
        <v>0</v>
      </c>
      <c r="H51" s="1715">
        <v>0</v>
      </c>
      <c r="I51" s="1716">
        <f t="shared" si="10"/>
        <v>1</v>
      </c>
      <c r="J51" s="1914">
        <f t="array" ref="J51">SUM($C$44:$H$44*C51:H51)</f>
        <v>0</v>
      </c>
      <c r="K51" s="1713" t="str">
        <f t="shared" si="11"/>
        <v/>
      </c>
    </row>
    <row r="52" spans="1:11" s="20" customFormat="1" ht="15.75" thickBot="1">
      <c r="A52" s="1329" t="str">
        <v/>
      </c>
      <c r="B52" s="1717">
        <f t="shared" si="9"/>
        <v>1</v>
      </c>
      <c r="C52" s="1718">
        <v>0</v>
      </c>
      <c r="D52" s="1718">
        <v>0</v>
      </c>
      <c r="E52" s="1718">
        <v>0</v>
      </c>
      <c r="F52" s="1718">
        <v>0</v>
      </c>
      <c r="G52" s="1718">
        <v>0</v>
      </c>
      <c r="H52" s="1718">
        <v>0</v>
      </c>
      <c r="I52" s="1719">
        <f t="shared" si="10"/>
        <v>1</v>
      </c>
      <c r="J52" s="1915">
        <f t="array" ref="J52">SUM($C$44:$H$44*C52:H52)</f>
        <v>0</v>
      </c>
      <c r="K52" s="1713" t="str">
        <f t="shared" si="11"/>
        <v/>
      </c>
    </row>
    <row r="53" spans="1:11" s="20" customFormat="1">
      <c r="K53" s="34"/>
    </row>
    <row r="54" spans="1:11" s="20" customFormat="1">
      <c r="K54" s="34"/>
    </row>
    <row r="55" spans="1:11" s="20" customFormat="1" ht="26.25" thickBot="1">
      <c r="A55" s="290" t="s">
        <v>566</v>
      </c>
      <c r="B55" s="537"/>
      <c r="C55" s="534"/>
      <c r="D55" s="538"/>
      <c r="E55" s="273"/>
      <c r="F55" s="534"/>
      <c r="G55" s="534"/>
      <c r="H55" s="534"/>
      <c r="I55" s="539"/>
      <c r="J55" s="539"/>
      <c r="K55" s="34"/>
    </row>
    <row r="56" spans="1:11" s="34" customFormat="1" ht="19.5" customHeight="1" thickBot="1">
      <c r="A56" s="165" t="str">
        <f t="array" ref="A56:J56">A44:J44</f>
        <v>Lines of products</v>
      </c>
      <c r="B56" s="546" t="str">
        <v>% cash</v>
      </c>
      <c r="C56" s="2395">
        <v>30</v>
      </c>
      <c r="D56" s="2395">
        <v>60</v>
      </c>
      <c r="E56" s="2395">
        <v>90</v>
      </c>
      <c r="F56" s="2395">
        <v>120</v>
      </c>
      <c r="G56" s="2395">
        <v>150</v>
      </c>
      <c r="H56" s="2395">
        <v>180</v>
      </c>
      <c r="I56" s="546" t="str">
        <v>Totals</v>
      </c>
      <c r="J56" s="546" t="str">
        <v>av. Delay</v>
      </c>
    </row>
    <row r="57" spans="1:11" s="34" customFormat="1">
      <c r="A57" s="1327" t="str">
        <f t="array" ref="A57:A64">productos</f>
        <v>product 1</v>
      </c>
      <c r="B57" s="1714">
        <f t="shared" ref="B57:B64" si="12">IF(SUM(C57:H57)&gt;1,"ERROR",1-SUM(C57:H57))</f>
        <v>1</v>
      </c>
      <c r="C57" s="1715">
        <v>0</v>
      </c>
      <c r="D57" s="1715">
        <v>0</v>
      </c>
      <c r="E57" s="1715">
        <v>0</v>
      </c>
      <c r="F57" s="1715">
        <v>0</v>
      </c>
      <c r="G57" s="1715">
        <v>0</v>
      </c>
      <c r="H57" s="1715">
        <v>0</v>
      </c>
      <c r="I57" s="1716">
        <f t="shared" ref="I57:I64" si="13">SUM(B57:H57)</f>
        <v>1</v>
      </c>
      <c r="J57" s="1914">
        <f t="array" ref="J57">SUM($C$56:$H$56*C57:H57)</f>
        <v>0</v>
      </c>
      <c r="K57" s="1713" t="str">
        <f t="shared" ref="K57:K64" si="14">IF(I57&lt;&gt;1,"ERROR EN PORCENTAJES","")</f>
        <v/>
      </c>
    </row>
    <row r="58" spans="1:11" s="34" customFormat="1">
      <c r="A58" s="1328" t="str">
        <v/>
      </c>
      <c r="B58" s="1714">
        <f t="shared" si="12"/>
        <v>1</v>
      </c>
      <c r="C58" s="1715">
        <v>0</v>
      </c>
      <c r="D58" s="1715">
        <v>0</v>
      </c>
      <c r="E58" s="1715">
        <v>0</v>
      </c>
      <c r="F58" s="1715">
        <v>0</v>
      </c>
      <c r="G58" s="1715">
        <v>0</v>
      </c>
      <c r="H58" s="1715">
        <v>0</v>
      </c>
      <c r="I58" s="1716">
        <f t="shared" si="13"/>
        <v>1</v>
      </c>
      <c r="J58" s="1914">
        <f t="array" ref="J58">SUM($C$56:$H$56*C58:H58)</f>
        <v>0</v>
      </c>
      <c r="K58" s="1713" t="str">
        <f t="shared" si="14"/>
        <v/>
      </c>
    </row>
    <row r="59" spans="1:11" s="34" customFormat="1">
      <c r="A59" s="1328" t="str">
        <v/>
      </c>
      <c r="B59" s="1714">
        <f t="shared" si="12"/>
        <v>1</v>
      </c>
      <c r="C59" s="1715">
        <v>0</v>
      </c>
      <c r="D59" s="1715">
        <v>0</v>
      </c>
      <c r="E59" s="1715">
        <v>0</v>
      </c>
      <c r="F59" s="1715">
        <v>0</v>
      </c>
      <c r="G59" s="1715">
        <v>0</v>
      </c>
      <c r="H59" s="1715">
        <v>0</v>
      </c>
      <c r="I59" s="1716">
        <f t="shared" si="13"/>
        <v>1</v>
      </c>
      <c r="J59" s="1914">
        <f t="array" ref="J59">SUM($C$56:$H$56*C59:H59)</f>
        <v>0</v>
      </c>
      <c r="K59" s="1713" t="str">
        <f t="shared" si="14"/>
        <v/>
      </c>
    </row>
    <row r="60" spans="1:11" s="34" customFormat="1">
      <c r="A60" s="1328" t="str">
        <v/>
      </c>
      <c r="B60" s="1714">
        <f t="shared" si="12"/>
        <v>1</v>
      </c>
      <c r="C60" s="1715">
        <v>0</v>
      </c>
      <c r="D60" s="1715">
        <v>0</v>
      </c>
      <c r="E60" s="1715">
        <v>0</v>
      </c>
      <c r="F60" s="1715">
        <v>0</v>
      </c>
      <c r="G60" s="1715">
        <v>0</v>
      </c>
      <c r="H60" s="1715">
        <v>0</v>
      </c>
      <c r="I60" s="1716">
        <f t="shared" si="13"/>
        <v>1</v>
      </c>
      <c r="J60" s="1914">
        <f t="array" ref="J60">SUM($C$56:$H$56*C60:H60)</f>
        <v>0</v>
      </c>
      <c r="K60" s="1713" t="str">
        <f t="shared" si="14"/>
        <v/>
      </c>
    </row>
    <row r="61" spans="1:11" s="34" customFormat="1">
      <c r="A61" s="1328" t="str">
        <v/>
      </c>
      <c r="B61" s="1714">
        <f t="shared" si="12"/>
        <v>1</v>
      </c>
      <c r="C61" s="1715">
        <v>0</v>
      </c>
      <c r="D61" s="1715">
        <v>0</v>
      </c>
      <c r="E61" s="1715">
        <v>0</v>
      </c>
      <c r="F61" s="1715">
        <v>0</v>
      </c>
      <c r="G61" s="1715">
        <v>0</v>
      </c>
      <c r="H61" s="1715">
        <v>0</v>
      </c>
      <c r="I61" s="1716">
        <f t="shared" si="13"/>
        <v>1</v>
      </c>
      <c r="J61" s="1914">
        <f t="array" ref="J61">SUM($C$56:$H$56*C61:H61)</f>
        <v>0</v>
      </c>
      <c r="K61" s="1713" t="str">
        <f t="shared" si="14"/>
        <v/>
      </c>
    </row>
    <row r="62" spans="1:11" s="34" customFormat="1">
      <c r="A62" s="1328" t="str">
        <v/>
      </c>
      <c r="B62" s="1714">
        <f t="shared" si="12"/>
        <v>1</v>
      </c>
      <c r="C62" s="1715">
        <v>0</v>
      </c>
      <c r="D62" s="1715">
        <v>0</v>
      </c>
      <c r="E62" s="1715">
        <v>0</v>
      </c>
      <c r="F62" s="1715">
        <v>0</v>
      </c>
      <c r="G62" s="1715">
        <v>0</v>
      </c>
      <c r="H62" s="1715">
        <v>0</v>
      </c>
      <c r="I62" s="1716">
        <f t="shared" si="13"/>
        <v>1</v>
      </c>
      <c r="J62" s="1914">
        <f t="array" ref="J62">SUM($C$56:$H$56*C62:H62)</f>
        <v>0</v>
      </c>
      <c r="K62" s="1713" t="str">
        <f t="shared" si="14"/>
        <v/>
      </c>
    </row>
    <row r="63" spans="1:11" s="34" customFormat="1">
      <c r="A63" s="1328" t="str">
        <v/>
      </c>
      <c r="B63" s="1714">
        <f t="shared" si="12"/>
        <v>1</v>
      </c>
      <c r="C63" s="1715">
        <v>0</v>
      </c>
      <c r="D63" s="1715">
        <v>0</v>
      </c>
      <c r="E63" s="1715">
        <v>0</v>
      </c>
      <c r="F63" s="1715">
        <v>0</v>
      </c>
      <c r="G63" s="1715">
        <v>0</v>
      </c>
      <c r="H63" s="1715">
        <v>0</v>
      </c>
      <c r="I63" s="1716">
        <f t="shared" si="13"/>
        <v>1</v>
      </c>
      <c r="J63" s="1914">
        <f t="array" ref="J63">SUM($C$56:$H$56*C63:H63)</f>
        <v>0</v>
      </c>
      <c r="K63" s="1713" t="str">
        <f t="shared" si="14"/>
        <v/>
      </c>
    </row>
    <row r="64" spans="1:11" s="34" customFormat="1" ht="15.75" thickBot="1">
      <c r="A64" s="1329" t="str">
        <v/>
      </c>
      <c r="B64" s="1717">
        <f t="shared" si="12"/>
        <v>1</v>
      </c>
      <c r="C64" s="1718">
        <v>0</v>
      </c>
      <c r="D64" s="1718">
        <v>0</v>
      </c>
      <c r="E64" s="1718">
        <v>0</v>
      </c>
      <c r="F64" s="1718">
        <v>0</v>
      </c>
      <c r="G64" s="1718">
        <v>0</v>
      </c>
      <c r="H64" s="1718">
        <v>0</v>
      </c>
      <c r="I64" s="1719">
        <f t="shared" si="13"/>
        <v>1</v>
      </c>
      <c r="J64" s="1915">
        <f t="array" ref="J64">SUM($C$56:$H$56*C64:H64)</f>
        <v>0</v>
      </c>
      <c r="K64" s="1713" t="str">
        <f t="shared" si="14"/>
        <v/>
      </c>
    </row>
  </sheetData>
  <sheetProtection sheet="1" objects="1" scenarios="1"/>
  <phoneticPr fontId="7" type="noConversion"/>
  <conditionalFormatting sqref="B44">
    <cfRule type="cellIs" dxfId="28" priority="2" stopIfTrue="1" operator="equal">
      <formula>"ERROR"</formula>
    </cfRule>
  </conditionalFormatting>
  <conditionalFormatting sqref="B33:K40">
    <cfRule type="expression" dxfId="27" priority="1" stopIfTrue="1">
      <formula>$A33=""</formula>
    </cfRule>
  </conditionalFormatting>
  <dataValidations disablePrompts="1" xWindow="647" yWindow="492" count="2">
    <dataValidation type="decimal" allowBlank="1" showInputMessage="1" showErrorMessage="1" sqref="C45:H52 L7:M14 F15:Q15 C57:H64" xr:uid="{00000000-0002-0000-1200-000000000000}">
      <formula1>0</formula1>
      <formula2>1</formula2>
    </dataValidation>
    <dataValidation type="textLength" allowBlank="1" showInputMessage="1" showErrorMessage="1" prompt="Nombre del producto o servicio o de la familia (una por linea)_x000a_O bien Ventas globales si se estiman conjuntamente las ventas." sqref="A7:A14" xr:uid="{00000000-0002-0000-1200-000001000000}">
      <formula1>0</formula1>
      <formula2>32</formula2>
    </dataValidation>
  </dataValidations>
  <printOptions horizontalCentered="1"/>
  <pageMargins left="0.35433070866141736" right="0.75" top="0.48" bottom="0.35433070866141736" header="0" footer="0"/>
  <pageSetup paperSize="9" scale="66" orientation="portrait" horizontalDpi="300" r:id="rId1"/>
  <headerFooter alignWithMargins="0">
    <oddFooter>&amp;C&amp;"Tahoma,Normal"&amp;10&amp;A</oddFooter>
  </headerFooter>
  <rowBreaks count="1" manualBreakCount="1">
    <brk id="16" max="10"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55">
    <tabColor indexed="26"/>
    <pageSetUpPr fitToPage="1"/>
  </sheetPr>
  <dimension ref="A1"/>
  <sheetViews>
    <sheetView showGridLines="0" zoomScale="85" zoomScaleNormal="85" workbookViewId="0">
      <selection activeCell="M11" sqref="M11"/>
    </sheetView>
  </sheetViews>
  <sheetFormatPr baseColWidth="10" defaultRowHeight="15.75"/>
  <sheetData/>
  <sheetProtection sheet="1" objects="1" scenarios="1"/>
  <phoneticPr fontId="7" type="noConversion"/>
  <pageMargins left="0.78740157480314965" right="0.78740157480314965" top="0.59055118110236227" bottom="0.68" header="0" footer="0"/>
  <pageSetup paperSize="9" scale="72" orientation="portrait" r:id="rId1"/>
  <headerFooter alignWithMargins="0">
    <oddHeader>&amp;C&amp;F  &amp;A</oddHeader>
  </headerFooter>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5">
    <tabColor indexed="43"/>
  </sheetPr>
  <dimension ref="A1:J95"/>
  <sheetViews>
    <sheetView showGridLines="0" topLeftCell="A28" zoomScale="80" zoomScaleNormal="80" workbookViewId="0">
      <selection activeCell="E23" sqref="E23"/>
    </sheetView>
  </sheetViews>
  <sheetFormatPr baseColWidth="10" defaultColWidth="11" defaultRowHeight="15"/>
  <cols>
    <col min="1" max="1" width="25" style="20" customWidth="1"/>
    <col min="2" max="8" width="11" style="20"/>
    <col min="9" max="9" width="7.875" style="20" customWidth="1"/>
    <col min="10" max="16384" width="11" style="20"/>
  </cols>
  <sheetData>
    <row r="1" spans="1:10" ht="22.5">
      <c r="A1" s="445" t="str">
        <f>'Base Data'!$B$9</f>
        <v>WWW, Ltd.</v>
      </c>
    </row>
    <row r="4" spans="1:10" ht="25.5">
      <c r="A4" s="318" t="str">
        <f>CONCATENATE("Sales Cashing Policies for  ",Parameters!$B$77)</f>
        <v>Sales Cashing Policies for  Year 0:   2026</v>
      </c>
      <c r="B4" s="537"/>
      <c r="C4" s="534"/>
      <c r="D4" s="538"/>
      <c r="F4" s="534"/>
      <c r="G4" s="534"/>
      <c r="H4" s="534"/>
      <c r="I4" s="539"/>
    </row>
    <row r="5" spans="1:10" ht="7.5" customHeight="1" thickBot="1">
      <c r="A5" s="275"/>
      <c r="B5" s="277"/>
      <c r="C5" s="86"/>
      <c r="D5" s="86"/>
      <c r="E5" s="86"/>
      <c r="F5" s="86"/>
      <c r="G5" s="86"/>
      <c r="H5" s="86"/>
      <c r="I5" s="86"/>
    </row>
    <row r="6" spans="1:10" s="34" customFormat="1" ht="19.5" customHeight="1" thickBot="1">
      <c r="A6" s="165" t="str">
        <f t="array" ref="A6:J6">'Prices - DC'!$A$44:$J$44</f>
        <v>Lines of products</v>
      </c>
      <c r="B6" s="546" t="str">
        <v>% cash</v>
      </c>
      <c r="C6" s="2395">
        <v>30</v>
      </c>
      <c r="D6" s="2395">
        <v>60</v>
      </c>
      <c r="E6" s="2395">
        <v>90</v>
      </c>
      <c r="F6" s="2395">
        <v>120</v>
      </c>
      <c r="G6" s="2395">
        <v>150</v>
      </c>
      <c r="H6" s="2395">
        <v>180</v>
      </c>
      <c r="I6" s="546" t="str">
        <v>Totals</v>
      </c>
      <c r="J6" s="546" t="str">
        <v>av. Delay</v>
      </c>
    </row>
    <row r="7" spans="1:10">
      <c r="A7" s="1327" t="str">
        <f t="array" ref="A7:A14">productos</f>
        <v>product 1</v>
      </c>
      <c r="B7" s="535">
        <f>IF(SUM(C7:H7)&gt;1,"ERROR",1-SUM(C7:H7))</f>
        <v>1</v>
      </c>
      <c r="C7" s="536">
        <f>'Prices - DC'!C45</f>
        <v>0</v>
      </c>
      <c r="D7" s="536">
        <f>'Prices - DC'!D45</f>
        <v>0</v>
      </c>
      <c r="E7" s="536">
        <f>'Prices - DC'!E45</f>
        <v>0</v>
      </c>
      <c r="F7" s="536">
        <f>'Prices - DC'!F45</f>
        <v>0</v>
      </c>
      <c r="G7" s="536">
        <f>'Prices - DC'!G45</f>
        <v>0</v>
      </c>
      <c r="H7" s="536">
        <f>'Prices - DC'!H45</f>
        <v>0</v>
      </c>
      <c r="I7" s="542">
        <f t="shared" ref="I7:I14" si="0">SUM(B7:H7)</f>
        <v>1</v>
      </c>
      <c r="J7" s="1914">
        <f t="array" ref="J7">SUM($C$6:$H$6*C7:H7)</f>
        <v>0</v>
      </c>
    </row>
    <row r="8" spans="1:10">
      <c r="A8" s="1328" t="str">
        <v/>
      </c>
      <c r="B8" s="535">
        <f t="shared" ref="B8:B14" si="1">IF(SUM(C8:H8)&gt;1,"ERROR",1-SUM(C8:H8))</f>
        <v>1</v>
      </c>
      <c r="C8" s="536">
        <f>'Prices - DC'!C46</f>
        <v>0</v>
      </c>
      <c r="D8" s="536">
        <f>'Prices - DC'!D46</f>
        <v>0</v>
      </c>
      <c r="E8" s="536">
        <f>'Prices - DC'!E46</f>
        <v>0</v>
      </c>
      <c r="F8" s="536">
        <f>'Prices - DC'!F46</f>
        <v>0</v>
      </c>
      <c r="G8" s="536">
        <f>'Prices - DC'!G46</f>
        <v>0</v>
      </c>
      <c r="H8" s="536">
        <f>'Prices - DC'!H46</f>
        <v>0</v>
      </c>
      <c r="I8" s="542">
        <f t="shared" si="0"/>
        <v>1</v>
      </c>
      <c r="J8" s="1914">
        <f t="array" ref="J8">SUM($C$6:$H$6*C8:H8)</f>
        <v>0</v>
      </c>
    </row>
    <row r="9" spans="1:10">
      <c r="A9" s="1328" t="str">
        <v/>
      </c>
      <c r="B9" s="535">
        <f t="shared" si="1"/>
        <v>1</v>
      </c>
      <c r="C9" s="536">
        <f>'Prices - DC'!C47</f>
        <v>0</v>
      </c>
      <c r="D9" s="536">
        <f>'Prices - DC'!D47</f>
        <v>0</v>
      </c>
      <c r="E9" s="536">
        <f>'Prices - DC'!E47</f>
        <v>0</v>
      </c>
      <c r="F9" s="536">
        <f>'Prices - DC'!F47</f>
        <v>0</v>
      </c>
      <c r="G9" s="536">
        <f>'Prices - DC'!G47</f>
        <v>0</v>
      </c>
      <c r="H9" s="536">
        <f>'Prices - DC'!H47</f>
        <v>0</v>
      </c>
      <c r="I9" s="542">
        <f t="shared" si="0"/>
        <v>1</v>
      </c>
      <c r="J9" s="1914">
        <f t="array" ref="J9">SUM($C$6:$H$6*C9:H9)</f>
        <v>0</v>
      </c>
    </row>
    <row r="10" spans="1:10">
      <c r="A10" s="1328" t="str">
        <v/>
      </c>
      <c r="B10" s="535">
        <f t="shared" si="1"/>
        <v>1</v>
      </c>
      <c r="C10" s="536">
        <f>'Prices - DC'!C48</f>
        <v>0</v>
      </c>
      <c r="D10" s="536">
        <f>'Prices - DC'!D48</f>
        <v>0</v>
      </c>
      <c r="E10" s="536">
        <f>'Prices - DC'!E48</f>
        <v>0</v>
      </c>
      <c r="F10" s="536">
        <f>'Prices - DC'!F48</f>
        <v>0</v>
      </c>
      <c r="G10" s="536">
        <f>'Prices - DC'!G48</f>
        <v>0</v>
      </c>
      <c r="H10" s="536">
        <f>'Prices - DC'!H48</f>
        <v>0</v>
      </c>
      <c r="I10" s="542">
        <f t="shared" si="0"/>
        <v>1</v>
      </c>
      <c r="J10" s="1914">
        <f t="array" ref="J10">SUM($C$6:$H$6*C10:H10)</f>
        <v>0</v>
      </c>
    </row>
    <row r="11" spans="1:10">
      <c r="A11" s="1328" t="str">
        <v/>
      </c>
      <c r="B11" s="535">
        <f t="shared" si="1"/>
        <v>1</v>
      </c>
      <c r="C11" s="536">
        <f>'Prices - DC'!C49</f>
        <v>0</v>
      </c>
      <c r="D11" s="536">
        <f>'Prices - DC'!D49</f>
        <v>0</v>
      </c>
      <c r="E11" s="536">
        <f>'Prices - DC'!E49</f>
        <v>0</v>
      </c>
      <c r="F11" s="536">
        <f>'Prices - DC'!F49</f>
        <v>0</v>
      </c>
      <c r="G11" s="536">
        <f>'Prices - DC'!G49</f>
        <v>0</v>
      </c>
      <c r="H11" s="536">
        <f>'Prices - DC'!H49</f>
        <v>0</v>
      </c>
      <c r="I11" s="542">
        <f t="shared" si="0"/>
        <v>1</v>
      </c>
      <c r="J11" s="1914">
        <f t="array" ref="J11">SUM($C$6:$H$6*C11:H11)</f>
        <v>0</v>
      </c>
    </row>
    <row r="12" spans="1:10">
      <c r="A12" s="1328" t="str">
        <v/>
      </c>
      <c r="B12" s="535">
        <f t="shared" si="1"/>
        <v>1</v>
      </c>
      <c r="C12" s="536">
        <f>'Prices - DC'!C50</f>
        <v>0</v>
      </c>
      <c r="D12" s="536">
        <f>'Prices - DC'!D50</f>
        <v>0</v>
      </c>
      <c r="E12" s="536">
        <f>'Prices - DC'!E50</f>
        <v>0</v>
      </c>
      <c r="F12" s="536">
        <f>'Prices - DC'!F50</f>
        <v>0</v>
      </c>
      <c r="G12" s="536">
        <f>'Prices - DC'!G50</f>
        <v>0</v>
      </c>
      <c r="H12" s="536">
        <f>'Prices - DC'!H50</f>
        <v>0</v>
      </c>
      <c r="I12" s="542">
        <f t="shared" si="0"/>
        <v>1</v>
      </c>
      <c r="J12" s="1914">
        <f t="array" ref="J12">SUM($C$6:$H$6*C12:H12)</f>
        <v>0</v>
      </c>
    </row>
    <row r="13" spans="1:10">
      <c r="A13" s="1328" t="str">
        <v/>
      </c>
      <c r="B13" s="535">
        <f t="shared" si="1"/>
        <v>1</v>
      </c>
      <c r="C13" s="536">
        <f>'Prices - DC'!C51</f>
        <v>0</v>
      </c>
      <c r="D13" s="536">
        <f>'Prices - DC'!D51</f>
        <v>0</v>
      </c>
      <c r="E13" s="536">
        <f>'Prices - DC'!E51</f>
        <v>0</v>
      </c>
      <c r="F13" s="536">
        <f>'Prices - DC'!F51</f>
        <v>0</v>
      </c>
      <c r="G13" s="536">
        <f>'Prices - DC'!G51</f>
        <v>0</v>
      </c>
      <c r="H13" s="536">
        <f>'Prices - DC'!H51</f>
        <v>0</v>
      </c>
      <c r="I13" s="542">
        <f t="shared" si="0"/>
        <v>1</v>
      </c>
      <c r="J13" s="1914">
        <f t="array" ref="J13">SUM($C$6:$H$6*C13:H13)</f>
        <v>0</v>
      </c>
    </row>
    <row r="14" spans="1:10" ht="15.75" thickBot="1">
      <c r="A14" s="1329" t="str">
        <v/>
      </c>
      <c r="B14" s="543">
        <f t="shared" si="1"/>
        <v>1</v>
      </c>
      <c r="C14" s="544">
        <f>'Prices - DC'!C52</f>
        <v>0</v>
      </c>
      <c r="D14" s="544">
        <f>'Prices - DC'!D52</f>
        <v>0</v>
      </c>
      <c r="E14" s="544">
        <f>'Prices - DC'!E52</f>
        <v>0</v>
      </c>
      <c r="F14" s="544">
        <f>'Prices - DC'!F52</f>
        <v>0</v>
      </c>
      <c r="G14" s="544">
        <f>'Prices - DC'!G52</f>
        <v>0</v>
      </c>
      <c r="H14" s="544">
        <f>'Prices - DC'!H52</f>
        <v>0</v>
      </c>
      <c r="I14" s="545">
        <f t="shared" si="0"/>
        <v>1</v>
      </c>
      <c r="J14" s="1914">
        <f t="array" ref="J14">SUM($C$6:$H$6*C14:H14)</f>
        <v>0</v>
      </c>
    </row>
    <row r="17" spans="1:10" ht="23.25" thickBot="1">
      <c r="A17" s="318" t="s">
        <v>574</v>
      </c>
    </row>
    <row r="18" spans="1:10" s="34" customFormat="1" ht="27" customHeight="1" thickBot="1">
      <c r="A18" s="165" t="s">
        <v>568</v>
      </c>
      <c r="B18" s="2012" t="s">
        <v>569</v>
      </c>
      <c r="C18" s="2013" t="str">
        <f>CONCATENATE(Parameters!B$75," 
( ",C$6," days )")</f>
        <v>January 
( 30 days )</v>
      </c>
      <c r="D18" s="2013" t="str">
        <f>CONCATENATE(Parameters!C$75," 
( ",D$6," days )")</f>
        <v>February 
( 60 days )</v>
      </c>
      <c r="E18" s="2013" t="str">
        <f>CONCATENATE(Parameters!D$75," 
( ",E$6," days )")</f>
        <v>March 
( 90 days )</v>
      </c>
      <c r="F18" s="2013" t="str">
        <f>CONCATENATE(Parameters!E$75," 
( ",F$6," days )")</f>
        <v>April 
( 120 days )</v>
      </c>
      <c r="G18" s="2013" t="str">
        <f>CONCATENATE(Parameters!F$75," 
( ",G$6," days )")</f>
        <v>May 
( 150 days )</v>
      </c>
      <c r="H18" s="2013" t="str">
        <f>CONCATENATE(Parameters!G$75," 
( ",H$6," days )")</f>
        <v>June 
( 180 days )</v>
      </c>
      <c r="I18" s="546" t="s">
        <v>0</v>
      </c>
    </row>
    <row r="19" spans="1:10" ht="16.5" thickTop="1" thickBot="1">
      <c r="A19" s="2397" t="s">
        <v>570</v>
      </c>
      <c r="B19" s="2014" t="str">
        <f>IF(SUM(H7:H14)&lt;&gt;0,180,IF(SUM(G7:G14)&lt;&gt;0,150,IF(SUM(F7:F14)&lt;&gt;0,120,IF(SUM(E7:E14)&lt;&gt;0,90,IF(SUM(D7:D14)&lt;&gt;0,60,IF(SUM(C7:C14)&lt;&gt;0,30,"CASH"))))))</f>
        <v>CASH</v>
      </c>
      <c r="C19" s="2015">
        <f>1-SUM(D19:H19)</f>
        <v>1</v>
      </c>
      <c r="D19" s="2016">
        <f>IF($B19=180,1/6,IF($B19=150,1/5,IF($B19=120,1/4,IF($B19=90,1/3,IF($B19=60,1/2,0)))))</f>
        <v>0</v>
      </c>
      <c r="E19" s="2016">
        <f>IF($B19=180,1/6,IF($B19=150,1/5,IF($B19=120,1/4,IF($B19=90,1/3,0))))</f>
        <v>0</v>
      </c>
      <c r="F19" s="2016">
        <f>IF($B19=180,1/6,IF($B19=150,1/5,IF($B19=120,1/4,0)))</f>
        <v>0</v>
      </c>
      <c r="G19" s="2016">
        <f>IF($B19=180,1/6,IF($B19=150,1/5,0))</f>
        <v>0</v>
      </c>
      <c r="H19" s="2016">
        <f>IF(B19=180,1/6,0)</f>
        <v>0</v>
      </c>
      <c r="I19" s="545">
        <f>SUM(C19:H19)</f>
        <v>1</v>
      </c>
      <c r="J19" s="540" t="str">
        <f>IF(I19&lt;&gt;1,"ERROR EN PORCENTAJES","")</f>
        <v/>
      </c>
    </row>
    <row r="21" spans="1:10" ht="25.5">
      <c r="A21" s="318" t="str">
        <f>CONCATENATE("Sales Cashing Policies for  ",Parameters!$B$78)</f>
        <v>Sales Cashing Policies for  Year 1:   2027</v>
      </c>
      <c r="B21" s="537"/>
      <c r="C21" s="534"/>
      <c r="D21" s="538"/>
      <c r="E21" s="273"/>
      <c r="F21" s="534"/>
      <c r="G21" s="534"/>
      <c r="H21" s="534"/>
      <c r="I21" s="539"/>
    </row>
    <row r="22" spans="1:10" ht="7.5" customHeight="1" thickBot="1">
      <c r="A22" s="275"/>
      <c r="B22" s="277"/>
      <c r="C22" s="86"/>
      <c r="D22" s="86"/>
      <c r="E22" s="86"/>
      <c r="F22" s="86"/>
      <c r="G22" s="86"/>
      <c r="H22" s="86"/>
      <c r="I22" s="86"/>
    </row>
    <row r="23" spans="1:10" s="34" customFormat="1" ht="19.5" customHeight="1" thickBot="1">
      <c r="A23" s="165" t="str">
        <f t="array" ref="A23:J23">A$6:J$6</f>
        <v>Lines of products</v>
      </c>
      <c r="B23" s="546" t="str">
        <v>% cash</v>
      </c>
      <c r="C23" s="547">
        <v>30</v>
      </c>
      <c r="D23" s="547">
        <v>60</v>
      </c>
      <c r="E23" s="547">
        <v>90</v>
      </c>
      <c r="F23" s="547">
        <v>120</v>
      </c>
      <c r="G23" s="547">
        <v>150</v>
      </c>
      <c r="H23" s="547">
        <v>180</v>
      </c>
      <c r="I23" s="546" t="str">
        <v>Totals</v>
      </c>
      <c r="J23" s="546" t="str">
        <v>av. Delay</v>
      </c>
    </row>
    <row r="24" spans="1:10">
      <c r="A24" s="1327" t="str">
        <f t="array" ref="A24:A31">productos</f>
        <v>product 1</v>
      </c>
      <c r="B24" s="535">
        <f>IF(SUM(C24:H24)&gt;1,"ERROR",1-SUM(C24:H24))</f>
        <v>1</v>
      </c>
      <c r="C24" s="536">
        <f t="shared" ref="C24:H31" si="2">C7</f>
        <v>0</v>
      </c>
      <c r="D24" s="536">
        <f t="shared" si="2"/>
        <v>0</v>
      </c>
      <c r="E24" s="536">
        <f t="shared" si="2"/>
        <v>0</v>
      </c>
      <c r="F24" s="536">
        <f t="shared" si="2"/>
        <v>0</v>
      </c>
      <c r="G24" s="536">
        <f t="shared" si="2"/>
        <v>0</v>
      </c>
      <c r="H24" s="536">
        <f t="shared" si="2"/>
        <v>0</v>
      </c>
      <c r="I24" s="542">
        <f t="shared" ref="I24:I31" si="3">SUM(B24:H24)</f>
        <v>1</v>
      </c>
      <c r="J24" s="1914">
        <f t="array" ref="J24">SUM($C$6:$H$6*C24:H24)</f>
        <v>0</v>
      </c>
    </row>
    <row r="25" spans="1:10">
      <c r="A25" s="1328" t="str">
        <v/>
      </c>
      <c r="B25" s="535">
        <f t="shared" ref="B25:B31" si="4">IF(SUM(C25:H25)&gt;1,"ERROR",1-SUM(C25:H25))</f>
        <v>1</v>
      </c>
      <c r="C25" s="536">
        <f t="shared" si="2"/>
        <v>0</v>
      </c>
      <c r="D25" s="536">
        <f t="shared" si="2"/>
        <v>0</v>
      </c>
      <c r="E25" s="536">
        <f t="shared" si="2"/>
        <v>0</v>
      </c>
      <c r="F25" s="536">
        <f t="shared" si="2"/>
        <v>0</v>
      </c>
      <c r="G25" s="536">
        <f t="shared" si="2"/>
        <v>0</v>
      </c>
      <c r="H25" s="536">
        <f t="shared" si="2"/>
        <v>0</v>
      </c>
      <c r="I25" s="542">
        <f t="shared" si="3"/>
        <v>1</v>
      </c>
      <c r="J25" s="1914">
        <f t="array" ref="J25">SUM($C$6:$H$6*C25:H25)</f>
        <v>0</v>
      </c>
    </row>
    <row r="26" spans="1:10">
      <c r="A26" s="1328" t="str">
        <v/>
      </c>
      <c r="B26" s="535">
        <f t="shared" si="4"/>
        <v>1</v>
      </c>
      <c r="C26" s="536">
        <f t="shared" si="2"/>
        <v>0</v>
      </c>
      <c r="D26" s="536">
        <f t="shared" si="2"/>
        <v>0</v>
      </c>
      <c r="E26" s="536">
        <f t="shared" si="2"/>
        <v>0</v>
      </c>
      <c r="F26" s="536">
        <f t="shared" si="2"/>
        <v>0</v>
      </c>
      <c r="G26" s="536">
        <f t="shared" si="2"/>
        <v>0</v>
      </c>
      <c r="H26" s="536">
        <f t="shared" si="2"/>
        <v>0</v>
      </c>
      <c r="I26" s="542">
        <f t="shared" si="3"/>
        <v>1</v>
      </c>
      <c r="J26" s="1914">
        <f t="array" ref="J26">SUM($C$6:$H$6*C26:H26)</f>
        <v>0</v>
      </c>
    </row>
    <row r="27" spans="1:10">
      <c r="A27" s="1328" t="str">
        <v/>
      </c>
      <c r="B27" s="535">
        <f t="shared" si="4"/>
        <v>1</v>
      </c>
      <c r="C27" s="536">
        <f t="shared" si="2"/>
        <v>0</v>
      </c>
      <c r="D27" s="536">
        <f t="shared" si="2"/>
        <v>0</v>
      </c>
      <c r="E27" s="536">
        <f t="shared" si="2"/>
        <v>0</v>
      </c>
      <c r="F27" s="536">
        <f t="shared" si="2"/>
        <v>0</v>
      </c>
      <c r="G27" s="536">
        <f t="shared" si="2"/>
        <v>0</v>
      </c>
      <c r="H27" s="536">
        <f t="shared" si="2"/>
        <v>0</v>
      </c>
      <c r="I27" s="542">
        <f t="shared" si="3"/>
        <v>1</v>
      </c>
      <c r="J27" s="1914">
        <f t="array" ref="J27">SUM($C$6:$H$6*C27:H27)</f>
        <v>0</v>
      </c>
    </row>
    <row r="28" spans="1:10">
      <c r="A28" s="1328" t="str">
        <v/>
      </c>
      <c r="B28" s="535">
        <f t="shared" si="4"/>
        <v>1</v>
      </c>
      <c r="C28" s="536">
        <f t="shared" si="2"/>
        <v>0</v>
      </c>
      <c r="D28" s="536">
        <f t="shared" si="2"/>
        <v>0</v>
      </c>
      <c r="E28" s="536">
        <f t="shared" si="2"/>
        <v>0</v>
      </c>
      <c r="F28" s="536">
        <f t="shared" si="2"/>
        <v>0</v>
      </c>
      <c r="G28" s="536">
        <f t="shared" si="2"/>
        <v>0</v>
      </c>
      <c r="H28" s="536">
        <f t="shared" si="2"/>
        <v>0</v>
      </c>
      <c r="I28" s="542">
        <f t="shared" si="3"/>
        <v>1</v>
      </c>
      <c r="J28" s="1914">
        <f t="array" ref="J28">SUM($C$6:$H$6*C28:H28)</f>
        <v>0</v>
      </c>
    </row>
    <row r="29" spans="1:10">
      <c r="A29" s="1328" t="str">
        <v/>
      </c>
      <c r="B29" s="535">
        <f t="shared" si="4"/>
        <v>1</v>
      </c>
      <c r="C29" s="536">
        <f t="shared" si="2"/>
        <v>0</v>
      </c>
      <c r="D29" s="536">
        <f t="shared" si="2"/>
        <v>0</v>
      </c>
      <c r="E29" s="536">
        <f t="shared" si="2"/>
        <v>0</v>
      </c>
      <c r="F29" s="536">
        <f t="shared" si="2"/>
        <v>0</v>
      </c>
      <c r="G29" s="536">
        <f t="shared" si="2"/>
        <v>0</v>
      </c>
      <c r="H29" s="536">
        <f t="shared" si="2"/>
        <v>0</v>
      </c>
      <c r="I29" s="542">
        <f t="shared" si="3"/>
        <v>1</v>
      </c>
      <c r="J29" s="1914">
        <f t="array" ref="J29">SUM($C$6:$H$6*C29:H29)</f>
        <v>0</v>
      </c>
    </row>
    <row r="30" spans="1:10">
      <c r="A30" s="1328" t="str">
        <v/>
      </c>
      <c r="B30" s="535">
        <f t="shared" si="4"/>
        <v>1</v>
      </c>
      <c r="C30" s="536">
        <f t="shared" si="2"/>
        <v>0</v>
      </c>
      <c r="D30" s="536">
        <f t="shared" si="2"/>
        <v>0</v>
      </c>
      <c r="E30" s="536">
        <f t="shared" si="2"/>
        <v>0</v>
      </c>
      <c r="F30" s="536">
        <f t="shared" si="2"/>
        <v>0</v>
      </c>
      <c r="G30" s="536">
        <f t="shared" si="2"/>
        <v>0</v>
      </c>
      <c r="H30" s="536">
        <f t="shared" si="2"/>
        <v>0</v>
      </c>
      <c r="I30" s="542">
        <f t="shared" si="3"/>
        <v>1</v>
      </c>
      <c r="J30" s="1914">
        <f t="array" ref="J30">SUM($C$6:$H$6*C30:H30)</f>
        <v>0</v>
      </c>
    </row>
    <row r="31" spans="1:10" ht="15.75" thickBot="1">
      <c r="A31" s="1329" t="str">
        <v/>
      </c>
      <c r="B31" s="543">
        <f t="shared" si="4"/>
        <v>1</v>
      </c>
      <c r="C31" s="544">
        <f t="shared" si="2"/>
        <v>0</v>
      </c>
      <c r="D31" s="544">
        <f t="shared" si="2"/>
        <v>0</v>
      </c>
      <c r="E31" s="544">
        <f t="shared" si="2"/>
        <v>0</v>
      </c>
      <c r="F31" s="544">
        <f t="shared" si="2"/>
        <v>0</v>
      </c>
      <c r="G31" s="544">
        <f t="shared" si="2"/>
        <v>0</v>
      </c>
      <c r="H31" s="544">
        <f t="shared" si="2"/>
        <v>0</v>
      </c>
      <c r="I31" s="545">
        <f t="shared" si="3"/>
        <v>1</v>
      </c>
      <c r="J31" s="1914">
        <f t="array" ref="J31">SUM($C$6:$H$6*C31:H31)</f>
        <v>0</v>
      </c>
    </row>
    <row r="36" spans="1:10" ht="25.5">
      <c r="A36" s="318" t="str">
        <f>CONCATENATE("Sales Cashing Policies for the following years  ( ",Parameters!F65,", ",Parameters!G65," &amp; ",Parameters!H65," )")</f>
        <v>Sales Cashing Policies for the following years  ( 2028, 2029 &amp; 2030 )</v>
      </c>
      <c r="B36" s="537"/>
      <c r="C36" s="534"/>
      <c r="D36" s="538"/>
      <c r="E36" s="273"/>
      <c r="F36" s="534"/>
      <c r="G36" s="534"/>
      <c r="H36" s="534"/>
      <c r="I36" s="539"/>
    </row>
    <row r="37" spans="1:10" ht="6" customHeight="1" thickBot="1">
      <c r="A37" s="275"/>
      <c r="B37" s="277"/>
      <c r="C37" s="86"/>
      <c r="D37" s="86"/>
      <c r="E37" s="86"/>
      <c r="F37" s="86"/>
      <c r="G37" s="86"/>
      <c r="H37" s="86"/>
      <c r="I37" s="86"/>
    </row>
    <row r="38" spans="1:10" s="34" customFormat="1" ht="19.5" customHeight="1" thickBot="1">
      <c r="A38" s="165" t="str">
        <f t="array" ref="A38:J38">A$6:J$6</f>
        <v>Lines of products</v>
      </c>
      <c r="B38" s="546" t="str">
        <v>% cash</v>
      </c>
      <c r="C38" s="2395">
        <v>30</v>
      </c>
      <c r="D38" s="2395">
        <v>60</v>
      </c>
      <c r="E38" s="2395">
        <v>90</v>
      </c>
      <c r="F38" s="2395">
        <v>120</v>
      </c>
      <c r="G38" s="2395">
        <v>150</v>
      </c>
      <c r="H38" s="2395">
        <v>180</v>
      </c>
      <c r="I38" s="546" t="str">
        <v>Totals</v>
      </c>
      <c r="J38" s="546" t="str">
        <v>av. Delay</v>
      </c>
    </row>
    <row r="39" spans="1:10">
      <c r="A39" s="1327" t="str">
        <f t="array" ref="A39:A46">productos</f>
        <v>product 1</v>
      </c>
      <c r="B39" s="535">
        <f>IF(SUM(C39:H39)&gt;1,"ERROR",1-SUM(C39:H39))</f>
        <v>1</v>
      </c>
      <c r="C39" s="536">
        <f t="shared" ref="C39:H46" si="5">C24</f>
        <v>0</v>
      </c>
      <c r="D39" s="536">
        <f t="shared" si="5"/>
        <v>0</v>
      </c>
      <c r="E39" s="536">
        <f t="shared" si="5"/>
        <v>0</v>
      </c>
      <c r="F39" s="536">
        <f t="shared" si="5"/>
        <v>0</v>
      </c>
      <c r="G39" s="536">
        <f t="shared" si="5"/>
        <v>0</v>
      </c>
      <c r="H39" s="536">
        <f t="shared" si="5"/>
        <v>0</v>
      </c>
      <c r="I39" s="542">
        <f t="shared" ref="I39:I46" si="6">SUM(B39:H39)</f>
        <v>1</v>
      </c>
      <c r="J39" s="1914">
        <f t="array" ref="J39">SUM($C$6:$H$6*C39:H39)</f>
        <v>0</v>
      </c>
    </row>
    <row r="40" spans="1:10">
      <c r="A40" s="1328" t="str">
        <v/>
      </c>
      <c r="B40" s="535">
        <f t="shared" ref="B40:B46" si="7">IF(SUM(C40:H40)&gt;1,"ERROR",1-SUM(C40:H40))</f>
        <v>1</v>
      </c>
      <c r="C40" s="536">
        <f t="shared" si="5"/>
        <v>0</v>
      </c>
      <c r="D40" s="536">
        <f t="shared" si="5"/>
        <v>0</v>
      </c>
      <c r="E40" s="536">
        <f t="shared" si="5"/>
        <v>0</v>
      </c>
      <c r="F40" s="536">
        <f t="shared" si="5"/>
        <v>0</v>
      </c>
      <c r="G40" s="536">
        <f t="shared" si="5"/>
        <v>0</v>
      </c>
      <c r="H40" s="536">
        <f t="shared" si="5"/>
        <v>0</v>
      </c>
      <c r="I40" s="542">
        <f t="shared" si="6"/>
        <v>1</v>
      </c>
      <c r="J40" s="1914">
        <f t="array" ref="J40">SUM($C$6:$H$6*C40:H40)</f>
        <v>0</v>
      </c>
    </row>
    <row r="41" spans="1:10">
      <c r="A41" s="1328" t="str">
        <v/>
      </c>
      <c r="B41" s="535">
        <f t="shared" si="7"/>
        <v>1</v>
      </c>
      <c r="C41" s="536">
        <f t="shared" si="5"/>
        <v>0</v>
      </c>
      <c r="D41" s="536">
        <f t="shared" si="5"/>
        <v>0</v>
      </c>
      <c r="E41" s="536">
        <f t="shared" si="5"/>
        <v>0</v>
      </c>
      <c r="F41" s="536">
        <f t="shared" si="5"/>
        <v>0</v>
      </c>
      <c r="G41" s="536">
        <f t="shared" si="5"/>
        <v>0</v>
      </c>
      <c r="H41" s="536">
        <f t="shared" si="5"/>
        <v>0</v>
      </c>
      <c r="I41" s="542">
        <f t="shared" si="6"/>
        <v>1</v>
      </c>
      <c r="J41" s="1914">
        <f t="array" ref="J41">SUM($C$6:$H$6*C41:H41)</f>
        <v>0</v>
      </c>
    </row>
    <row r="42" spans="1:10">
      <c r="A42" s="1328" t="str">
        <v/>
      </c>
      <c r="B42" s="535">
        <f t="shared" si="7"/>
        <v>1</v>
      </c>
      <c r="C42" s="536">
        <f t="shared" si="5"/>
        <v>0</v>
      </c>
      <c r="D42" s="536">
        <f t="shared" si="5"/>
        <v>0</v>
      </c>
      <c r="E42" s="536">
        <f t="shared" si="5"/>
        <v>0</v>
      </c>
      <c r="F42" s="536">
        <f t="shared" si="5"/>
        <v>0</v>
      </c>
      <c r="G42" s="536">
        <f t="shared" si="5"/>
        <v>0</v>
      </c>
      <c r="H42" s="536">
        <f t="shared" si="5"/>
        <v>0</v>
      </c>
      <c r="I42" s="542">
        <f t="shared" si="6"/>
        <v>1</v>
      </c>
      <c r="J42" s="1914">
        <f t="array" ref="J42">SUM($C$6:$H$6*C42:H42)</f>
        <v>0</v>
      </c>
    </row>
    <row r="43" spans="1:10">
      <c r="A43" s="1328" t="str">
        <v/>
      </c>
      <c r="B43" s="535">
        <f t="shared" si="7"/>
        <v>1</v>
      </c>
      <c r="C43" s="536">
        <f t="shared" si="5"/>
        <v>0</v>
      </c>
      <c r="D43" s="536">
        <f t="shared" si="5"/>
        <v>0</v>
      </c>
      <c r="E43" s="536">
        <f t="shared" si="5"/>
        <v>0</v>
      </c>
      <c r="F43" s="536">
        <f t="shared" si="5"/>
        <v>0</v>
      </c>
      <c r="G43" s="536">
        <f t="shared" si="5"/>
        <v>0</v>
      </c>
      <c r="H43" s="536">
        <f t="shared" si="5"/>
        <v>0</v>
      </c>
      <c r="I43" s="542">
        <f t="shared" si="6"/>
        <v>1</v>
      </c>
      <c r="J43" s="1914">
        <f t="array" ref="J43">SUM($C$6:$H$6*C43:H43)</f>
        <v>0</v>
      </c>
    </row>
    <row r="44" spans="1:10">
      <c r="A44" s="1328" t="str">
        <v/>
      </c>
      <c r="B44" s="535">
        <f t="shared" si="7"/>
        <v>1</v>
      </c>
      <c r="C44" s="536">
        <f t="shared" si="5"/>
        <v>0</v>
      </c>
      <c r="D44" s="536">
        <f t="shared" si="5"/>
        <v>0</v>
      </c>
      <c r="E44" s="536">
        <f t="shared" si="5"/>
        <v>0</v>
      </c>
      <c r="F44" s="536">
        <f t="shared" si="5"/>
        <v>0</v>
      </c>
      <c r="G44" s="536">
        <f t="shared" si="5"/>
        <v>0</v>
      </c>
      <c r="H44" s="536">
        <f t="shared" si="5"/>
        <v>0</v>
      </c>
      <c r="I44" s="542">
        <f t="shared" si="6"/>
        <v>1</v>
      </c>
      <c r="J44" s="1914">
        <f t="array" ref="J44">SUM($C$6:$H$6*C44:H44)</f>
        <v>0</v>
      </c>
    </row>
    <row r="45" spans="1:10">
      <c r="A45" s="1328" t="str">
        <v/>
      </c>
      <c r="B45" s="535">
        <f t="shared" si="7"/>
        <v>1</v>
      </c>
      <c r="C45" s="536">
        <f t="shared" si="5"/>
        <v>0</v>
      </c>
      <c r="D45" s="536">
        <f t="shared" si="5"/>
        <v>0</v>
      </c>
      <c r="E45" s="536">
        <f t="shared" si="5"/>
        <v>0</v>
      </c>
      <c r="F45" s="536">
        <f t="shared" si="5"/>
        <v>0</v>
      </c>
      <c r="G45" s="536">
        <f t="shared" si="5"/>
        <v>0</v>
      </c>
      <c r="H45" s="536">
        <f t="shared" si="5"/>
        <v>0</v>
      </c>
      <c r="I45" s="542">
        <f t="shared" si="6"/>
        <v>1</v>
      </c>
      <c r="J45" s="1914">
        <f t="array" ref="J45">SUM($C$6:$H$6*C45:H45)</f>
        <v>0</v>
      </c>
    </row>
    <row r="46" spans="1:10" ht="15.75" thickBot="1">
      <c r="A46" s="1329" t="str">
        <v/>
      </c>
      <c r="B46" s="543">
        <f t="shared" si="7"/>
        <v>1</v>
      </c>
      <c r="C46" s="544">
        <f t="shared" si="5"/>
        <v>0</v>
      </c>
      <c r="D46" s="544">
        <f t="shared" si="5"/>
        <v>0</v>
      </c>
      <c r="E46" s="544">
        <f t="shared" si="5"/>
        <v>0</v>
      </c>
      <c r="F46" s="544">
        <f t="shared" si="5"/>
        <v>0</v>
      </c>
      <c r="G46" s="544">
        <f t="shared" si="5"/>
        <v>0</v>
      </c>
      <c r="H46" s="544">
        <f t="shared" si="5"/>
        <v>0</v>
      </c>
      <c r="I46" s="545">
        <f t="shared" si="6"/>
        <v>1</v>
      </c>
      <c r="J46" s="1914">
        <f t="array" ref="J46">SUM($C$6:$H$6*C46:H46)</f>
        <v>0</v>
      </c>
    </row>
    <row r="52" spans="1:10" ht="25.5">
      <c r="A52" s="318" t="str">
        <f>CONCATENATE("Purchases &amp; Direct Costs Payment Policies for ",Parameters!$B$77)</f>
        <v>Purchases &amp; Direct Costs Payment Policies for Year 0:   2026</v>
      </c>
      <c r="B52" s="537"/>
      <c r="C52" s="534"/>
      <c r="D52" s="538"/>
      <c r="E52" s="273"/>
      <c r="F52" s="534"/>
      <c r="G52" s="534"/>
      <c r="H52" s="534"/>
      <c r="I52" s="539"/>
    </row>
    <row r="53" spans="1:10" ht="10.5" customHeight="1" thickBot="1">
      <c r="A53" s="541"/>
      <c r="B53" s="541"/>
      <c r="C53" s="541"/>
      <c r="D53" s="541"/>
      <c r="E53" s="541"/>
      <c r="F53" s="541"/>
      <c r="G53" s="541"/>
      <c r="H53" s="541"/>
      <c r="I53" s="541"/>
    </row>
    <row r="54" spans="1:10" s="34" customFormat="1" ht="19.5" customHeight="1" thickBot="1">
      <c r="A54" s="165" t="str">
        <f t="array" ref="A54:J54">A$6:J$6</f>
        <v>Lines of products</v>
      </c>
      <c r="B54" s="546" t="str">
        <v>% cash</v>
      </c>
      <c r="C54" s="2395">
        <v>30</v>
      </c>
      <c r="D54" s="2395">
        <v>60</v>
      </c>
      <c r="E54" s="2395">
        <v>90</v>
      </c>
      <c r="F54" s="2395">
        <v>120</v>
      </c>
      <c r="G54" s="2395">
        <v>150</v>
      </c>
      <c r="H54" s="2395">
        <v>180</v>
      </c>
      <c r="I54" s="546" t="str">
        <v>Totals</v>
      </c>
      <c r="J54" s="546" t="str">
        <v>av. Delay</v>
      </c>
    </row>
    <row r="55" spans="1:10">
      <c r="A55" s="1327" t="str">
        <f t="array" ref="A55:A62">productos</f>
        <v>product 1</v>
      </c>
      <c r="B55" s="535">
        <f>IF(SUM(C55:H55)&gt;1,"ERROR",1-SUM(C55:H55))</f>
        <v>1</v>
      </c>
      <c r="C55" s="536">
        <f>'Prices - DC'!C57</f>
        <v>0</v>
      </c>
      <c r="D55" s="536">
        <f>'Prices - DC'!D57</f>
        <v>0</v>
      </c>
      <c r="E55" s="536">
        <f>'Prices - DC'!E57</f>
        <v>0</v>
      </c>
      <c r="F55" s="536">
        <f>'Prices - DC'!F57</f>
        <v>0</v>
      </c>
      <c r="G55" s="536">
        <f>'Prices - DC'!G57</f>
        <v>0</v>
      </c>
      <c r="H55" s="536">
        <f>'Prices - DC'!H57</f>
        <v>0</v>
      </c>
      <c r="I55" s="542">
        <f t="shared" ref="I55:I62" si="8">SUM(B55:H55)</f>
        <v>1</v>
      </c>
      <c r="J55" s="1914">
        <f t="array" ref="J55">SUM($C$6:$H$6*C55:H55)</f>
        <v>0</v>
      </c>
    </row>
    <row r="56" spans="1:10">
      <c r="A56" s="1328" t="str">
        <v/>
      </c>
      <c r="B56" s="535">
        <f t="shared" ref="B56:B62" si="9">IF(SUM(C56:H56)&gt;1,"ERROR",1-SUM(C56:H56))</f>
        <v>1</v>
      </c>
      <c r="C56" s="536">
        <f>'Prices - DC'!C58</f>
        <v>0</v>
      </c>
      <c r="D56" s="536">
        <f>'Prices - DC'!D58</f>
        <v>0</v>
      </c>
      <c r="E56" s="536">
        <f>'Prices - DC'!E58</f>
        <v>0</v>
      </c>
      <c r="F56" s="536">
        <f>'Prices - DC'!F58</f>
        <v>0</v>
      </c>
      <c r="G56" s="536">
        <f>'Prices - DC'!G58</f>
        <v>0</v>
      </c>
      <c r="H56" s="536">
        <f>'Prices - DC'!H58</f>
        <v>0</v>
      </c>
      <c r="I56" s="542">
        <f t="shared" si="8"/>
        <v>1</v>
      </c>
      <c r="J56" s="1914">
        <f t="array" ref="J56">SUM($C$6:$H$6*C56:H56)</f>
        <v>0</v>
      </c>
    </row>
    <row r="57" spans="1:10">
      <c r="A57" s="1328" t="str">
        <v/>
      </c>
      <c r="B57" s="535">
        <f t="shared" si="9"/>
        <v>1</v>
      </c>
      <c r="C57" s="536">
        <f>'Prices - DC'!C59</f>
        <v>0</v>
      </c>
      <c r="D57" s="536">
        <f>'Prices - DC'!D59</f>
        <v>0</v>
      </c>
      <c r="E57" s="536">
        <f>'Prices - DC'!E59</f>
        <v>0</v>
      </c>
      <c r="F57" s="536">
        <f>'Prices - DC'!F59</f>
        <v>0</v>
      </c>
      <c r="G57" s="536">
        <f>'Prices - DC'!G59</f>
        <v>0</v>
      </c>
      <c r="H57" s="536">
        <f>'Prices - DC'!H59</f>
        <v>0</v>
      </c>
      <c r="I57" s="542">
        <f t="shared" si="8"/>
        <v>1</v>
      </c>
      <c r="J57" s="1914">
        <f t="array" ref="J57">SUM($C$6:$H$6*C57:H57)</f>
        <v>0</v>
      </c>
    </row>
    <row r="58" spans="1:10">
      <c r="A58" s="1328" t="str">
        <v/>
      </c>
      <c r="B58" s="535">
        <f t="shared" si="9"/>
        <v>1</v>
      </c>
      <c r="C58" s="536">
        <f>'Prices - DC'!C60</f>
        <v>0</v>
      </c>
      <c r="D58" s="536">
        <f>'Prices - DC'!D60</f>
        <v>0</v>
      </c>
      <c r="E58" s="536">
        <f>'Prices - DC'!E60</f>
        <v>0</v>
      </c>
      <c r="F58" s="536">
        <f>'Prices - DC'!F60</f>
        <v>0</v>
      </c>
      <c r="G58" s="536">
        <f>'Prices - DC'!G60</f>
        <v>0</v>
      </c>
      <c r="H58" s="536">
        <f>'Prices - DC'!H60</f>
        <v>0</v>
      </c>
      <c r="I58" s="542">
        <f t="shared" si="8"/>
        <v>1</v>
      </c>
      <c r="J58" s="1914">
        <f t="array" ref="J58">SUM($C$6:$H$6*C58:H58)</f>
        <v>0</v>
      </c>
    </row>
    <row r="59" spans="1:10">
      <c r="A59" s="1328" t="str">
        <v/>
      </c>
      <c r="B59" s="535">
        <f t="shared" si="9"/>
        <v>1</v>
      </c>
      <c r="C59" s="536">
        <f>'Prices - DC'!C61</f>
        <v>0</v>
      </c>
      <c r="D59" s="536">
        <f>'Prices - DC'!D61</f>
        <v>0</v>
      </c>
      <c r="E59" s="536">
        <f>'Prices - DC'!E61</f>
        <v>0</v>
      </c>
      <c r="F59" s="536">
        <f>'Prices - DC'!F61</f>
        <v>0</v>
      </c>
      <c r="G59" s="536">
        <f>'Prices - DC'!G61</f>
        <v>0</v>
      </c>
      <c r="H59" s="536">
        <f>'Prices - DC'!H61</f>
        <v>0</v>
      </c>
      <c r="I59" s="542">
        <f t="shared" si="8"/>
        <v>1</v>
      </c>
      <c r="J59" s="1914">
        <f t="array" ref="J59">SUM($C$6:$H$6*C59:H59)</f>
        <v>0</v>
      </c>
    </row>
    <row r="60" spans="1:10">
      <c r="A60" s="1328" t="str">
        <v/>
      </c>
      <c r="B60" s="535">
        <f t="shared" si="9"/>
        <v>1</v>
      </c>
      <c r="C60" s="536">
        <f>'Prices - DC'!C62</f>
        <v>0</v>
      </c>
      <c r="D60" s="536">
        <f>'Prices - DC'!D62</f>
        <v>0</v>
      </c>
      <c r="E60" s="536">
        <f>'Prices - DC'!E62</f>
        <v>0</v>
      </c>
      <c r="F60" s="536">
        <f>'Prices - DC'!F62</f>
        <v>0</v>
      </c>
      <c r="G60" s="536">
        <f>'Prices - DC'!G62</f>
        <v>0</v>
      </c>
      <c r="H60" s="536">
        <f>'Prices - DC'!H62</f>
        <v>0</v>
      </c>
      <c r="I60" s="542">
        <f t="shared" si="8"/>
        <v>1</v>
      </c>
      <c r="J60" s="1914">
        <f t="array" ref="J60">SUM($C$6:$H$6*C60:H60)</f>
        <v>0</v>
      </c>
    </row>
    <row r="61" spans="1:10">
      <c r="A61" s="1328" t="str">
        <v/>
      </c>
      <c r="B61" s="535">
        <f t="shared" si="9"/>
        <v>1</v>
      </c>
      <c r="C61" s="536">
        <f>'Prices - DC'!C63</f>
        <v>0</v>
      </c>
      <c r="D61" s="536">
        <f>'Prices - DC'!D63</f>
        <v>0</v>
      </c>
      <c r="E61" s="536">
        <f>'Prices - DC'!E63</f>
        <v>0</v>
      </c>
      <c r="F61" s="536">
        <f>'Prices - DC'!F63</f>
        <v>0</v>
      </c>
      <c r="G61" s="536">
        <f>'Prices - DC'!G63</f>
        <v>0</v>
      </c>
      <c r="H61" s="536">
        <f>'Prices - DC'!H63</f>
        <v>0</v>
      </c>
      <c r="I61" s="542">
        <f t="shared" si="8"/>
        <v>1</v>
      </c>
      <c r="J61" s="1914">
        <f t="array" ref="J61">SUM($C$6:$H$6*C61:H61)</f>
        <v>0</v>
      </c>
    </row>
    <row r="62" spans="1:10" ht="15.75" thickBot="1">
      <c r="A62" s="1329" t="str">
        <v/>
      </c>
      <c r="B62" s="543">
        <f t="shared" si="9"/>
        <v>1</v>
      </c>
      <c r="C62" s="544">
        <f>'Prices - DC'!C64</f>
        <v>0</v>
      </c>
      <c r="D62" s="544">
        <f>'Prices - DC'!D64</f>
        <v>0</v>
      </c>
      <c r="E62" s="544">
        <f>'Prices - DC'!E64</f>
        <v>0</v>
      </c>
      <c r="F62" s="544">
        <f>'Prices - DC'!F64</f>
        <v>0</v>
      </c>
      <c r="G62" s="544">
        <f>'Prices - DC'!G64</f>
        <v>0</v>
      </c>
      <c r="H62" s="544">
        <f>'Prices - DC'!H64</f>
        <v>0</v>
      </c>
      <c r="I62" s="545">
        <f t="shared" si="8"/>
        <v>1</v>
      </c>
      <c r="J62" s="1914">
        <f t="array" ref="J62">SUM($C$6:$H$6*C62:H62)</f>
        <v>0</v>
      </c>
    </row>
    <row r="65" spans="1:10" ht="23.25" thickBot="1">
      <c r="A65" s="318" t="s">
        <v>575</v>
      </c>
    </row>
    <row r="66" spans="1:10" s="34" customFormat="1" ht="27" customHeight="1" thickBot="1">
      <c r="A66" s="165" t="s">
        <v>573</v>
      </c>
      <c r="B66" s="2012" t="s">
        <v>572</v>
      </c>
      <c r="C66" s="2013" t="str">
        <f t="array" ref="C66:I66">C18:I18</f>
        <v>January 
( 30 days )</v>
      </c>
      <c r="D66" s="2013" t="str">
        <v>February 
( 60 days )</v>
      </c>
      <c r="E66" s="2013" t="str">
        <v>March 
( 90 days )</v>
      </c>
      <c r="F66" s="2013" t="str">
        <v>April 
( 120 days )</v>
      </c>
      <c r="G66" s="2013" t="str">
        <v>May 
( 150 days )</v>
      </c>
      <c r="H66" s="2013" t="str">
        <v>June 
( 180 days )</v>
      </c>
      <c r="I66" s="546" t="str">
        <v>Total</v>
      </c>
    </row>
    <row r="67" spans="1:10" ht="16.5" thickTop="1" thickBot="1">
      <c r="A67" s="2017" t="s">
        <v>571</v>
      </c>
      <c r="B67" s="2014" t="str">
        <f>IF(SUM(H55:H62)&lt;&gt;0,180,IF(SUM(G55:G62)&lt;&gt;0,150,IF(SUM(F55:F62)&lt;&gt;0,120,IF(SUM(E55:E62)&lt;&gt;0,90,IF(SUM(D55:D62)&lt;&gt;0,60,IF(SUM(C55:C62)&lt;&gt;0,30,"CASH"))))))</f>
        <v>CASH</v>
      </c>
      <c r="C67" s="2015">
        <f>1-SUM(D67:H67)</f>
        <v>1</v>
      </c>
      <c r="D67" s="2016">
        <f>IF($B67=180,1/6,IF($B67=150,1/5,IF($B67=120,1/4,IF($B67=90,1/3,IF($B67=60,1/2,0)))))</f>
        <v>0</v>
      </c>
      <c r="E67" s="2016">
        <f>IF($B67=180,1/6,IF($B67=150,1/5,IF($B67=120,1/4,IF($B67=90,1/3,0))))</f>
        <v>0</v>
      </c>
      <c r="F67" s="2016">
        <f>IF($B67=180,1/6,IF($B67=150,1/5,IF($B67=120,1/4,0)))</f>
        <v>0</v>
      </c>
      <c r="G67" s="2016">
        <f>IF($B67=180,1/6,IF($B67=150,1/5,0))</f>
        <v>0</v>
      </c>
      <c r="H67" s="2016">
        <f>IF(B67=180,1/6,0)</f>
        <v>0</v>
      </c>
      <c r="I67" s="545">
        <f>SUM(C67:H67)</f>
        <v>1</v>
      </c>
      <c r="J67" s="540" t="str">
        <f>IF(I67&lt;&gt;1,"ERROR EN PORCENTAJES","")</f>
        <v/>
      </c>
    </row>
    <row r="70" spans="1:10" ht="25.5">
      <c r="A70" s="318" t="str">
        <f>CONCATENATE("Purchases &amp; Direct Costs Payment Policies for  ",Parameters!$B$78)</f>
        <v>Purchases &amp; Direct Costs Payment Policies for  Year 1:   2027</v>
      </c>
      <c r="B70" s="537"/>
      <c r="C70" s="534"/>
      <c r="D70" s="538"/>
      <c r="E70" s="273"/>
      <c r="F70" s="534"/>
      <c r="G70" s="534"/>
      <c r="H70" s="534"/>
      <c r="I70" s="539"/>
    </row>
    <row r="71" spans="1:10" ht="6" customHeight="1" thickBot="1">
      <c r="A71" s="541"/>
      <c r="B71" s="541"/>
      <c r="C71" s="541"/>
      <c r="D71" s="541"/>
      <c r="E71" s="541"/>
      <c r="F71" s="541"/>
      <c r="G71" s="541"/>
      <c r="H71" s="541"/>
      <c r="I71" s="541"/>
    </row>
    <row r="72" spans="1:10" s="34" customFormat="1" ht="19.5" customHeight="1" thickBot="1">
      <c r="A72" s="165" t="str">
        <f t="array" ref="A72:J72">A$6:J$6</f>
        <v>Lines of products</v>
      </c>
      <c r="B72" s="546" t="str">
        <v>% cash</v>
      </c>
      <c r="C72" s="2395">
        <v>30</v>
      </c>
      <c r="D72" s="2395">
        <v>60</v>
      </c>
      <c r="E72" s="2395">
        <v>90</v>
      </c>
      <c r="F72" s="2395">
        <v>120</v>
      </c>
      <c r="G72" s="2395">
        <v>150</v>
      </c>
      <c r="H72" s="2395">
        <v>180</v>
      </c>
      <c r="I72" s="546" t="str">
        <v>Totals</v>
      </c>
      <c r="J72" s="546" t="str">
        <v>av. Delay</v>
      </c>
    </row>
    <row r="73" spans="1:10">
      <c r="A73" s="1327" t="str">
        <f t="array" ref="A73:A80">productos</f>
        <v>product 1</v>
      </c>
      <c r="B73" s="535">
        <f>IF(SUM(C73:H73)&gt;1,"ERROR",1-SUM(C73:H73))</f>
        <v>1</v>
      </c>
      <c r="C73" s="536">
        <f t="shared" ref="C73:H80" si="10">C55</f>
        <v>0</v>
      </c>
      <c r="D73" s="536">
        <f t="shared" si="10"/>
        <v>0</v>
      </c>
      <c r="E73" s="536">
        <f t="shared" si="10"/>
        <v>0</v>
      </c>
      <c r="F73" s="536">
        <f t="shared" si="10"/>
        <v>0</v>
      </c>
      <c r="G73" s="536">
        <f t="shared" si="10"/>
        <v>0</v>
      </c>
      <c r="H73" s="536">
        <f t="shared" si="10"/>
        <v>0</v>
      </c>
      <c r="I73" s="542">
        <f t="shared" ref="I73:I80" si="11">SUM(B73:H73)</f>
        <v>1</v>
      </c>
      <c r="J73" s="1914">
        <f t="array" ref="J73">SUM($C$6:$H$6*C73:H73)</f>
        <v>0</v>
      </c>
    </row>
    <row r="74" spans="1:10">
      <c r="A74" s="1328" t="str">
        <v/>
      </c>
      <c r="B74" s="535">
        <f t="shared" ref="B74:B80" si="12">IF(SUM(C74:H74)&gt;1,"ERROR",1-SUM(C74:H74))</f>
        <v>1</v>
      </c>
      <c r="C74" s="536">
        <f t="shared" si="10"/>
        <v>0</v>
      </c>
      <c r="D74" s="536">
        <f t="shared" si="10"/>
        <v>0</v>
      </c>
      <c r="E74" s="536">
        <f t="shared" si="10"/>
        <v>0</v>
      </c>
      <c r="F74" s="536">
        <f t="shared" si="10"/>
        <v>0</v>
      </c>
      <c r="G74" s="536">
        <f t="shared" si="10"/>
        <v>0</v>
      </c>
      <c r="H74" s="536">
        <f t="shared" si="10"/>
        <v>0</v>
      </c>
      <c r="I74" s="542">
        <f t="shared" si="11"/>
        <v>1</v>
      </c>
      <c r="J74" s="1914">
        <f t="array" ref="J74">SUM($C$6:$H$6*C74:H74)</f>
        <v>0</v>
      </c>
    </row>
    <row r="75" spans="1:10">
      <c r="A75" s="1328" t="str">
        <v/>
      </c>
      <c r="B75" s="535">
        <f t="shared" si="12"/>
        <v>1</v>
      </c>
      <c r="C75" s="536">
        <f t="shared" si="10"/>
        <v>0</v>
      </c>
      <c r="D75" s="536">
        <f t="shared" si="10"/>
        <v>0</v>
      </c>
      <c r="E75" s="536">
        <f t="shared" si="10"/>
        <v>0</v>
      </c>
      <c r="F75" s="536">
        <f t="shared" si="10"/>
        <v>0</v>
      </c>
      <c r="G75" s="536">
        <f t="shared" si="10"/>
        <v>0</v>
      </c>
      <c r="H75" s="536">
        <f t="shared" si="10"/>
        <v>0</v>
      </c>
      <c r="I75" s="542">
        <f t="shared" si="11"/>
        <v>1</v>
      </c>
      <c r="J75" s="1914">
        <f t="array" ref="J75">SUM($C$6:$H$6*C75:H75)</f>
        <v>0</v>
      </c>
    </row>
    <row r="76" spans="1:10">
      <c r="A76" s="1328" t="str">
        <v/>
      </c>
      <c r="B76" s="535">
        <f t="shared" si="12"/>
        <v>1</v>
      </c>
      <c r="C76" s="536">
        <f t="shared" si="10"/>
        <v>0</v>
      </c>
      <c r="D76" s="536">
        <f t="shared" si="10"/>
        <v>0</v>
      </c>
      <c r="E76" s="536">
        <f t="shared" si="10"/>
        <v>0</v>
      </c>
      <c r="F76" s="536">
        <f t="shared" si="10"/>
        <v>0</v>
      </c>
      <c r="G76" s="536">
        <f t="shared" si="10"/>
        <v>0</v>
      </c>
      <c r="H76" s="536">
        <f t="shared" si="10"/>
        <v>0</v>
      </c>
      <c r="I76" s="542">
        <f t="shared" si="11"/>
        <v>1</v>
      </c>
      <c r="J76" s="1914">
        <f t="array" ref="J76">SUM($C$6:$H$6*C76:H76)</f>
        <v>0</v>
      </c>
    </row>
    <row r="77" spans="1:10">
      <c r="A77" s="1328" t="str">
        <v/>
      </c>
      <c r="B77" s="535">
        <f t="shared" si="12"/>
        <v>1</v>
      </c>
      <c r="C77" s="536">
        <f t="shared" si="10"/>
        <v>0</v>
      </c>
      <c r="D77" s="536">
        <f t="shared" si="10"/>
        <v>0</v>
      </c>
      <c r="E77" s="536">
        <f t="shared" si="10"/>
        <v>0</v>
      </c>
      <c r="F77" s="536">
        <f t="shared" si="10"/>
        <v>0</v>
      </c>
      <c r="G77" s="536">
        <f t="shared" si="10"/>
        <v>0</v>
      </c>
      <c r="H77" s="536">
        <f t="shared" si="10"/>
        <v>0</v>
      </c>
      <c r="I77" s="542">
        <f t="shared" si="11"/>
        <v>1</v>
      </c>
      <c r="J77" s="1914">
        <f t="array" ref="J77">SUM($C$6:$H$6*C77:H77)</f>
        <v>0</v>
      </c>
    </row>
    <row r="78" spans="1:10">
      <c r="A78" s="1328" t="str">
        <v/>
      </c>
      <c r="B78" s="535">
        <f t="shared" si="12"/>
        <v>1</v>
      </c>
      <c r="C78" s="536">
        <f t="shared" si="10"/>
        <v>0</v>
      </c>
      <c r="D78" s="536">
        <f t="shared" si="10"/>
        <v>0</v>
      </c>
      <c r="E78" s="536">
        <f t="shared" si="10"/>
        <v>0</v>
      </c>
      <c r="F78" s="536">
        <f t="shared" si="10"/>
        <v>0</v>
      </c>
      <c r="G78" s="536">
        <f t="shared" si="10"/>
        <v>0</v>
      </c>
      <c r="H78" s="536">
        <f t="shared" si="10"/>
        <v>0</v>
      </c>
      <c r="I78" s="542">
        <f t="shared" si="11"/>
        <v>1</v>
      </c>
      <c r="J78" s="1914">
        <f t="array" ref="J78">SUM($C$6:$H$6*C78:H78)</f>
        <v>0</v>
      </c>
    </row>
    <row r="79" spans="1:10">
      <c r="A79" s="1328" t="str">
        <v/>
      </c>
      <c r="B79" s="535">
        <f t="shared" si="12"/>
        <v>1</v>
      </c>
      <c r="C79" s="536">
        <f t="shared" si="10"/>
        <v>0</v>
      </c>
      <c r="D79" s="536">
        <f t="shared" si="10"/>
        <v>0</v>
      </c>
      <c r="E79" s="536">
        <f t="shared" si="10"/>
        <v>0</v>
      </c>
      <c r="F79" s="536">
        <f t="shared" si="10"/>
        <v>0</v>
      </c>
      <c r="G79" s="536">
        <f t="shared" si="10"/>
        <v>0</v>
      </c>
      <c r="H79" s="536">
        <f t="shared" si="10"/>
        <v>0</v>
      </c>
      <c r="I79" s="542">
        <f t="shared" si="11"/>
        <v>1</v>
      </c>
      <c r="J79" s="1914">
        <f t="array" ref="J79">SUM($C$6:$H$6*C79:H79)</f>
        <v>0</v>
      </c>
    </row>
    <row r="80" spans="1:10" ht="15.75" thickBot="1">
      <c r="A80" s="1329" t="str">
        <v/>
      </c>
      <c r="B80" s="543">
        <f t="shared" si="12"/>
        <v>1</v>
      </c>
      <c r="C80" s="544">
        <f t="shared" si="10"/>
        <v>0</v>
      </c>
      <c r="D80" s="544">
        <f t="shared" si="10"/>
        <v>0</v>
      </c>
      <c r="E80" s="544">
        <f t="shared" si="10"/>
        <v>0</v>
      </c>
      <c r="F80" s="544">
        <f t="shared" si="10"/>
        <v>0</v>
      </c>
      <c r="G80" s="544">
        <f t="shared" si="10"/>
        <v>0</v>
      </c>
      <c r="H80" s="544">
        <f t="shared" si="10"/>
        <v>0</v>
      </c>
      <c r="I80" s="545">
        <f t="shared" si="11"/>
        <v>1</v>
      </c>
      <c r="J80" s="1914">
        <f t="array" ref="J80">SUM($C$6:$H$6*C80:H80)</f>
        <v>0</v>
      </c>
    </row>
    <row r="83" spans="1:10">
      <c r="A83" s="1500"/>
    </row>
    <row r="85" spans="1:10" ht="25.5">
      <c r="A85" s="318" t="str">
        <f>CONCATENATE("Purchases &amp; Direct Costs Payment Policies for subsequent years (",Parameters!F65,", ",Parameters!G65," &amp; ",Parameters!H65,")")</f>
        <v>Purchases &amp; Direct Costs Payment Policies for subsequent years (2028, 2029 &amp; 2030)</v>
      </c>
      <c r="B85" s="537"/>
      <c r="C85" s="534"/>
      <c r="D85" s="538"/>
      <c r="E85" s="273"/>
      <c r="F85" s="534"/>
      <c r="G85" s="534"/>
      <c r="H85" s="534"/>
      <c r="I85" s="539"/>
    </row>
    <row r="86" spans="1:10" ht="15.75" thickBot="1">
      <c r="A86" s="541"/>
      <c r="B86" s="541"/>
      <c r="C86" s="541"/>
      <c r="D86" s="541"/>
      <c r="E86" s="541"/>
      <c r="F86" s="541"/>
      <c r="G86" s="541"/>
      <c r="H86" s="541"/>
      <c r="I86" s="541"/>
    </row>
    <row r="87" spans="1:10" s="34" customFormat="1" ht="19.5" customHeight="1" thickBot="1">
      <c r="A87" s="165" t="str">
        <f t="array" ref="A87:J87">A$6:J$6</f>
        <v>Lines of products</v>
      </c>
      <c r="B87" s="546" t="str">
        <v>% cash</v>
      </c>
      <c r="C87" s="2395">
        <v>30</v>
      </c>
      <c r="D87" s="2395">
        <v>60</v>
      </c>
      <c r="E87" s="2395">
        <v>90</v>
      </c>
      <c r="F87" s="2395">
        <v>120</v>
      </c>
      <c r="G87" s="2395">
        <v>150</v>
      </c>
      <c r="H87" s="2395">
        <v>180</v>
      </c>
      <c r="I87" s="546" t="str">
        <v>Totals</v>
      </c>
      <c r="J87" s="546" t="str">
        <v>av. Delay</v>
      </c>
    </row>
    <row r="88" spans="1:10">
      <c r="A88" s="1327" t="str">
        <f t="array" ref="A88:A95">productos</f>
        <v>product 1</v>
      </c>
      <c r="B88" s="535">
        <f>IF(SUM(C88:H88)&gt;1,"ERROR",1-SUM(C88:H88))</f>
        <v>1</v>
      </c>
      <c r="C88" s="536">
        <f t="shared" ref="C88:H95" si="13">C73</f>
        <v>0</v>
      </c>
      <c r="D88" s="536">
        <f t="shared" si="13"/>
        <v>0</v>
      </c>
      <c r="E88" s="536">
        <f t="shared" si="13"/>
        <v>0</v>
      </c>
      <c r="F88" s="536">
        <f t="shared" si="13"/>
        <v>0</v>
      </c>
      <c r="G88" s="536">
        <f t="shared" si="13"/>
        <v>0</v>
      </c>
      <c r="H88" s="536">
        <f t="shared" si="13"/>
        <v>0</v>
      </c>
      <c r="I88" s="542">
        <f t="shared" ref="I88:I95" si="14">SUM(B88:H88)</f>
        <v>1</v>
      </c>
      <c r="J88" s="1914">
        <f t="array" ref="J88">SUM($C$6:$H$6*C88:H88)</f>
        <v>0</v>
      </c>
    </row>
    <row r="89" spans="1:10">
      <c r="A89" s="1328" t="str">
        <v/>
      </c>
      <c r="B89" s="535">
        <f t="shared" ref="B89:B95" si="15">IF(SUM(C89:H89)&gt;1,"ERROR",1-SUM(C89:H89))</f>
        <v>1</v>
      </c>
      <c r="C89" s="536">
        <f t="shared" si="13"/>
        <v>0</v>
      </c>
      <c r="D89" s="536">
        <f t="shared" si="13"/>
        <v>0</v>
      </c>
      <c r="E89" s="536">
        <f t="shared" si="13"/>
        <v>0</v>
      </c>
      <c r="F89" s="536">
        <f t="shared" si="13"/>
        <v>0</v>
      </c>
      <c r="G89" s="536">
        <f t="shared" si="13"/>
        <v>0</v>
      </c>
      <c r="H89" s="536">
        <f t="shared" si="13"/>
        <v>0</v>
      </c>
      <c r="I89" s="542">
        <f t="shared" si="14"/>
        <v>1</v>
      </c>
      <c r="J89" s="1914">
        <f t="array" ref="J89">SUM($C$6:$H$6*C89:H89)</f>
        <v>0</v>
      </c>
    </row>
    <row r="90" spans="1:10">
      <c r="A90" s="1328" t="str">
        <v/>
      </c>
      <c r="B90" s="535">
        <f t="shared" si="15"/>
        <v>1</v>
      </c>
      <c r="C90" s="536">
        <f t="shared" si="13"/>
        <v>0</v>
      </c>
      <c r="D90" s="536">
        <f t="shared" si="13"/>
        <v>0</v>
      </c>
      <c r="E90" s="536">
        <f t="shared" si="13"/>
        <v>0</v>
      </c>
      <c r="F90" s="536">
        <f t="shared" si="13"/>
        <v>0</v>
      </c>
      <c r="G90" s="536">
        <f t="shared" si="13"/>
        <v>0</v>
      </c>
      <c r="H90" s="536">
        <f t="shared" si="13"/>
        <v>0</v>
      </c>
      <c r="I90" s="542">
        <f t="shared" si="14"/>
        <v>1</v>
      </c>
      <c r="J90" s="1914">
        <f t="array" ref="J90">SUM($C$6:$H$6*C90:H90)</f>
        <v>0</v>
      </c>
    </row>
    <row r="91" spans="1:10">
      <c r="A91" s="1328" t="str">
        <v/>
      </c>
      <c r="B91" s="535">
        <f t="shared" si="15"/>
        <v>1</v>
      </c>
      <c r="C91" s="536">
        <f t="shared" si="13"/>
        <v>0</v>
      </c>
      <c r="D91" s="536">
        <f t="shared" si="13"/>
        <v>0</v>
      </c>
      <c r="E91" s="536">
        <f t="shared" si="13"/>
        <v>0</v>
      </c>
      <c r="F91" s="536">
        <f t="shared" si="13"/>
        <v>0</v>
      </c>
      <c r="G91" s="536">
        <f t="shared" si="13"/>
        <v>0</v>
      </c>
      <c r="H91" s="536">
        <f t="shared" si="13"/>
        <v>0</v>
      </c>
      <c r="I91" s="542">
        <f t="shared" si="14"/>
        <v>1</v>
      </c>
      <c r="J91" s="1914">
        <f t="array" ref="J91">SUM($C$6:$H$6*C91:H91)</f>
        <v>0</v>
      </c>
    </row>
    <row r="92" spans="1:10">
      <c r="A92" s="1328" t="str">
        <v/>
      </c>
      <c r="B92" s="535">
        <f t="shared" si="15"/>
        <v>1</v>
      </c>
      <c r="C92" s="536">
        <f t="shared" si="13"/>
        <v>0</v>
      </c>
      <c r="D92" s="536">
        <f t="shared" si="13"/>
        <v>0</v>
      </c>
      <c r="E92" s="536">
        <f t="shared" si="13"/>
        <v>0</v>
      </c>
      <c r="F92" s="536">
        <f t="shared" si="13"/>
        <v>0</v>
      </c>
      <c r="G92" s="536">
        <f t="shared" si="13"/>
        <v>0</v>
      </c>
      <c r="H92" s="536">
        <f t="shared" si="13"/>
        <v>0</v>
      </c>
      <c r="I92" s="542">
        <f t="shared" si="14"/>
        <v>1</v>
      </c>
      <c r="J92" s="1914">
        <f t="array" ref="J92">SUM($C$6:$H$6*C92:H92)</f>
        <v>0</v>
      </c>
    </row>
    <row r="93" spans="1:10">
      <c r="A93" s="1328" t="str">
        <v/>
      </c>
      <c r="B93" s="535">
        <f t="shared" si="15"/>
        <v>1</v>
      </c>
      <c r="C93" s="536">
        <f t="shared" si="13"/>
        <v>0</v>
      </c>
      <c r="D93" s="536">
        <f t="shared" si="13"/>
        <v>0</v>
      </c>
      <c r="E93" s="536">
        <f t="shared" si="13"/>
        <v>0</v>
      </c>
      <c r="F93" s="536">
        <f t="shared" si="13"/>
        <v>0</v>
      </c>
      <c r="G93" s="536">
        <f t="shared" si="13"/>
        <v>0</v>
      </c>
      <c r="H93" s="536">
        <f t="shared" si="13"/>
        <v>0</v>
      </c>
      <c r="I93" s="542">
        <f t="shared" si="14"/>
        <v>1</v>
      </c>
      <c r="J93" s="1914">
        <f t="array" ref="J93">SUM($C$6:$H$6*C93:H93)</f>
        <v>0</v>
      </c>
    </row>
    <row r="94" spans="1:10">
      <c r="A94" s="1328" t="str">
        <v/>
      </c>
      <c r="B94" s="535">
        <f t="shared" si="15"/>
        <v>1</v>
      </c>
      <c r="C94" s="536">
        <f t="shared" si="13"/>
        <v>0</v>
      </c>
      <c r="D94" s="536">
        <f t="shared" si="13"/>
        <v>0</v>
      </c>
      <c r="E94" s="536">
        <f t="shared" si="13"/>
        <v>0</v>
      </c>
      <c r="F94" s="536">
        <f t="shared" si="13"/>
        <v>0</v>
      </c>
      <c r="G94" s="536">
        <f t="shared" si="13"/>
        <v>0</v>
      </c>
      <c r="H94" s="536">
        <f t="shared" si="13"/>
        <v>0</v>
      </c>
      <c r="I94" s="542">
        <f t="shared" si="14"/>
        <v>1</v>
      </c>
      <c r="J94" s="1914">
        <f t="array" ref="J94">SUM($C$6:$H$6*C94:H94)</f>
        <v>0</v>
      </c>
    </row>
    <row r="95" spans="1:10" ht="15.75" thickBot="1">
      <c r="A95" s="1329" t="str">
        <v/>
      </c>
      <c r="B95" s="543">
        <f t="shared" si="15"/>
        <v>1</v>
      </c>
      <c r="C95" s="544">
        <f t="shared" si="13"/>
        <v>0</v>
      </c>
      <c r="D95" s="544">
        <f t="shared" si="13"/>
        <v>0</v>
      </c>
      <c r="E95" s="544">
        <f t="shared" si="13"/>
        <v>0</v>
      </c>
      <c r="F95" s="544">
        <f t="shared" si="13"/>
        <v>0</v>
      </c>
      <c r="G95" s="544">
        <f t="shared" si="13"/>
        <v>0</v>
      </c>
      <c r="H95" s="544">
        <f t="shared" si="13"/>
        <v>0</v>
      </c>
      <c r="I95" s="545">
        <f t="shared" si="14"/>
        <v>1</v>
      </c>
      <c r="J95" s="1914">
        <f t="array" ref="J95">SUM($C$6:$H$6*C95:H95)</f>
        <v>0</v>
      </c>
    </row>
  </sheetData>
  <sheetProtection sheet="1" objects="1" scenarios="1"/>
  <phoneticPr fontId="7" type="noConversion"/>
  <dataValidations count="1">
    <dataValidation type="decimal" allowBlank="1" showInputMessage="1" showErrorMessage="1" sqref="C67:H67 C55:H62 C73:H80 C88:H95 C39:H46 C24:H31 C7:H14 C19:H19" xr:uid="{00000000-0002-0000-1300-000000000000}">
      <formula1>0</formula1>
      <formula2>1</formula2>
    </dataValidation>
  </dataValidations>
  <printOptions horizontalCentered="1"/>
  <pageMargins left="0.51181102362204722" right="0.31496062992125984" top="0.86614173228346458" bottom="2.0078740157480315" header="0" footer="0"/>
  <pageSetup paperSize="9" scale="73" fitToHeight="2" orientation="portrait" horizontalDpi="300" r:id="rId1"/>
  <headerFooter alignWithMargins="0"/>
  <rowBreaks count="1" manualBreakCount="1">
    <brk id="49" max="9"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21">
    <tabColor indexed="50"/>
    <pageSetUpPr fitToPage="1"/>
  </sheetPr>
  <dimension ref="A1:Q79"/>
  <sheetViews>
    <sheetView showGridLines="0" zoomScaleNormal="100" workbookViewId="0">
      <pane xSplit="1" topLeftCell="B1" activePane="topRight" state="frozenSplit"/>
      <selection activeCell="E23" sqref="E23"/>
      <selection pane="topRight" activeCell="H4" sqref="H4"/>
    </sheetView>
  </sheetViews>
  <sheetFormatPr baseColWidth="10" defaultColWidth="11" defaultRowHeight="12.75"/>
  <cols>
    <col min="1" max="1" width="23.75" style="230" customWidth="1"/>
    <col min="2" max="2" width="13" style="61" customWidth="1"/>
    <col min="3" max="3" width="9.25" style="61" bestFit="1" customWidth="1"/>
    <col min="4" max="4" width="11" style="61"/>
    <col min="5" max="5" width="10.375" style="61" customWidth="1"/>
    <col min="6" max="6" width="10.125" style="61" bestFit="1" customWidth="1"/>
    <col min="7" max="7" width="9.625" style="61" customWidth="1"/>
    <col min="8" max="8" width="9.25" style="61" customWidth="1"/>
    <col min="9" max="9" width="10.625" style="61" customWidth="1"/>
    <col min="10" max="10" width="11.75" style="61" customWidth="1"/>
    <col min="11" max="11" width="10" style="61" customWidth="1"/>
    <col min="12" max="13" width="10.5" style="61" customWidth="1"/>
    <col min="14" max="14" width="10.5" style="230" customWidth="1"/>
    <col min="15" max="16384" width="11" style="61"/>
  </cols>
  <sheetData>
    <row r="1" spans="1:17" ht="22.5">
      <c r="A1" s="66" t="s">
        <v>1047</v>
      </c>
      <c r="C1" s="3058"/>
      <c r="D1" s="3058"/>
      <c r="E1" s="3058"/>
      <c r="F1" s="3058"/>
      <c r="G1" s="3058"/>
      <c r="H1" s="3058"/>
      <c r="I1" s="3058"/>
      <c r="J1" s="3058"/>
      <c r="K1" s="3058"/>
      <c r="L1" s="3058"/>
      <c r="M1" s="3058"/>
      <c r="N1" s="3059"/>
    </row>
    <row r="2" spans="1:17" ht="22.5">
      <c r="A2" s="66" t="str">
        <f>'Base Data'!B9</f>
        <v>WWW, Ltd.</v>
      </c>
      <c r="C2" s="3058"/>
      <c r="D2" s="3058"/>
      <c r="E2" s="3058"/>
      <c r="F2" s="3058"/>
      <c r="G2" s="3058"/>
      <c r="H2" s="3058"/>
      <c r="I2" s="3058"/>
      <c r="J2" s="3058"/>
      <c r="K2" s="3058"/>
      <c r="L2" s="3058"/>
      <c r="M2" s="3058"/>
      <c r="N2" s="3059"/>
      <c r="Q2" s="842" t="s">
        <v>1254</v>
      </c>
    </row>
    <row r="3" spans="1:17" ht="18" customHeight="1">
      <c r="A3" s="59"/>
      <c r="C3" s="3058"/>
      <c r="D3" s="3058"/>
      <c r="E3" s="3058"/>
      <c r="F3" s="3058"/>
      <c r="G3" s="3058"/>
      <c r="H3" s="3058"/>
      <c r="I3" s="3058"/>
      <c r="J3" s="3058"/>
      <c r="K3" s="3058"/>
      <c r="L3" s="3058"/>
      <c r="M3" s="3058"/>
      <c r="N3" s="3059"/>
      <c r="Q3" s="3231">
        <v>12</v>
      </c>
    </row>
    <row r="4" spans="1:17" ht="20.25" thickBot="1">
      <c r="A4" s="240" t="s">
        <v>578</v>
      </c>
      <c r="E4" s="2715" t="str">
        <f>Parameters!B$77</f>
        <v>Year 0:   2026</v>
      </c>
      <c r="F4" s="235"/>
      <c r="Q4" s="3230" t="str">
        <f>IF(Q3+mes0&gt;13,"Initial ramp too long","")</f>
        <v/>
      </c>
    </row>
    <row r="5" spans="1:17" ht="31.5" customHeight="1" thickBot="1">
      <c r="A5" s="239" t="s">
        <v>576</v>
      </c>
      <c r="B5" s="237" t="str">
        <f t="array" ref="B5:M5">CONCATENATE(meses," 
",Parameters!B$76:M$76)</f>
        <v>January 
2026</v>
      </c>
      <c r="C5" s="237" t="str">
        <v>February 
2026</v>
      </c>
      <c r="D5" s="237" t="str">
        <v>March 
2026</v>
      </c>
      <c r="E5" s="237" t="str">
        <v>April 
2026</v>
      </c>
      <c r="F5" s="237" t="str">
        <v>May 
2026</v>
      </c>
      <c r="G5" s="237" t="str">
        <v>June 
2026</v>
      </c>
      <c r="H5" s="237" t="str">
        <v>July 
2026</v>
      </c>
      <c r="I5" s="237" t="str">
        <v>August 
2026</v>
      </c>
      <c r="J5" s="237" t="str">
        <v>September 
2026</v>
      </c>
      <c r="K5" s="237" t="str">
        <v>October 
2026</v>
      </c>
      <c r="L5" s="237" t="str">
        <v>November 
2026</v>
      </c>
      <c r="M5" s="238" t="str">
        <v>December 
2026</v>
      </c>
      <c r="N5" s="236" t="str">
        <f>CONCATENATE("Totals  
",Parameters!D$65)</f>
        <v>Totals  
2026</v>
      </c>
      <c r="P5" s="3038" t="s">
        <v>1197</v>
      </c>
    </row>
    <row r="6" spans="1:17" ht="13.5" thickBot="1">
      <c r="A6" s="1479" t="str">
        <f t="array" ref="A6:A13">productos</f>
        <v>product 1</v>
      </c>
      <c r="B6" s="233">
        <v>200</v>
      </c>
      <c r="C6" s="233">
        <f t="shared" ref="C6:M6" si="0">(COLUMN()&gt;mes0)*(MIN(MAX(0, $B6 + ( ($B19-$B6) + (C19-$N19/12) ) * ( COLUMN()-mes0-1 )/($Q$3-mes0)),C19))</f>
        <v>272.72727272727275</v>
      </c>
      <c r="D6" s="233">
        <f t="shared" si="0"/>
        <v>345.4545454545455</v>
      </c>
      <c r="E6" s="233">
        <f t="shared" si="0"/>
        <v>418.18181818181819</v>
      </c>
      <c r="F6" s="233">
        <f t="shared" si="0"/>
        <v>490.90909090909093</v>
      </c>
      <c r="G6" s="233">
        <f t="shared" si="0"/>
        <v>563.63636363636363</v>
      </c>
      <c r="H6" s="233">
        <f t="shared" si="0"/>
        <v>636.36363636363637</v>
      </c>
      <c r="I6" s="233">
        <f t="shared" si="0"/>
        <v>709.09090909090901</v>
      </c>
      <c r="J6" s="233">
        <f t="shared" si="0"/>
        <v>781.81818181818187</v>
      </c>
      <c r="K6" s="233">
        <f t="shared" si="0"/>
        <v>854.5454545454545</v>
      </c>
      <c r="L6" s="233">
        <f t="shared" si="0"/>
        <v>927.27272727272725</v>
      </c>
      <c r="M6" s="233">
        <f t="shared" si="0"/>
        <v>1000</v>
      </c>
      <c r="N6" s="913">
        <f t="shared" ref="N6:N13" ca="1" si="1">SUM(OFFSET(B6,0,mes0-1,1,13-mes0))</f>
        <v>7199.9999999999991</v>
      </c>
      <c r="P6" s="3039">
        <f ca="1">N6</f>
        <v>7199.9999999999991</v>
      </c>
    </row>
    <row r="7" spans="1:17">
      <c r="A7" s="1480" t="str">
        <v/>
      </c>
      <c r="B7" s="3168">
        <v>0</v>
      </c>
      <c r="C7" s="3168">
        <f t="shared" ref="C7:M7" si="2">(COLUMN()&gt;mes0)*(MIN(MAX(0, $B7 + ( ($B20-$B7) + (C20-$N20/12) ) * ( COLUMN()-mes0-1 )/($Q$3-mes0)),C20))</f>
        <v>0</v>
      </c>
      <c r="D7" s="3168">
        <f t="shared" si="2"/>
        <v>0</v>
      </c>
      <c r="E7" s="3168">
        <f t="shared" si="2"/>
        <v>0</v>
      </c>
      <c r="F7" s="3168">
        <f t="shared" si="2"/>
        <v>0</v>
      </c>
      <c r="G7" s="3168">
        <f t="shared" si="2"/>
        <v>0</v>
      </c>
      <c r="H7" s="3168">
        <f t="shared" si="2"/>
        <v>0</v>
      </c>
      <c r="I7" s="3168">
        <f t="shared" si="2"/>
        <v>0</v>
      </c>
      <c r="J7" s="3168">
        <f t="shared" si="2"/>
        <v>0</v>
      </c>
      <c r="K7" s="3168">
        <f t="shared" si="2"/>
        <v>0</v>
      </c>
      <c r="L7" s="3168">
        <f t="shared" si="2"/>
        <v>0</v>
      </c>
      <c r="M7" s="3168">
        <f t="shared" si="2"/>
        <v>0</v>
      </c>
      <c r="N7" s="3169">
        <f t="shared" ca="1" si="1"/>
        <v>0</v>
      </c>
    </row>
    <row r="8" spans="1:17">
      <c r="A8" s="1480" t="str">
        <v/>
      </c>
      <c r="B8" s="3168">
        <v>0</v>
      </c>
      <c r="C8" s="3168">
        <f t="shared" ref="C8:M8" si="3">(COLUMN()&gt;mes0)*(MIN(MAX(0, $B8 + ( ($B21-$B8) + (C21-$N21/12) ) * ( COLUMN()-mes0-1 )/($Q$3-mes0)),C21))</f>
        <v>0</v>
      </c>
      <c r="D8" s="3168">
        <f t="shared" si="3"/>
        <v>0</v>
      </c>
      <c r="E8" s="3168">
        <f t="shared" si="3"/>
        <v>0</v>
      </c>
      <c r="F8" s="3168">
        <f t="shared" si="3"/>
        <v>0</v>
      </c>
      <c r="G8" s="3168">
        <f t="shared" si="3"/>
        <v>0</v>
      </c>
      <c r="H8" s="3168">
        <f t="shared" si="3"/>
        <v>0</v>
      </c>
      <c r="I8" s="3168">
        <f t="shared" si="3"/>
        <v>0</v>
      </c>
      <c r="J8" s="3168">
        <f t="shared" si="3"/>
        <v>0</v>
      </c>
      <c r="K8" s="3168">
        <f t="shared" si="3"/>
        <v>0</v>
      </c>
      <c r="L8" s="3168">
        <f t="shared" si="3"/>
        <v>0</v>
      </c>
      <c r="M8" s="3168">
        <f t="shared" si="3"/>
        <v>0</v>
      </c>
      <c r="N8" s="3169">
        <f t="shared" ca="1" si="1"/>
        <v>0</v>
      </c>
    </row>
    <row r="9" spans="1:17">
      <c r="A9" s="1480" t="str">
        <v/>
      </c>
      <c r="B9" s="3168">
        <v>0</v>
      </c>
      <c r="C9" s="3168">
        <f t="shared" ref="C9:M9" si="4">(COLUMN()&gt;mes0)*(MIN(MAX(0, $B9 + ( ($B22-$B9) + (C22-$N22/12) ) * ( COLUMN()-mes0-1 )/($Q$3-mes0)),C22))</f>
        <v>0</v>
      </c>
      <c r="D9" s="3168">
        <f t="shared" si="4"/>
        <v>0</v>
      </c>
      <c r="E9" s="3168">
        <f t="shared" si="4"/>
        <v>0</v>
      </c>
      <c r="F9" s="3168">
        <f t="shared" si="4"/>
        <v>0</v>
      </c>
      <c r="G9" s="3168">
        <f t="shared" si="4"/>
        <v>0</v>
      </c>
      <c r="H9" s="3168">
        <f t="shared" si="4"/>
        <v>0</v>
      </c>
      <c r="I9" s="3168">
        <f t="shared" si="4"/>
        <v>0</v>
      </c>
      <c r="J9" s="3168">
        <f t="shared" si="4"/>
        <v>0</v>
      </c>
      <c r="K9" s="3168">
        <f t="shared" si="4"/>
        <v>0</v>
      </c>
      <c r="L9" s="3168">
        <f t="shared" si="4"/>
        <v>0</v>
      </c>
      <c r="M9" s="3168">
        <f t="shared" si="4"/>
        <v>0</v>
      </c>
      <c r="N9" s="3169">
        <f t="shared" ca="1" si="1"/>
        <v>0</v>
      </c>
    </row>
    <row r="10" spans="1:17">
      <c r="A10" s="1480" t="str">
        <v/>
      </c>
      <c r="B10" s="3170">
        <v>0</v>
      </c>
      <c r="C10" s="3168">
        <f t="shared" ref="C10:M10" si="5">(COLUMN()&gt;mes0)*(MIN(MAX(0, $B10 + ( ($B23-$B10) + (C23-$N23/12) ) * ( COLUMN()-mes0-1 )/($Q$3-mes0)),C23))</f>
        <v>0</v>
      </c>
      <c r="D10" s="3168">
        <f t="shared" si="5"/>
        <v>0</v>
      </c>
      <c r="E10" s="3168">
        <f t="shared" si="5"/>
        <v>0</v>
      </c>
      <c r="F10" s="3168">
        <f t="shared" si="5"/>
        <v>0</v>
      </c>
      <c r="G10" s="3168">
        <f t="shared" si="5"/>
        <v>0</v>
      </c>
      <c r="H10" s="3168">
        <f t="shared" si="5"/>
        <v>0</v>
      </c>
      <c r="I10" s="3168">
        <f t="shared" si="5"/>
        <v>0</v>
      </c>
      <c r="J10" s="3168">
        <f t="shared" si="5"/>
        <v>0</v>
      </c>
      <c r="K10" s="3168">
        <f t="shared" si="5"/>
        <v>0</v>
      </c>
      <c r="L10" s="3168">
        <f t="shared" si="5"/>
        <v>0</v>
      </c>
      <c r="M10" s="3171">
        <f t="shared" si="5"/>
        <v>0</v>
      </c>
      <c r="N10" s="3169">
        <f t="shared" ca="1" si="1"/>
        <v>0</v>
      </c>
    </row>
    <row r="11" spans="1:17">
      <c r="A11" s="1480" t="str">
        <v/>
      </c>
      <c r="B11" s="3170">
        <v>0</v>
      </c>
      <c r="C11" s="3168">
        <f t="shared" ref="C11:M11" si="6">(COLUMN()&gt;mes0)*(MIN(MAX(0, $B11 + ( ($B24-$B11) + (C24-$N24/12) ) * ( COLUMN()-mes0-1 )/($Q$3-mes0)),C24))</f>
        <v>0</v>
      </c>
      <c r="D11" s="3168">
        <f t="shared" si="6"/>
        <v>0</v>
      </c>
      <c r="E11" s="3168">
        <f t="shared" si="6"/>
        <v>0</v>
      </c>
      <c r="F11" s="3168">
        <f t="shared" si="6"/>
        <v>0</v>
      </c>
      <c r="G11" s="3168">
        <f t="shared" si="6"/>
        <v>0</v>
      </c>
      <c r="H11" s="3168">
        <f t="shared" si="6"/>
        <v>0</v>
      </c>
      <c r="I11" s="3168">
        <f t="shared" si="6"/>
        <v>0</v>
      </c>
      <c r="J11" s="3168">
        <f t="shared" si="6"/>
        <v>0</v>
      </c>
      <c r="K11" s="3168">
        <f t="shared" si="6"/>
        <v>0</v>
      </c>
      <c r="L11" s="3168">
        <f t="shared" si="6"/>
        <v>0</v>
      </c>
      <c r="M11" s="3171">
        <f t="shared" si="6"/>
        <v>0</v>
      </c>
      <c r="N11" s="3169">
        <f t="shared" ca="1" si="1"/>
        <v>0</v>
      </c>
    </row>
    <row r="12" spans="1:17">
      <c r="A12" s="1480" t="str">
        <v/>
      </c>
      <c r="B12" s="3170">
        <v>0</v>
      </c>
      <c r="C12" s="3168">
        <f t="shared" ref="C12:M12" si="7">(COLUMN()&gt;mes0)*(MIN(MAX(0, $B12 + ( ($B25-$B12) + (C25-$N25/12) ) * ( COLUMN()-mes0-1 )/($Q$3-mes0)),C25))</f>
        <v>0</v>
      </c>
      <c r="D12" s="3168">
        <f t="shared" si="7"/>
        <v>0</v>
      </c>
      <c r="E12" s="3168">
        <f t="shared" si="7"/>
        <v>0</v>
      </c>
      <c r="F12" s="3168">
        <f t="shared" si="7"/>
        <v>0</v>
      </c>
      <c r="G12" s="3168">
        <f t="shared" si="7"/>
        <v>0</v>
      </c>
      <c r="H12" s="3168">
        <f t="shared" si="7"/>
        <v>0</v>
      </c>
      <c r="I12" s="3168">
        <f t="shared" si="7"/>
        <v>0</v>
      </c>
      <c r="J12" s="3168">
        <f t="shared" si="7"/>
        <v>0</v>
      </c>
      <c r="K12" s="3168">
        <f t="shared" si="7"/>
        <v>0</v>
      </c>
      <c r="L12" s="3168">
        <f t="shared" si="7"/>
        <v>0</v>
      </c>
      <c r="M12" s="3171">
        <f t="shared" si="7"/>
        <v>0</v>
      </c>
      <c r="N12" s="3169">
        <f t="shared" ca="1" si="1"/>
        <v>0</v>
      </c>
    </row>
    <row r="13" spans="1:17" ht="13.5" thickBot="1">
      <c r="A13" s="1481" t="str">
        <v/>
      </c>
      <c r="B13" s="3172">
        <v>0</v>
      </c>
      <c r="C13" s="3173">
        <f t="shared" ref="C13:M13" si="8">(COLUMN()&gt;mes0)*(MIN(MAX(0, $B13 + ( ($B26-$B13) + (C26-$N26/12) ) * ( COLUMN()-mes0-1 )/($Q$3-mes0)),C26))</f>
        <v>0</v>
      </c>
      <c r="D13" s="3173">
        <f t="shared" si="8"/>
        <v>0</v>
      </c>
      <c r="E13" s="3173">
        <f t="shared" si="8"/>
        <v>0</v>
      </c>
      <c r="F13" s="3173">
        <f t="shared" si="8"/>
        <v>0</v>
      </c>
      <c r="G13" s="3173">
        <f t="shared" si="8"/>
        <v>0</v>
      </c>
      <c r="H13" s="3173">
        <f t="shared" si="8"/>
        <v>0</v>
      </c>
      <c r="I13" s="3173">
        <f t="shared" si="8"/>
        <v>0</v>
      </c>
      <c r="J13" s="3173">
        <f t="shared" si="8"/>
        <v>0</v>
      </c>
      <c r="K13" s="3173">
        <f t="shared" si="8"/>
        <v>0</v>
      </c>
      <c r="L13" s="3173">
        <f t="shared" si="8"/>
        <v>0</v>
      </c>
      <c r="M13" s="3174">
        <f t="shared" si="8"/>
        <v>0</v>
      </c>
      <c r="N13" s="3175">
        <f t="shared" ca="1" si="1"/>
        <v>0</v>
      </c>
    </row>
    <row r="14" spans="1:17" ht="13.5" thickBot="1">
      <c r="A14" s="102" t="s">
        <v>577</v>
      </c>
      <c r="B14" s="910">
        <f t="shared" ref="B14:M14" si="9">SUM(B6:B13)</f>
        <v>200</v>
      </c>
      <c r="C14" s="911">
        <f t="shared" si="9"/>
        <v>272.72727272727275</v>
      </c>
      <c r="D14" s="911">
        <f t="shared" si="9"/>
        <v>345.4545454545455</v>
      </c>
      <c r="E14" s="911">
        <f t="shared" si="9"/>
        <v>418.18181818181819</v>
      </c>
      <c r="F14" s="911">
        <f t="shared" si="9"/>
        <v>490.90909090909093</v>
      </c>
      <c r="G14" s="911">
        <f t="shared" si="9"/>
        <v>563.63636363636363</v>
      </c>
      <c r="H14" s="911">
        <f t="shared" si="9"/>
        <v>636.36363636363637</v>
      </c>
      <c r="I14" s="911">
        <f t="shared" si="9"/>
        <v>709.09090909090901</v>
      </c>
      <c r="J14" s="911">
        <f t="shared" si="9"/>
        <v>781.81818181818187</v>
      </c>
      <c r="K14" s="911">
        <f t="shared" si="9"/>
        <v>854.5454545454545</v>
      </c>
      <c r="L14" s="911">
        <f t="shared" si="9"/>
        <v>927.27272727272725</v>
      </c>
      <c r="M14" s="912">
        <f t="shared" si="9"/>
        <v>1000</v>
      </c>
      <c r="N14" s="421">
        <f>SUM(B14:M14)</f>
        <v>7199.9999999999991</v>
      </c>
    </row>
    <row r="15" spans="1:17" ht="15">
      <c r="A15" s="211"/>
    </row>
    <row r="16" spans="1:17" ht="15">
      <c r="A16" s="211"/>
    </row>
    <row r="17" spans="1:16" ht="20.25" thickBot="1">
      <c r="A17" s="240" t="str">
        <f>$A$4</f>
        <v xml:space="preserve">Detailed Sales Forecast in units </v>
      </c>
      <c r="E17" s="2715" t="str">
        <f>Parameters!C$77</f>
        <v>Year 1:   2027</v>
      </c>
      <c r="F17" s="234"/>
    </row>
    <row r="18" spans="1:16" ht="31.5" customHeight="1" thickBot="1">
      <c r="A18" s="239" t="str">
        <f>A$5</f>
        <v>Sales (Units)</v>
      </c>
      <c r="B18" s="237" t="str">
        <f t="array" ref="B18:M18">CONCATENATE(meses," 
",Parameters!B$76:M$76+1)</f>
        <v>January 
2027</v>
      </c>
      <c r="C18" s="237" t="str">
        <v>February 
2027</v>
      </c>
      <c r="D18" s="237" t="str">
        <v>March 
2027</v>
      </c>
      <c r="E18" s="237" t="str">
        <v>April 
2027</v>
      </c>
      <c r="F18" s="237" t="str">
        <v>May 
2027</v>
      </c>
      <c r="G18" s="237" t="str">
        <v>June 
2027</v>
      </c>
      <c r="H18" s="237" t="str">
        <v>July 
2027</v>
      </c>
      <c r="I18" s="237" t="str">
        <v>August 
2027</v>
      </c>
      <c r="J18" s="237" t="str">
        <v>September 
2027</v>
      </c>
      <c r="K18" s="237" t="str">
        <v>October 
2027</v>
      </c>
      <c r="L18" s="237" t="str">
        <v>November 
2027</v>
      </c>
      <c r="M18" s="238" t="str">
        <v>December 
2027</v>
      </c>
      <c r="N18" s="236" t="str">
        <f>CONCATENATE("Totals  
",Parameters!E$65)</f>
        <v>Totals  
2027</v>
      </c>
      <c r="O18" s="3057" t="s">
        <v>1046</v>
      </c>
      <c r="P18" s="3038" t="s">
        <v>1197</v>
      </c>
    </row>
    <row r="19" spans="1:16" ht="13.5" thickBot="1">
      <c r="A19" s="1479" t="str">
        <f t="array" ref="A19:A26">productos</f>
        <v>product 1</v>
      </c>
      <c r="B19" s="3183">
        <v>1000</v>
      </c>
      <c r="C19" s="3176">
        <v>1000</v>
      </c>
      <c r="D19" s="3176">
        <v>1000</v>
      </c>
      <c r="E19" s="3176">
        <v>1000</v>
      </c>
      <c r="F19" s="3176">
        <v>1000</v>
      </c>
      <c r="G19" s="3176">
        <v>1000</v>
      </c>
      <c r="H19" s="3176">
        <v>1000</v>
      </c>
      <c r="I19" s="3176">
        <v>1000</v>
      </c>
      <c r="J19" s="3176">
        <v>1000</v>
      </c>
      <c r="K19" s="3176">
        <v>1000</v>
      </c>
      <c r="L19" s="3176">
        <v>1000</v>
      </c>
      <c r="M19" s="3177">
        <v>1000</v>
      </c>
      <c r="N19" s="3178">
        <f t="shared" ref="N19:N27" si="10">SUM(B19:M19)</f>
        <v>12000</v>
      </c>
      <c r="O19" s="2537"/>
      <c r="P19" s="3039">
        <f>N19</f>
        <v>12000</v>
      </c>
    </row>
    <row r="20" spans="1:16">
      <c r="A20" s="1480" t="str">
        <v/>
      </c>
      <c r="B20" s="3184">
        <v>0</v>
      </c>
      <c r="C20" s="3179">
        <v>0</v>
      </c>
      <c r="D20" s="3179">
        <v>0</v>
      </c>
      <c r="E20" s="3179">
        <v>0</v>
      </c>
      <c r="F20" s="3179">
        <v>0</v>
      </c>
      <c r="G20" s="3179">
        <v>0</v>
      </c>
      <c r="H20" s="3179">
        <v>0</v>
      </c>
      <c r="I20" s="3179">
        <v>0</v>
      </c>
      <c r="J20" s="3179">
        <v>0</v>
      </c>
      <c r="K20" s="3179">
        <v>0</v>
      </c>
      <c r="L20" s="3179">
        <v>0</v>
      </c>
      <c r="M20" s="3180">
        <v>0</v>
      </c>
      <c r="N20" s="3169">
        <f t="shared" si="10"/>
        <v>0</v>
      </c>
      <c r="O20" s="2538"/>
    </row>
    <row r="21" spans="1:16">
      <c r="A21" s="1480" t="str">
        <v/>
      </c>
      <c r="B21" s="3184">
        <v>0</v>
      </c>
      <c r="C21" s="3179">
        <v>0</v>
      </c>
      <c r="D21" s="3179">
        <v>0</v>
      </c>
      <c r="E21" s="3179">
        <v>0</v>
      </c>
      <c r="F21" s="3179">
        <v>0</v>
      </c>
      <c r="G21" s="3179">
        <v>0</v>
      </c>
      <c r="H21" s="3179">
        <v>0</v>
      </c>
      <c r="I21" s="3179">
        <v>0</v>
      </c>
      <c r="J21" s="3179">
        <v>0</v>
      </c>
      <c r="K21" s="3179">
        <v>0</v>
      </c>
      <c r="L21" s="3179">
        <v>0</v>
      </c>
      <c r="M21" s="3180">
        <v>0</v>
      </c>
      <c r="N21" s="3169">
        <f t="shared" si="10"/>
        <v>0</v>
      </c>
      <c r="O21" s="2538"/>
    </row>
    <row r="22" spans="1:16">
      <c r="A22" s="1480" t="str">
        <v/>
      </c>
      <c r="B22" s="3184">
        <v>0</v>
      </c>
      <c r="C22" s="3179">
        <v>0</v>
      </c>
      <c r="D22" s="3179">
        <v>0</v>
      </c>
      <c r="E22" s="3179">
        <v>0</v>
      </c>
      <c r="F22" s="3179">
        <v>0</v>
      </c>
      <c r="G22" s="3179">
        <v>0</v>
      </c>
      <c r="H22" s="3179">
        <v>0</v>
      </c>
      <c r="I22" s="3179">
        <v>0</v>
      </c>
      <c r="J22" s="3179">
        <v>0</v>
      </c>
      <c r="K22" s="3179">
        <v>0</v>
      </c>
      <c r="L22" s="3179">
        <v>0</v>
      </c>
      <c r="M22" s="3180">
        <v>0</v>
      </c>
      <c r="N22" s="3169">
        <f t="shared" si="10"/>
        <v>0</v>
      </c>
      <c r="O22" s="2538"/>
    </row>
    <row r="23" spans="1:16">
      <c r="A23" s="1480" t="str">
        <v/>
      </c>
      <c r="B23" s="3184">
        <v>0</v>
      </c>
      <c r="C23" s="3179">
        <v>0</v>
      </c>
      <c r="D23" s="3179">
        <v>0</v>
      </c>
      <c r="E23" s="3179">
        <v>0</v>
      </c>
      <c r="F23" s="3179">
        <v>0</v>
      </c>
      <c r="G23" s="3179">
        <v>0</v>
      </c>
      <c r="H23" s="3179">
        <v>0</v>
      </c>
      <c r="I23" s="3179">
        <v>0</v>
      </c>
      <c r="J23" s="3179">
        <v>0</v>
      </c>
      <c r="K23" s="3179">
        <v>0</v>
      </c>
      <c r="L23" s="3179">
        <v>0</v>
      </c>
      <c r="M23" s="3180">
        <v>0</v>
      </c>
      <c r="N23" s="3169">
        <f t="shared" si="10"/>
        <v>0</v>
      </c>
      <c r="O23" s="2538"/>
    </row>
    <row r="24" spans="1:16">
      <c r="A24" s="1480" t="str">
        <v/>
      </c>
      <c r="B24" s="3184">
        <v>0</v>
      </c>
      <c r="C24" s="3179">
        <v>0</v>
      </c>
      <c r="D24" s="3179">
        <v>0</v>
      </c>
      <c r="E24" s="3179">
        <v>0</v>
      </c>
      <c r="F24" s="3179">
        <v>0</v>
      </c>
      <c r="G24" s="3179">
        <v>0</v>
      </c>
      <c r="H24" s="3179">
        <v>0</v>
      </c>
      <c r="I24" s="3179">
        <v>0</v>
      </c>
      <c r="J24" s="3179">
        <v>0</v>
      </c>
      <c r="K24" s="3179">
        <v>0</v>
      </c>
      <c r="L24" s="3179">
        <v>0</v>
      </c>
      <c r="M24" s="3180">
        <v>0</v>
      </c>
      <c r="N24" s="3169">
        <f t="shared" si="10"/>
        <v>0</v>
      </c>
      <c r="O24" s="2538"/>
    </row>
    <row r="25" spans="1:16">
      <c r="A25" s="1480" t="str">
        <v/>
      </c>
      <c r="B25" s="3184">
        <v>0</v>
      </c>
      <c r="C25" s="3179">
        <v>0</v>
      </c>
      <c r="D25" s="3179">
        <v>0</v>
      </c>
      <c r="E25" s="3179">
        <v>0</v>
      </c>
      <c r="F25" s="3179">
        <v>0</v>
      </c>
      <c r="G25" s="3179">
        <v>0</v>
      </c>
      <c r="H25" s="3179">
        <v>0</v>
      </c>
      <c r="I25" s="3179">
        <v>0</v>
      </c>
      <c r="J25" s="3179">
        <v>0</v>
      </c>
      <c r="K25" s="3179">
        <v>0</v>
      </c>
      <c r="L25" s="3179">
        <v>0</v>
      </c>
      <c r="M25" s="3180">
        <v>0</v>
      </c>
      <c r="N25" s="3169">
        <f t="shared" si="10"/>
        <v>0</v>
      </c>
      <c r="O25" s="2538"/>
    </row>
    <row r="26" spans="1:16" ht="13.5" thickBot="1">
      <c r="A26" s="1481" t="str">
        <v/>
      </c>
      <c r="B26" s="3185">
        <v>0</v>
      </c>
      <c r="C26" s="3181">
        <v>0</v>
      </c>
      <c r="D26" s="3181">
        <v>0</v>
      </c>
      <c r="E26" s="3181">
        <v>0</v>
      </c>
      <c r="F26" s="3181">
        <v>0</v>
      </c>
      <c r="G26" s="3181">
        <v>0</v>
      </c>
      <c r="H26" s="3181">
        <v>0</v>
      </c>
      <c r="I26" s="3181">
        <v>0</v>
      </c>
      <c r="J26" s="3181">
        <v>0</v>
      </c>
      <c r="K26" s="3181">
        <v>0</v>
      </c>
      <c r="L26" s="3181">
        <v>0</v>
      </c>
      <c r="M26" s="3182">
        <v>0</v>
      </c>
      <c r="N26" s="3175">
        <f t="shared" si="10"/>
        <v>0</v>
      </c>
      <c r="O26" s="2539"/>
    </row>
    <row r="27" spans="1:16" ht="13.5" thickBot="1">
      <c r="A27" s="102" t="str">
        <f>A$14</f>
        <v>Monthly Totals</v>
      </c>
      <c r="B27" s="910">
        <f t="shared" ref="B27:M27" si="11">B19+B20+B21+B22+B23+B24+B25+B26</f>
        <v>1000</v>
      </c>
      <c r="C27" s="911">
        <f t="shared" si="11"/>
        <v>1000</v>
      </c>
      <c r="D27" s="911">
        <f t="shared" si="11"/>
        <v>1000</v>
      </c>
      <c r="E27" s="911">
        <f t="shared" si="11"/>
        <v>1000</v>
      </c>
      <c r="F27" s="911">
        <f t="shared" si="11"/>
        <v>1000</v>
      </c>
      <c r="G27" s="911">
        <f t="shared" si="11"/>
        <v>1000</v>
      </c>
      <c r="H27" s="911">
        <f t="shared" si="11"/>
        <v>1000</v>
      </c>
      <c r="I27" s="911">
        <f t="shared" si="11"/>
        <v>1000</v>
      </c>
      <c r="J27" s="911">
        <f t="shared" si="11"/>
        <v>1000</v>
      </c>
      <c r="K27" s="911">
        <f t="shared" si="11"/>
        <v>1000</v>
      </c>
      <c r="L27" s="911">
        <f t="shared" si="11"/>
        <v>1000</v>
      </c>
      <c r="M27" s="912">
        <f t="shared" si="11"/>
        <v>1000</v>
      </c>
      <c r="N27" s="421">
        <f t="shared" si="10"/>
        <v>12000</v>
      </c>
    </row>
    <row r="28" spans="1:16">
      <c r="B28" s="1758">
        <v>0.05</v>
      </c>
    </row>
    <row r="30" spans="1:16" ht="20.25" thickBot="1">
      <c r="A30" s="240" t="str">
        <f>$A$4</f>
        <v xml:space="preserve">Detailed Sales Forecast in units </v>
      </c>
      <c r="E30" s="2715" t="str">
        <f>Parameters!D$77</f>
        <v>Year 2:   2028</v>
      </c>
      <c r="F30" s="234"/>
    </row>
    <row r="31" spans="1:16" ht="31.5" customHeight="1" thickBot="1">
      <c r="A31" s="239" t="str">
        <f>A$5</f>
        <v>Sales (Units)</v>
      </c>
      <c r="B31" s="237" t="str">
        <f t="array" ref="B31:M31">CONCATENATE(meses," 
",Parameters!B$76:M$76+2)</f>
        <v>January 
2028</v>
      </c>
      <c r="C31" s="237" t="str">
        <v>February 
2028</v>
      </c>
      <c r="D31" s="237" t="str">
        <v>March 
2028</v>
      </c>
      <c r="E31" s="237" t="str">
        <v>April 
2028</v>
      </c>
      <c r="F31" s="237" t="str">
        <v>May 
2028</v>
      </c>
      <c r="G31" s="237" t="str">
        <v>June 
2028</v>
      </c>
      <c r="H31" s="237" t="str">
        <v>July 
2028</v>
      </c>
      <c r="I31" s="237" t="str">
        <v>August 
2028</v>
      </c>
      <c r="J31" s="237" t="str">
        <v>September 
2028</v>
      </c>
      <c r="K31" s="237" t="str">
        <v>October 
2028</v>
      </c>
      <c r="L31" s="237" t="str">
        <v>November 
2028</v>
      </c>
      <c r="M31" s="238" t="str">
        <v>December 
2028</v>
      </c>
      <c r="N31" s="236" t="str">
        <f>CONCATENATE("Totals   
",Parameters!F$65)</f>
        <v>Totals   
2028</v>
      </c>
      <c r="O31" s="2536" t="str">
        <f>$O$18</f>
        <v>% yearly increase</v>
      </c>
      <c r="P31" s="3038" t="s">
        <v>1197</v>
      </c>
    </row>
    <row r="32" spans="1:16" ht="13.5" thickBot="1">
      <c r="A32" s="1479" t="str">
        <f t="array" ref="A32:A39">productos</f>
        <v>product 1</v>
      </c>
      <c r="B32" s="3183">
        <f t="shared" ref="B32:M32" si="12">ROUND(B19*(1+$O32),0)</f>
        <v>1050</v>
      </c>
      <c r="C32" s="3176">
        <f>ROUND(C19*(1+$O32),0)</f>
        <v>1050</v>
      </c>
      <c r="D32" s="3176">
        <f t="shared" si="12"/>
        <v>1050</v>
      </c>
      <c r="E32" s="3176">
        <f t="shared" si="12"/>
        <v>1050</v>
      </c>
      <c r="F32" s="3176">
        <f t="shared" si="12"/>
        <v>1050</v>
      </c>
      <c r="G32" s="3176">
        <f t="shared" si="12"/>
        <v>1050</v>
      </c>
      <c r="H32" s="3176">
        <f t="shared" si="12"/>
        <v>1050</v>
      </c>
      <c r="I32" s="3176">
        <f t="shared" si="12"/>
        <v>1050</v>
      </c>
      <c r="J32" s="3176">
        <f t="shared" si="12"/>
        <v>1050</v>
      </c>
      <c r="K32" s="3176">
        <f t="shared" si="12"/>
        <v>1050</v>
      </c>
      <c r="L32" s="3176">
        <f t="shared" si="12"/>
        <v>1050</v>
      </c>
      <c r="M32" s="3177">
        <f t="shared" si="12"/>
        <v>1050</v>
      </c>
      <c r="N32" s="3178">
        <f t="shared" ref="N32:N39" si="13">SUM(B32:M32)</f>
        <v>12600</v>
      </c>
      <c r="O32" s="2537">
        <v>0.05</v>
      </c>
      <c r="P32" s="3039">
        <f>N32</f>
        <v>12600</v>
      </c>
    </row>
    <row r="33" spans="1:16">
      <c r="A33" s="1480" t="str">
        <v/>
      </c>
      <c r="B33" s="3184">
        <f t="shared" ref="B33:M33" si="14">ROUND(B20*(1+$O33),0)</f>
        <v>0</v>
      </c>
      <c r="C33" s="3179">
        <f t="shared" si="14"/>
        <v>0</v>
      </c>
      <c r="D33" s="3179">
        <f t="shared" si="14"/>
        <v>0</v>
      </c>
      <c r="E33" s="3179">
        <f t="shared" si="14"/>
        <v>0</v>
      </c>
      <c r="F33" s="3179">
        <f t="shared" si="14"/>
        <v>0</v>
      </c>
      <c r="G33" s="3179">
        <f t="shared" si="14"/>
        <v>0</v>
      </c>
      <c r="H33" s="3179">
        <f t="shared" si="14"/>
        <v>0</v>
      </c>
      <c r="I33" s="3179">
        <f t="shared" si="14"/>
        <v>0</v>
      </c>
      <c r="J33" s="3179">
        <f t="shared" si="14"/>
        <v>0</v>
      </c>
      <c r="K33" s="3179">
        <f t="shared" si="14"/>
        <v>0</v>
      </c>
      <c r="L33" s="3179">
        <f t="shared" si="14"/>
        <v>0</v>
      </c>
      <c r="M33" s="3180">
        <f t="shared" si="14"/>
        <v>0</v>
      </c>
      <c r="N33" s="3169">
        <f t="shared" si="13"/>
        <v>0</v>
      </c>
      <c r="O33" s="2538">
        <v>0.05</v>
      </c>
    </row>
    <row r="34" spans="1:16">
      <c r="A34" s="1480" t="str">
        <v/>
      </c>
      <c r="B34" s="3184">
        <f t="shared" ref="B34:M34" si="15">ROUND(B21*(1+$O34),0)</f>
        <v>0</v>
      </c>
      <c r="C34" s="3179">
        <f t="shared" si="15"/>
        <v>0</v>
      </c>
      <c r="D34" s="3179">
        <f t="shared" si="15"/>
        <v>0</v>
      </c>
      <c r="E34" s="3179">
        <f t="shared" si="15"/>
        <v>0</v>
      </c>
      <c r="F34" s="3179">
        <f t="shared" si="15"/>
        <v>0</v>
      </c>
      <c r="G34" s="3179">
        <f t="shared" si="15"/>
        <v>0</v>
      </c>
      <c r="H34" s="3179">
        <f t="shared" si="15"/>
        <v>0</v>
      </c>
      <c r="I34" s="3179">
        <f t="shared" si="15"/>
        <v>0</v>
      </c>
      <c r="J34" s="3179">
        <f t="shared" si="15"/>
        <v>0</v>
      </c>
      <c r="K34" s="3179">
        <f t="shared" si="15"/>
        <v>0</v>
      </c>
      <c r="L34" s="3179">
        <f t="shared" si="15"/>
        <v>0</v>
      </c>
      <c r="M34" s="3180">
        <f t="shared" si="15"/>
        <v>0</v>
      </c>
      <c r="N34" s="3169">
        <f t="shared" si="13"/>
        <v>0</v>
      </c>
      <c r="O34" s="2538">
        <v>0.05</v>
      </c>
    </row>
    <row r="35" spans="1:16">
      <c r="A35" s="1480" t="str">
        <v/>
      </c>
      <c r="B35" s="3184">
        <f t="shared" ref="B35:M35" si="16">ROUND(B22*(1+$O35),0)</f>
        <v>0</v>
      </c>
      <c r="C35" s="3179">
        <f t="shared" si="16"/>
        <v>0</v>
      </c>
      <c r="D35" s="3179">
        <f t="shared" si="16"/>
        <v>0</v>
      </c>
      <c r="E35" s="3179">
        <f t="shared" si="16"/>
        <v>0</v>
      </c>
      <c r="F35" s="3179">
        <f t="shared" si="16"/>
        <v>0</v>
      </c>
      <c r="G35" s="3179">
        <f t="shared" si="16"/>
        <v>0</v>
      </c>
      <c r="H35" s="3179">
        <f t="shared" si="16"/>
        <v>0</v>
      </c>
      <c r="I35" s="3179">
        <f t="shared" si="16"/>
        <v>0</v>
      </c>
      <c r="J35" s="3179">
        <f t="shared" si="16"/>
        <v>0</v>
      </c>
      <c r="K35" s="3179">
        <f t="shared" si="16"/>
        <v>0</v>
      </c>
      <c r="L35" s="3179">
        <f t="shared" si="16"/>
        <v>0</v>
      </c>
      <c r="M35" s="3180">
        <f t="shared" si="16"/>
        <v>0</v>
      </c>
      <c r="N35" s="3169">
        <f t="shared" si="13"/>
        <v>0</v>
      </c>
      <c r="O35" s="2538">
        <v>0.05</v>
      </c>
    </row>
    <row r="36" spans="1:16">
      <c r="A36" s="1480" t="str">
        <v/>
      </c>
      <c r="B36" s="3184">
        <f t="shared" ref="B36:M36" si="17">ROUND(B23*(1+$O36),0)</f>
        <v>0</v>
      </c>
      <c r="C36" s="3179">
        <f t="shared" si="17"/>
        <v>0</v>
      </c>
      <c r="D36" s="3179">
        <f t="shared" si="17"/>
        <v>0</v>
      </c>
      <c r="E36" s="3179">
        <f t="shared" si="17"/>
        <v>0</v>
      </c>
      <c r="F36" s="3179">
        <f t="shared" si="17"/>
        <v>0</v>
      </c>
      <c r="G36" s="3179">
        <f t="shared" si="17"/>
        <v>0</v>
      </c>
      <c r="H36" s="3179">
        <f t="shared" si="17"/>
        <v>0</v>
      </c>
      <c r="I36" s="3179">
        <f t="shared" si="17"/>
        <v>0</v>
      </c>
      <c r="J36" s="3179">
        <f t="shared" si="17"/>
        <v>0</v>
      </c>
      <c r="K36" s="3179">
        <f t="shared" si="17"/>
        <v>0</v>
      </c>
      <c r="L36" s="3179">
        <f t="shared" si="17"/>
        <v>0</v>
      </c>
      <c r="M36" s="3180">
        <f t="shared" si="17"/>
        <v>0</v>
      </c>
      <c r="N36" s="3169">
        <f t="shared" si="13"/>
        <v>0</v>
      </c>
      <c r="O36" s="2538">
        <v>0.05</v>
      </c>
    </row>
    <row r="37" spans="1:16">
      <c r="A37" s="1480" t="str">
        <v/>
      </c>
      <c r="B37" s="3184">
        <f t="shared" ref="B37:M37" si="18">ROUND(B24*(1+$O37),0)</f>
        <v>0</v>
      </c>
      <c r="C37" s="3179">
        <f t="shared" si="18"/>
        <v>0</v>
      </c>
      <c r="D37" s="3179">
        <f t="shared" si="18"/>
        <v>0</v>
      </c>
      <c r="E37" s="3179">
        <f t="shared" si="18"/>
        <v>0</v>
      </c>
      <c r="F37" s="3179">
        <f t="shared" si="18"/>
        <v>0</v>
      </c>
      <c r="G37" s="3179">
        <f t="shared" si="18"/>
        <v>0</v>
      </c>
      <c r="H37" s="3179">
        <f t="shared" si="18"/>
        <v>0</v>
      </c>
      <c r="I37" s="3179">
        <f t="shared" si="18"/>
        <v>0</v>
      </c>
      <c r="J37" s="3179">
        <f t="shared" si="18"/>
        <v>0</v>
      </c>
      <c r="K37" s="3179">
        <f t="shared" si="18"/>
        <v>0</v>
      </c>
      <c r="L37" s="3179">
        <f t="shared" si="18"/>
        <v>0</v>
      </c>
      <c r="M37" s="3180">
        <f t="shared" si="18"/>
        <v>0</v>
      </c>
      <c r="N37" s="3169">
        <f t="shared" si="13"/>
        <v>0</v>
      </c>
      <c r="O37" s="2538">
        <v>0.05</v>
      </c>
    </row>
    <row r="38" spans="1:16">
      <c r="A38" s="1480" t="str">
        <v/>
      </c>
      <c r="B38" s="3184">
        <f t="shared" ref="B38:M38" si="19">ROUND(B25*(1+$O38),0)</f>
        <v>0</v>
      </c>
      <c r="C38" s="3179">
        <f t="shared" si="19"/>
        <v>0</v>
      </c>
      <c r="D38" s="3179">
        <f t="shared" si="19"/>
        <v>0</v>
      </c>
      <c r="E38" s="3179">
        <f t="shared" si="19"/>
        <v>0</v>
      </c>
      <c r="F38" s="3179">
        <f t="shared" si="19"/>
        <v>0</v>
      </c>
      <c r="G38" s="3179">
        <f t="shared" si="19"/>
        <v>0</v>
      </c>
      <c r="H38" s="3179">
        <f t="shared" si="19"/>
        <v>0</v>
      </c>
      <c r="I38" s="3179">
        <f t="shared" si="19"/>
        <v>0</v>
      </c>
      <c r="J38" s="3179">
        <f t="shared" si="19"/>
        <v>0</v>
      </c>
      <c r="K38" s="3179">
        <f t="shared" si="19"/>
        <v>0</v>
      </c>
      <c r="L38" s="3179">
        <f t="shared" si="19"/>
        <v>0</v>
      </c>
      <c r="M38" s="3180">
        <f t="shared" si="19"/>
        <v>0</v>
      </c>
      <c r="N38" s="3169">
        <f t="shared" si="13"/>
        <v>0</v>
      </c>
      <c r="O38" s="2538">
        <v>0.05</v>
      </c>
    </row>
    <row r="39" spans="1:16" ht="13.5" thickBot="1">
      <c r="A39" s="1481" t="str">
        <v/>
      </c>
      <c r="B39" s="3185">
        <f t="shared" ref="B39:M39" si="20">ROUND(B26*(1+$O39),0)</f>
        <v>0</v>
      </c>
      <c r="C39" s="3181">
        <f t="shared" si="20"/>
        <v>0</v>
      </c>
      <c r="D39" s="3181">
        <f t="shared" si="20"/>
        <v>0</v>
      </c>
      <c r="E39" s="3181">
        <f t="shared" si="20"/>
        <v>0</v>
      </c>
      <c r="F39" s="3181">
        <f t="shared" si="20"/>
        <v>0</v>
      </c>
      <c r="G39" s="3181">
        <f t="shared" si="20"/>
        <v>0</v>
      </c>
      <c r="H39" s="3181">
        <f t="shared" si="20"/>
        <v>0</v>
      </c>
      <c r="I39" s="3181">
        <f t="shared" si="20"/>
        <v>0</v>
      </c>
      <c r="J39" s="3181">
        <f t="shared" si="20"/>
        <v>0</v>
      </c>
      <c r="K39" s="3181">
        <f t="shared" si="20"/>
        <v>0</v>
      </c>
      <c r="L39" s="3181">
        <f t="shared" si="20"/>
        <v>0</v>
      </c>
      <c r="M39" s="3182">
        <f t="shared" si="20"/>
        <v>0</v>
      </c>
      <c r="N39" s="3175">
        <f t="shared" si="13"/>
        <v>0</v>
      </c>
      <c r="O39" s="2539">
        <v>0.05</v>
      </c>
    </row>
    <row r="40" spans="1:16" ht="13.5" thickBot="1">
      <c r="A40" s="102" t="str">
        <f>A$14</f>
        <v>Monthly Totals</v>
      </c>
      <c r="B40" s="910">
        <f t="shared" ref="B40:M40" si="21">B32+B33+B34+B35+B36+B37+B38+B39</f>
        <v>1050</v>
      </c>
      <c r="C40" s="911">
        <f t="shared" si="21"/>
        <v>1050</v>
      </c>
      <c r="D40" s="911">
        <f t="shared" si="21"/>
        <v>1050</v>
      </c>
      <c r="E40" s="911">
        <f t="shared" si="21"/>
        <v>1050</v>
      </c>
      <c r="F40" s="911">
        <f t="shared" si="21"/>
        <v>1050</v>
      </c>
      <c r="G40" s="911">
        <f t="shared" si="21"/>
        <v>1050</v>
      </c>
      <c r="H40" s="911">
        <f t="shared" si="21"/>
        <v>1050</v>
      </c>
      <c r="I40" s="911">
        <f t="shared" si="21"/>
        <v>1050</v>
      </c>
      <c r="J40" s="911">
        <f t="shared" si="21"/>
        <v>1050</v>
      </c>
      <c r="K40" s="911">
        <f t="shared" si="21"/>
        <v>1050</v>
      </c>
      <c r="L40" s="911">
        <f t="shared" si="21"/>
        <v>1050</v>
      </c>
      <c r="M40" s="912">
        <f t="shared" si="21"/>
        <v>1050</v>
      </c>
      <c r="N40" s="421">
        <f>SUM(B40:M40)</f>
        <v>12600</v>
      </c>
    </row>
    <row r="41" spans="1:16">
      <c r="B41" s="1758">
        <f>+B28</f>
        <v>0.05</v>
      </c>
    </row>
    <row r="43" spans="1:16" ht="20.25" thickBot="1">
      <c r="A43" s="240" t="str">
        <f>$A$4</f>
        <v xml:space="preserve">Detailed Sales Forecast in units </v>
      </c>
      <c r="E43" s="2715" t="str">
        <f>Parameters!E$77</f>
        <v>Year 3:   2029</v>
      </c>
      <c r="F43" s="234"/>
    </row>
    <row r="44" spans="1:16" ht="31.5" customHeight="1" thickBot="1">
      <c r="A44" s="239" t="str">
        <f>A$5</f>
        <v>Sales (Units)</v>
      </c>
      <c r="B44" s="237" t="str">
        <f t="array" ref="B44:M44">CONCATENATE(meses," 
",Parameters!B$76:M$76+3)</f>
        <v>January 
2029</v>
      </c>
      <c r="C44" s="237" t="str">
        <v>February 
2029</v>
      </c>
      <c r="D44" s="237" t="str">
        <v>March 
2029</v>
      </c>
      <c r="E44" s="237" t="str">
        <v>April 
2029</v>
      </c>
      <c r="F44" s="237" t="str">
        <v>May 
2029</v>
      </c>
      <c r="G44" s="237" t="str">
        <v>June 
2029</v>
      </c>
      <c r="H44" s="237" t="str">
        <v>July 
2029</v>
      </c>
      <c r="I44" s="237" t="str">
        <v>August 
2029</v>
      </c>
      <c r="J44" s="237" t="str">
        <v>September 
2029</v>
      </c>
      <c r="K44" s="237" t="str">
        <v>October 
2029</v>
      </c>
      <c r="L44" s="237" t="str">
        <v>November 
2029</v>
      </c>
      <c r="M44" s="238" t="str">
        <v>December 
2029</v>
      </c>
      <c r="N44" s="236" t="str">
        <f>CONCATENATE("Totals  
",Parameters!G$65)</f>
        <v>Totals  
2029</v>
      </c>
      <c r="O44" s="2536" t="str">
        <f>$O$18</f>
        <v>% yearly increase</v>
      </c>
      <c r="P44" s="3038" t="s">
        <v>1197</v>
      </c>
    </row>
    <row r="45" spans="1:16" ht="13.5" thickBot="1">
      <c r="A45" s="1479" t="str">
        <f t="array" ref="A45:A52">productos</f>
        <v>product 1</v>
      </c>
      <c r="B45" s="3183">
        <f t="shared" ref="B45:M45" si="22">ROUND(B32*(1+$O45),0)</f>
        <v>1103</v>
      </c>
      <c r="C45" s="3176">
        <f t="shared" si="22"/>
        <v>1103</v>
      </c>
      <c r="D45" s="3176">
        <f t="shared" si="22"/>
        <v>1103</v>
      </c>
      <c r="E45" s="3176">
        <f t="shared" si="22"/>
        <v>1103</v>
      </c>
      <c r="F45" s="3176">
        <f t="shared" si="22"/>
        <v>1103</v>
      </c>
      <c r="G45" s="3176">
        <f t="shared" si="22"/>
        <v>1103</v>
      </c>
      <c r="H45" s="3176">
        <f t="shared" si="22"/>
        <v>1103</v>
      </c>
      <c r="I45" s="3176">
        <f t="shared" si="22"/>
        <v>1103</v>
      </c>
      <c r="J45" s="3176">
        <f t="shared" si="22"/>
        <v>1103</v>
      </c>
      <c r="K45" s="3176">
        <f t="shared" si="22"/>
        <v>1103</v>
      </c>
      <c r="L45" s="3176">
        <f t="shared" si="22"/>
        <v>1103</v>
      </c>
      <c r="M45" s="3177">
        <f t="shared" si="22"/>
        <v>1103</v>
      </c>
      <c r="N45" s="3178">
        <f t="shared" ref="N45:N52" si="23">SUM(B45:M45)</f>
        <v>13236</v>
      </c>
      <c r="O45" s="2537">
        <f t="shared" ref="O45:O52" si="24">O32</f>
        <v>0.05</v>
      </c>
      <c r="P45" s="3039">
        <f>N45</f>
        <v>13236</v>
      </c>
    </row>
    <row r="46" spans="1:16">
      <c r="A46" s="1480" t="str">
        <v/>
      </c>
      <c r="B46" s="3184">
        <f t="shared" ref="B46:M46" si="25">ROUND(B33*(1+$O46),0)</f>
        <v>0</v>
      </c>
      <c r="C46" s="3179">
        <f t="shared" si="25"/>
        <v>0</v>
      </c>
      <c r="D46" s="3179">
        <f t="shared" si="25"/>
        <v>0</v>
      </c>
      <c r="E46" s="3179">
        <f t="shared" si="25"/>
        <v>0</v>
      </c>
      <c r="F46" s="3179">
        <f t="shared" si="25"/>
        <v>0</v>
      </c>
      <c r="G46" s="3179">
        <f t="shared" si="25"/>
        <v>0</v>
      </c>
      <c r="H46" s="3179">
        <f t="shared" si="25"/>
        <v>0</v>
      </c>
      <c r="I46" s="3179">
        <f t="shared" si="25"/>
        <v>0</v>
      </c>
      <c r="J46" s="3179">
        <f t="shared" si="25"/>
        <v>0</v>
      </c>
      <c r="K46" s="3179">
        <f t="shared" si="25"/>
        <v>0</v>
      </c>
      <c r="L46" s="3179">
        <f t="shared" si="25"/>
        <v>0</v>
      </c>
      <c r="M46" s="3180">
        <f t="shared" si="25"/>
        <v>0</v>
      </c>
      <c r="N46" s="3169">
        <f t="shared" si="23"/>
        <v>0</v>
      </c>
      <c r="O46" s="2538">
        <f t="shared" si="24"/>
        <v>0.05</v>
      </c>
    </row>
    <row r="47" spans="1:16">
      <c r="A47" s="1480" t="str">
        <v/>
      </c>
      <c r="B47" s="3184">
        <f t="shared" ref="B47:M47" si="26">ROUND(B34*(1+$O47),0)</f>
        <v>0</v>
      </c>
      <c r="C47" s="3179">
        <f t="shared" si="26"/>
        <v>0</v>
      </c>
      <c r="D47" s="3179">
        <f t="shared" si="26"/>
        <v>0</v>
      </c>
      <c r="E47" s="3179">
        <f t="shared" si="26"/>
        <v>0</v>
      </c>
      <c r="F47" s="3179">
        <f t="shared" si="26"/>
        <v>0</v>
      </c>
      <c r="G47" s="3179">
        <f t="shared" si="26"/>
        <v>0</v>
      </c>
      <c r="H47" s="3179">
        <f t="shared" si="26"/>
        <v>0</v>
      </c>
      <c r="I47" s="3179">
        <f t="shared" si="26"/>
        <v>0</v>
      </c>
      <c r="J47" s="3179">
        <f t="shared" si="26"/>
        <v>0</v>
      </c>
      <c r="K47" s="3179">
        <f t="shared" si="26"/>
        <v>0</v>
      </c>
      <c r="L47" s="3179">
        <f t="shared" si="26"/>
        <v>0</v>
      </c>
      <c r="M47" s="3180">
        <f t="shared" si="26"/>
        <v>0</v>
      </c>
      <c r="N47" s="3169">
        <f t="shared" si="23"/>
        <v>0</v>
      </c>
      <c r="O47" s="2538">
        <f t="shared" si="24"/>
        <v>0.05</v>
      </c>
    </row>
    <row r="48" spans="1:16">
      <c r="A48" s="1480" t="str">
        <v/>
      </c>
      <c r="B48" s="3184">
        <f t="shared" ref="B48:M48" si="27">ROUND(B35*(1+$O48),0)</f>
        <v>0</v>
      </c>
      <c r="C48" s="3179">
        <f t="shared" si="27"/>
        <v>0</v>
      </c>
      <c r="D48" s="3179">
        <f t="shared" si="27"/>
        <v>0</v>
      </c>
      <c r="E48" s="3179">
        <f t="shared" si="27"/>
        <v>0</v>
      </c>
      <c r="F48" s="3179">
        <f t="shared" si="27"/>
        <v>0</v>
      </c>
      <c r="G48" s="3179">
        <f t="shared" si="27"/>
        <v>0</v>
      </c>
      <c r="H48" s="3179">
        <f t="shared" si="27"/>
        <v>0</v>
      </c>
      <c r="I48" s="3179">
        <f t="shared" si="27"/>
        <v>0</v>
      </c>
      <c r="J48" s="3179">
        <f t="shared" si="27"/>
        <v>0</v>
      </c>
      <c r="K48" s="3179">
        <f t="shared" si="27"/>
        <v>0</v>
      </c>
      <c r="L48" s="3179">
        <f t="shared" si="27"/>
        <v>0</v>
      </c>
      <c r="M48" s="3180">
        <f t="shared" si="27"/>
        <v>0</v>
      </c>
      <c r="N48" s="3169">
        <f t="shared" si="23"/>
        <v>0</v>
      </c>
      <c r="O48" s="2538">
        <f t="shared" si="24"/>
        <v>0.05</v>
      </c>
    </row>
    <row r="49" spans="1:16">
      <c r="A49" s="1480" t="str">
        <v/>
      </c>
      <c r="B49" s="3184">
        <f t="shared" ref="B49:M49" si="28">ROUND(B36*(1+$O49),0)</f>
        <v>0</v>
      </c>
      <c r="C49" s="3179">
        <f t="shared" si="28"/>
        <v>0</v>
      </c>
      <c r="D49" s="3179">
        <f t="shared" si="28"/>
        <v>0</v>
      </c>
      <c r="E49" s="3179">
        <f t="shared" si="28"/>
        <v>0</v>
      </c>
      <c r="F49" s="3179">
        <f t="shared" si="28"/>
        <v>0</v>
      </c>
      <c r="G49" s="3179">
        <f t="shared" si="28"/>
        <v>0</v>
      </c>
      <c r="H49" s="3179">
        <f t="shared" si="28"/>
        <v>0</v>
      </c>
      <c r="I49" s="3179">
        <f t="shared" si="28"/>
        <v>0</v>
      </c>
      <c r="J49" s="3179">
        <f t="shared" si="28"/>
        <v>0</v>
      </c>
      <c r="K49" s="3179">
        <f t="shared" si="28"/>
        <v>0</v>
      </c>
      <c r="L49" s="3179">
        <f t="shared" si="28"/>
        <v>0</v>
      </c>
      <c r="M49" s="3180">
        <f t="shared" si="28"/>
        <v>0</v>
      </c>
      <c r="N49" s="3169">
        <f t="shared" si="23"/>
        <v>0</v>
      </c>
      <c r="O49" s="2538">
        <f t="shared" si="24"/>
        <v>0.05</v>
      </c>
    </row>
    <row r="50" spans="1:16">
      <c r="A50" s="1480" t="str">
        <v/>
      </c>
      <c r="B50" s="3184">
        <f t="shared" ref="B50:M50" si="29">ROUND(B37*(1+$O50),0)</f>
        <v>0</v>
      </c>
      <c r="C50" s="3179">
        <f t="shared" si="29"/>
        <v>0</v>
      </c>
      <c r="D50" s="3179">
        <f t="shared" si="29"/>
        <v>0</v>
      </c>
      <c r="E50" s="3179">
        <f t="shared" si="29"/>
        <v>0</v>
      </c>
      <c r="F50" s="3179">
        <f t="shared" si="29"/>
        <v>0</v>
      </c>
      <c r="G50" s="3179">
        <f t="shared" si="29"/>
        <v>0</v>
      </c>
      <c r="H50" s="3179">
        <f t="shared" si="29"/>
        <v>0</v>
      </c>
      <c r="I50" s="3179">
        <f t="shared" si="29"/>
        <v>0</v>
      </c>
      <c r="J50" s="3179">
        <f t="shared" si="29"/>
        <v>0</v>
      </c>
      <c r="K50" s="3179">
        <f t="shared" si="29"/>
        <v>0</v>
      </c>
      <c r="L50" s="3179">
        <f t="shared" si="29"/>
        <v>0</v>
      </c>
      <c r="M50" s="3180">
        <f t="shared" si="29"/>
        <v>0</v>
      </c>
      <c r="N50" s="3169">
        <f t="shared" si="23"/>
        <v>0</v>
      </c>
      <c r="O50" s="2538">
        <f t="shared" si="24"/>
        <v>0.05</v>
      </c>
    </row>
    <row r="51" spans="1:16">
      <c r="A51" s="1480" t="str">
        <v/>
      </c>
      <c r="B51" s="3184">
        <f t="shared" ref="B51:M51" si="30">ROUND(B38*(1+$O51),0)</f>
        <v>0</v>
      </c>
      <c r="C51" s="3179">
        <f t="shared" si="30"/>
        <v>0</v>
      </c>
      <c r="D51" s="3179">
        <f t="shared" si="30"/>
        <v>0</v>
      </c>
      <c r="E51" s="3179">
        <f t="shared" si="30"/>
        <v>0</v>
      </c>
      <c r="F51" s="3179">
        <f t="shared" si="30"/>
        <v>0</v>
      </c>
      <c r="G51" s="3179">
        <f t="shared" si="30"/>
        <v>0</v>
      </c>
      <c r="H51" s="3179">
        <f t="shared" si="30"/>
        <v>0</v>
      </c>
      <c r="I51" s="3179">
        <f t="shared" si="30"/>
        <v>0</v>
      </c>
      <c r="J51" s="3179">
        <f t="shared" si="30"/>
        <v>0</v>
      </c>
      <c r="K51" s="3179">
        <f t="shared" si="30"/>
        <v>0</v>
      </c>
      <c r="L51" s="3179">
        <f t="shared" si="30"/>
        <v>0</v>
      </c>
      <c r="M51" s="3180">
        <f t="shared" si="30"/>
        <v>0</v>
      </c>
      <c r="N51" s="3169">
        <f t="shared" si="23"/>
        <v>0</v>
      </c>
      <c r="O51" s="2538">
        <f t="shared" si="24"/>
        <v>0.05</v>
      </c>
    </row>
    <row r="52" spans="1:16" ht="13.5" thickBot="1">
      <c r="A52" s="1481" t="str">
        <v/>
      </c>
      <c r="B52" s="3185">
        <f t="shared" ref="B52:M52" si="31">ROUND(B39*(1+$O52),0)</f>
        <v>0</v>
      </c>
      <c r="C52" s="3181">
        <f t="shared" si="31"/>
        <v>0</v>
      </c>
      <c r="D52" s="3181">
        <f t="shared" si="31"/>
        <v>0</v>
      </c>
      <c r="E52" s="3181">
        <f t="shared" si="31"/>
        <v>0</v>
      </c>
      <c r="F52" s="3181">
        <f t="shared" si="31"/>
        <v>0</v>
      </c>
      <c r="G52" s="3181">
        <f t="shared" si="31"/>
        <v>0</v>
      </c>
      <c r="H52" s="3181">
        <f t="shared" si="31"/>
        <v>0</v>
      </c>
      <c r="I52" s="3181">
        <f t="shared" si="31"/>
        <v>0</v>
      </c>
      <c r="J52" s="3181">
        <f t="shared" si="31"/>
        <v>0</v>
      </c>
      <c r="K52" s="3181">
        <f t="shared" si="31"/>
        <v>0</v>
      </c>
      <c r="L52" s="3181">
        <f t="shared" si="31"/>
        <v>0</v>
      </c>
      <c r="M52" s="3182">
        <f t="shared" si="31"/>
        <v>0</v>
      </c>
      <c r="N52" s="3175">
        <f t="shared" si="23"/>
        <v>0</v>
      </c>
      <c r="O52" s="2539">
        <f t="shared" si="24"/>
        <v>0.05</v>
      </c>
    </row>
    <row r="53" spans="1:16" ht="13.5" thickBot="1">
      <c r="A53" s="102" t="str">
        <f>A$14</f>
        <v>Monthly Totals</v>
      </c>
      <c r="B53" s="910">
        <f t="shared" ref="B53:M53" si="32">B45+B46+B47+B48+B49+B50+B51+B52</f>
        <v>1103</v>
      </c>
      <c r="C53" s="911">
        <f t="shared" si="32"/>
        <v>1103</v>
      </c>
      <c r="D53" s="911">
        <f t="shared" si="32"/>
        <v>1103</v>
      </c>
      <c r="E53" s="911">
        <f t="shared" si="32"/>
        <v>1103</v>
      </c>
      <c r="F53" s="911">
        <f t="shared" si="32"/>
        <v>1103</v>
      </c>
      <c r="G53" s="911">
        <f t="shared" si="32"/>
        <v>1103</v>
      </c>
      <c r="H53" s="911">
        <f t="shared" si="32"/>
        <v>1103</v>
      </c>
      <c r="I53" s="911">
        <f t="shared" si="32"/>
        <v>1103</v>
      </c>
      <c r="J53" s="911">
        <f t="shared" si="32"/>
        <v>1103</v>
      </c>
      <c r="K53" s="911">
        <f t="shared" si="32"/>
        <v>1103</v>
      </c>
      <c r="L53" s="911">
        <f t="shared" si="32"/>
        <v>1103</v>
      </c>
      <c r="M53" s="912">
        <f t="shared" si="32"/>
        <v>1103</v>
      </c>
      <c r="N53" s="421">
        <f>SUM(B53:M53)</f>
        <v>13236</v>
      </c>
    </row>
    <row r="54" spans="1:16">
      <c r="B54" s="1758">
        <f>+B41</f>
        <v>0.05</v>
      </c>
    </row>
    <row r="56" spans="1:16" ht="20.25" thickBot="1">
      <c r="A56" s="240" t="str">
        <f>$A$4</f>
        <v xml:space="preserve">Detailed Sales Forecast in units </v>
      </c>
      <c r="E56" s="2715" t="str">
        <f>Parameters!F$77</f>
        <v>Year 4:   2030</v>
      </c>
      <c r="F56" s="234"/>
    </row>
    <row r="57" spans="1:16" ht="31.5" customHeight="1" thickBot="1">
      <c r="A57" s="239" t="str">
        <f>A$5</f>
        <v>Sales (Units)</v>
      </c>
      <c r="B57" s="237" t="str">
        <f t="array" ref="B57:M57">CONCATENATE(meses," 
",Parameters!B$76:M$76+4)</f>
        <v>January 
2030</v>
      </c>
      <c r="C57" s="237" t="str">
        <v>February 
2030</v>
      </c>
      <c r="D57" s="237" t="str">
        <v>March 
2030</v>
      </c>
      <c r="E57" s="237" t="str">
        <v>April 
2030</v>
      </c>
      <c r="F57" s="237" t="str">
        <v>May 
2030</v>
      </c>
      <c r="G57" s="237" t="str">
        <v>June 
2030</v>
      </c>
      <c r="H57" s="237" t="str">
        <v>July 
2030</v>
      </c>
      <c r="I57" s="237" t="str">
        <v>August 
2030</v>
      </c>
      <c r="J57" s="237" t="str">
        <v>September 
2030</v>
      </c>
      <c r="K57" s="237" t="str">
        <v>October 
2030</v>
      </c>
      <c r="L57" s="237" t="str">
        <v>November 
2030</v>
      </c>
      <c r="M57" s="238" t="str">
        <v>December 
2030</v>
      </c>
      <c r="N57" s="236" t="str">
        <f>CONCATENATE("Totals   
",Parameters!H$65)</f>
        <v>Totals   
2030</v>
      </c>
      <c r="O57" s="2536" t="str">
        <f>$O$18</f>
        <v>% yearly increase</v>
      </c>
      <c r="P57" s="3038" t="s">
        <v>1197</v>
      </c>
    </row>
    <row r="58" spans="1:16" ht="13.5" thickBot="1">
      <c r="A58" s="1479" t="str">
        <f t="array" ref="A58:A65">productos</f>
        <v>product 1</v>
      </c>
      <c r="B58" s="3183">
        <f t="shared" ref="B58:M58" si="33">ROUND(B45*(1+$O58),0)</f>
        <v>1158</v>
      </c>
      <c r="C58" s="3176">
        <f t="shared" si="33"/>
        <v>1158</v>
      </c>
      <c r="D58" s="3176">
        <f t="shared" si="33"/>
        <v>1158</v>
      </c>
      <c r="E58" s="3176">
        <f t="shared" si="33"/>
        <v>1158</v>
      </c>
      <c r="F58" s="3176">
        <f t="shared" si="33"/>
        <v>1158</v>
      </c>
      <c r="G58" s="3176">
        <f t="shared" si="33"/>
        <v>1158</v>
      </c>
      <c r="H58" s="3176">
        <f t="shared" si="33"/>
        <v>1158</v>
      </c>
      <c r="I58" s="3176">
        <f t="shared" si="33"/>
        <v>1158</v>
      </c>
      <c r="J58" s="3176">
        <f t="shared" si="33"/>
        <v>1158</v>
      </c>
      <c r="K58" s="3176">
        <f t="shared" si="33"/>
        <v>1158</v>
      </c>
      <c r="L58" s="3176">
        <f t="shared" si="33"/>
        <v>1158</v>
      </c>
      <c r="M58" s="3177">
        <f t="shared" si="33"/>
        <v>1158</v>
      </c>
      <c r="N58" s="3178">
        <f t="shared" ref="N58:N65" si="34">SUM(B58:M58)</f>
        <v>13896</v>
      </c>
      <c r="O58" s="2537">
        <f t="shared" ref="O58:O65" si="35">O45</f>
        <v>0.05</v>
      </c>
      <c r="P58" s="3039">
        <f>N58</f>
        <v>13896</v>
      </c>
    </row>
    <row r="59" spans="1:16">
      <c r="A59" s="1480" t="str">
        <v/>
      </c>
      <c r="B59" s="3184">
        <f t="shared" ref="B59:M59" si="36">ROUND(B46*(1+$O59),0)</f>
        <v>0</v>
      </c>
      <c r="C59" s="3179">
        <f t="shared" si="36"/>
        <v>0</v>
      </c>
      <c r="D59" s="3179">
        <f t="shared" si="36"/>
        <v>0</v>
      </c>
      <c r="E59" s="3179">
        <f t="shared" si="36"/>
        <v>0</v>
      </c>
      <c r="F59" s="3179">
        <f t="shared" si="36"/>
        <v>0</v>
      </c>
      <c r="G59" s="3179">
        <f t="shared" si="36"/>
        <v>0</v>
      </c>
      <c r="H59" s="3179">
        <f t="shared" si="36"/>
        <v>0</v>
      </c>
      <c r="I59" s="3179">
        <f t="shared" si="36"/>
        <v>0</v>
      </c>
      <c r="J59" s="3179">
        <f t="shared" si="36"/>
        <v>0</v>
      </c>
      <c r="K59" s="3179">
        <f t="shared" si="36"/>
        <v>0</v>
      </c>
      <c r="L59" s="3179">
        <f t="shared" si="36"/>
        <v>0</v>
      </c>
      <c r="M59" s="3180">
        <f t="shared" si="36"/>
        <v>0</v>
      </c>
      <c r="N59" s="3169">
        <f t="shared" si="34"/>
        <v>0</v>
      </c>
      <c r="O59" s="2538">
        <f t="shared" si="35"/>
        <v>0.05</v>
      </c>
    </row>
    <row r="60" spans="1:16">
      <c r="A60" s="1480" t="str">
        <v/>
      </c>
      <c r="B60" s="3184">
        <f t="shared" ref="B60:M60" si="37">ROUND(B47*(1+$O60),0)</f>
        <v>0</v>
      </c>
      <c r="C60" s="3179">
        <f t="shared" si="37"/>
        <v>0</v>
      </c>
      <c r="D60" s="3179">
        <f t="shared" si="37"/>
        <v>0</v>
      </c>
      <c r="E60" s="3179">
        <f t="shared" si="37"/>
        <v>0</v>
      </c>
      <c r="F60" s="3179">
        <f t="shared" si="37"/>
        <v>0</v>
      </c>
      <c r="G60" s="3179">
        <f t="shared" si="37"/>
        <v>0</v>
      </c>
      <c r="H60" s="3179">
        <f t="shared" si="37"/>
        <v>0</v>
      </c>
      <c r="I60" s="3179">
        <f t="shared" si="37"/>
        <v>0</v>
      </c>
      <c r="J60" s="3179">
        <f t="shared" si="37"/>
        <v>0</v>
      </c>
      <c r="K60" s="3179">
        <f t="shared" si="37"/>
        <v>0</v>
      </c>
      <c r="L60" s="3179">
        <f t="shared" si="37"/>
        <v>0</v>
      </c>
      <c r="M60" s="3180">
        <f t="shared" si="37"/>
        <v>0</v>
      </c>
      <c r="N60" s="3169">
        <f t="shared" si="34"/>
        <v>0</v>
      </c>
      <c r="O60" s="2538">
        <f t="shared" si="35"/>
        <v>0.05</v>
      </c>
    </row>
    <row r="61" spans="1:16">
      <c r="A61" s="1480" t="str">
        <v/>
      </c>
      <c r="B61" s="3184">
        <f t="shared" ref="B61:M61" si="38">ROUND(B48*(1+$O61),0)</f>
        <v>0</v>
      </c>
      <c r="C61" s="3179">
        <f t="shared" si="38"/>
        <v>0</v>
      </c>
      <c r="D61" s="3179">
        <f t="shared" si="38"/>
        <v>0</v>
      </c>
      <c r="E61" s="3179">
        <f t="shared" si="38"/>
        <v>0</v>
      </c>
      <c r="F61" s="3179">
        <f t="shared" si="38"/>
        <v>0</v>
      </c>
      <c r="G61" s="3179">
        <f t="shared" si="38"/>
        <v>0</v>
      </c>
      <c r="H61" s="3179">
        <f t="shared" si="38"/>
        <v>0</v>
      </c>
      <c r="I61" s="3179">
        <f t="shared" si="38"/>
        <v>0</v>
      </c>
      <c r="J61" s="3179">
        <f t="shared" si="38"/>
        <v>0</v>
      </c>
      <c r="K61" s="3179">
        <f t="shared" si="38"/>
        <v>0</v>
      </c>
      <c r="L61" s="3179">
        <f t="shared" si="38"/>
        <v>0</v>
      </c>
      <c r="M61" s="3180">
        <f t="shared" si="38"/>
        <v>0</v>
      </c>
      <c r="N61" s="3169">
        <f t="shared" si="34"/>
        <v>0</v>
      </c>
      <c r="O61" s="2538">
        <f t="shared" si="35"/>
        <v>0.05</v>
      </c>
    </row>
    <row r="62" spans="1:16">
      <c r="A62" s="1480" t="str">
        <v/>
      </c>
      <c r="B62" s="3184">
        <f t="shared" ref="B62:M62" si="39">ROUND(B49*(1+$O62),0)</f>
        <v>0</v>
      </c>
      <c r="C62" s="3179">
        <f t="shared" si="39"/>
        <v>0</v>
      </c>
      <c r="D62" s="3179">
        <f t="shared" si="39"/>
        <v>0</v>
      </c>
      <c r="E62" s="3179">
        <f t="shared" si="39"/>
        <v>0</v>
      </c>
      <c r="F62" s="3179">
        <f t="shared" si="39"/>
        <v>0</v>
      </c>
      <c r="G62" s="3179">
        <f t="shared" si="39"/>
        <v>0</v>
      </c>
      <c r="H62" s="3179">
        <f t="shared" si="39"/>
        <v>0</v>
      </c>
      <c r="I62" s="3179">
        <f t="shared" si="39"/>
        <v>0</v>
      </c>
      <c r="J62" s="3179">
        <f t="shared" si="39"/>
        <v>0</v>
      </c>
      <c r="K62" s="3179">
        <f t="shared" si="39"/>
        <v>0</v>
      </c>
      <c r="L62" s="3179">
        <f t="shared" si="39"/>
        <v>0</v>
      </c>
      <c r="M62" s="3180">
        <f t="shared" si="39"/>
        <v>0</v>
      </c>
      <c r="N62" s="3169">
        <f t="shared" si="34"/>
        <v>0</v>
      </c>
      <c r="O62" s="2538">
        <f t="shared" si="35"/>
        <v>0.05</v>
      </c>
    </row>
    <row r="63" spans="1:16">
      <c r="A63" s="1480" t="str">
        <v/>
      </c>
      <c r="B63" s="3184">
        <f t="shared" ref="B63:M63" si="40">ROUND(B50*(1+$O63),0)</f>
        <v>0</v>
      </c>
      <c r="C63" s="3179">
        <f t="shared" si="40"/>
        <v>0</v>
      </c>
      <c r="D63" s="3179">
        <f t="shared" si="40"/>
        <v>0</v>
      </c>
      <c r="E63" s="3179">
        <f t="shared" si="40"/>
        <v>0</v>
      </c>
      <c r="F63" s="3179">
        <f t="shared" si="40"/>
        <v>0</v>
      </c>
      <c r="G63" s="3179">
        <f t="shared" si="40"/>
        <v>0</v>
      </c>
      <c r="H63" s="3179">
        <f t="shared" si="40"/>
        <v>0</v>
      </c>
      <c r="I63" s="3179">
        <f t="shared" si="40"/>
        <v>0</v>
      </c>
      <c r="J63" s="3179">
        <f t="shared" si="40"/>
        <v>0</v>
      </c>
      <c r="K63" s="3179">
        <f t="shared" si="40"/>
        <v>0</v>
      </c>
      <c r="L63" s="3179">
        <f t="shared" si="40"/>
        <v>0</v>
      </c>
      <c r="M63" s="3180">
        <f t="shared" si="40"/>
        <v>0</v>
      </c>
      <c r="N63" s="3169">
        <f t="shared" si="34"/>
        <v>0</v>
      </c>
      <c r="O63" s="2538">
        <f t="shared" si="35"/>
        <v>0.05</v>
      </c>
    </row>
    <row r="64" spans="1:16">
      <c r="A64" s="1480" t="str">
        <v/>
      </c>
      <c r="B64" s="3184">
        <f t="shared" ref="B64:M64" si="41">ROUND(B51*(1+$O64),0)</f>
        <v>0</v>
      </c>
      <c r="C64" s="3179">
        <f t="shared" si="41"/>
        <v>0</v>
      </c>
      <c r="D64" s="3179">
        <f t="shared" si="41"/>
        <v>0</v>
      </c>
      <c r="E64" s="3179">
        <f t="shared" si="41"/>
        <v>0</v>
      </c>
      <c r="F64" s="3179">
        <f t="shared" si="41"/>
        <v>0</v>
      </c>
      <c r="G64" s="3179">
        <f t="shared" si="41"/>
        <v>0</v>
      </c>
      <c r="H64" s="3179">
        <f t="shared" si="41"/>
        <v>0</v>
      </c>
      <c r="I64" s="3179">
        <f t="shared" si="41"/>
        <v>0</v>
      </c>
      <c r="J64" s="3179">
        <f t="shared" si="41"/>
        <v>0</v>
      </c>
      <c r="K64" s="3179">
        <f t="shared" si="41"/>
        <v>0</v>
      </c>
      <c r="L64" s="3179">
        <f t="shared" si="41"/>
        <v>0</v>
      </c>
      <c r="M64" s="3180">
        <f t="shared" si="41"/>
        <v>0</v>
      </c>
      <c r="N64" s="3169">
        <f t="shared" si="34"/>
        <v>0</v>
      </c>
      <c r="O64" s="2538">
        <f t="shared" si="35"/>
        <v>0.05</v>
      </c>
    </row>
    <row r="65" spans="1:15" ht="13.5" thickBot="1">
      <c r="A65" s="1481" t="str">
        <v/>
      </c>
      <c r="B65" s="3185">
        <f t="shared" ref="B65:M65" si="42">ROUND(B52*(1+$O65),0)</f>
        <v>0</v>
      </c>
      <c r="C65" s="3181">
        <f t="shared" si="42"/>
        <v>0</v>
      </c>
      <c r="D65" s="3181">
        <f t="shared" si="42"/>
        <v>0</v>
      </c>
      <c r="E65" s="3181">
        <f t="shared" si="42"/>
        <v>0</v>
      </c>
      <c r="F65" s="3181">
        <f t="shared" si="42"/>
        <v>0</v>
      </c>
      <c r="G65" s="3181">
        <f t="shared" si="42"/>
        <v>0</v>
      </c>
      <c r="H65" s="3181">
        <f t="shared" si="42"/>
        <v>0</v>
      </c>
      <c r="I65" s="3181">
        <f t="shared" si="42"/>
        <v>0</v>
      </c>
      <c r="J65" s="3181">
        <f t="shared" si="42"/>
        <v>0</v>
      </c>
      <c r="K65" s="3181">
        <f t="shared" si="42"/>
        <v>0</v>
      </c>
      <c r="L65" s="3181">
        <f t="shared" si="42"/>
        <v>0</v>
      </c>
      <c r="M65" s="3182">
        <f t="shared" si="42"/>
        <v>0</v>
      </c>
      <c r="N65" s="3175">
        <f t="shared" si="34"/>
        <v>0</v>
      </c>
      <c r="O65" s="2539">
        <f t="shared" si="35"/>
        <v>0.05</v>
      </c>
    </row>
    <row r="66" spans="1:15" ht="13.5" thickBot="1">
      <c r="A66" s="102" t="str">
        <f>A$14</f>
        <v>Monthly Totals</v>
      </c>
      <c r="B66" s="910">
        <f t="shared" ref="B66:M66" si="43">B58+B59+B60+B61+B62+B63+B64+B65</f>
        <v>1158</v>
      </c>
      <c r="C66" s="911">
        <f t="shared" si="43"/>
        <v>1158</v>
      </c>
      <c r="D66" s="911">
        <f t="shared" si="43"/>
        <v>1158</v>
      </c>
      <c r="E66" s="911">
        <f t="shared" si="43"/>
        <v>1158</v>
      </c>
      <c r="F66" s="911">
        <f t="shared" si="43"/>
        <v>1158</v>
      </c>
      <c r="G66" s="911">
        <f t="shared" si="43"/>
        <v>1158</v>
      </c>
      <c r="H66" s="911">
        <f t="shared" si="43"/>
        <v>1158</v>
      </c>
      <c r="I66" s="911">
        <f t="shared" si="43"/>
        <v>1158</v>
      </c>
      <c r="J66" s="911">
        <f t="shared" si="43"/>
        <v>1158</v>
      </c>
      <c r="K66" s="911">
        <f t="shared" si="43"/>
        <v>1158</v>
      </c>
      <c r="L66" s="911">
        <f t="shared" si="43"/>
        <v>1158</v>
      </c>
      <c r="M66" s="912">
        <f t="shared" si="43"/>
        <v>1158</v>
      </c>
      <c r="N66" s="421">
        <f>SUM(B66:M66)</f>
        <v>13896</v>
      </c>
    </row>
    <row r="67" spans="1:15">
      <c r="B67" s="1758">
        <f>+B54</f>
        <v>0.05</v>
      </c>
    </row>
    <row r="69" spans="1:15" ht="20.25" thickBot="1">
      <c r="A69" s="240" t="str">
        <f>$A$4</f>
        <v xml:space="preserve">Detailed Sales Forecast in units </v>
      </c>
      <c r="E69" s="2715" t="str">
        <f>Parameters!G$77</f>
        <v>Year 5 :   2031</v>
      </c>
      <c r="F69" s="234"/>
    </row>
    <row r="70" spans="1:15" ht="31.5" customHeight="1" thickBot="1">
      <c r="A70" s="239" t="str">
        <f>A$5</f>
        <v>Sales (Units)</v>
      </c>
      <c r="B70" s="237" t="str">
        <f t="array" ref="B70:M70">CONCATENATE(meses," 
",Parameters!B$76:M$76+5)</f>
        <v>January 
2031</v>
      </c>
      <c r="C70" s="237" t="str">
        <v>February 
2031</v>
      </c>
      <c r="D70" s="237" t="str">
        <v>March 
2031</v>
      </c>
      <c r="E70" s="237" t="str">
        <v>April 
2031</v>
      </c>
      <c r="F70" s="237" t="str">
        <v>May 
2031</v>
      </c>
      <c r="G70" s="237" t="str">
        <v>June 
2031</v>
      </c>
      <c r="H70" s="237" t="str">
        <v>July 
2031</v>
      </c>
      <c r="I70" s="237" t="str">
        <v>August 
2031</v>
      </c>
      <c r="J70" s="237" t="str">
        <v>September 
2031</v>
      </c>
      <c r="K70" s="237" t="str">
        <v>October 
2031</v>
      </c>
      <c r="L70" s="237" t="str">
        <v>November 
2031</v>
      </c>
      <c r="M70" s="238" t="str">
        <v>December 
2031</v>
      </c>
      <c r="N70" s="236" t="str">
        <f>CONCATENATE("Totals   
",Parameters!I$65)</f>
        <v>Totals   
2031</v>
      </c>
    </row>
    <row r="71" spans="1:15">
      <c r="A71" s="1479" t="str">
        <f t="array" ref="A71:A78">productos</f>
        <v>product 1</v>
      </c>
      <c r="B71" s="3183">
        <f t="shared" ref="B71:M71" si="44">ROUND(B58*(1+$O71),0)</f>
        <v>1158</v>
      </c>
      <c r="C71" s="3176">
        <f t="shared" si="44"/>
        <v>1158</v>
      </c>
      <c r="D71" s="3176">
        <f t="shared" si="44"/>
        <v>1158</v>
      </c>
      <c r="E71" s="3176">
        <f t="shared" si="44"/>
        <v>1158</v>
      </c>
      <c r="F71" s="3176">
        <f t="shared" si="44"/>
        <v>1158</v>
      </c>
      <c r="G71" s="3176">
        <f t="shared" si="44"/>
        <v>1158</v>
      </c>
      <c r="H71" s="3176">
        <f t="shared" si="44"/>
        <v>1158</v>
      </c>
      <c r="I71" s="3176">
        <f t="shared" si="44"/>
        <v>1158</v>
      </c>
      <c r="J71" s="3176">
        <f t="shared" si="44"/>
        <v>1158</v>
      </c>
      <c r="K71" s="3176">
        <f t="shared" si="44"/>
        <v>1158</v>
      </c>
      <c r="L71" s="3176">
        <f t="shared" si="44"/>
        <v>1158</v>
      </c>
      <c r="M71" s="3177">
        <f t="shared" si="44"/>
        <v>1158</v>
      </c>
      <c r="N71" s="3178">
        <f t="shared" ref="N71:N78" si="45">SUM(B71:M71)</f>
        <v>13896</v>
      </c>
    </row>
    <row r="72" spans="1:15">
      <c r="A72" s="1480" t="str">
        <v/>
      </c>
      <c r="B72" s="3184">
        <f t="shared" ref="B72:M72" si="46">ROUND(B59*(1+$O72),0)</f>
        <v>0</v>
      </c>
      <c r="C72" s="3179">
        <f t="shared" si="46"/>
        <v>0</v>
      </c>
      <c r="D72" s="3179">
        <f t="shared" si="46"/>
        <v>0</v>
      </c>
      <c r="E72" s="3179">
        <f t="shared" si="46"/>
        <v>0</v>
      </c>
      <c r="F72" s="3179">
        <f t="shared" si="46"/>
        <v>0</v>
      </c>
      <c r="G72" s="3179">
        <f t="shared" si="46"/>
        <v>0</v>
      </c>
      <c r="H72" s="3179">
        <f t="shared" si="46"/>
        <v>0</v>
      </c>
      <c r="I72" s="3179">
        <f t="shared" si="46"/>
        <v>0</v>
      </c>
      <c r="J72" s="3179">
        <f t="shared" si="46"/>
        <v>0</v>
      </c>
      <c r="K72" s="3179">
        <f t="shared" si="46"/>
        <v>0</v>
      </c>
      <c r="L72" s="3179">
        <f t="shared" si="46"/>
        <v>0</v>
      </c>
      <c r="M72" s="3180">
        <f t="shared" si="46"/>
        <v>0</v>
      </c>
      <c r="N72" s="3169">
        <f t="shared" si="45"/>
        <v>0</v>
      </c>
    </row>
    <row r="73" spans="1:15">
      <c r="A73" s="1480" t="str">
        <v/>
      </c>
      <c r="B73" s="3184">
        <f t="shared" ref="B73:M73" si="47">ROUND(B60*(1+$O73),0)</f>
        <v>0</v>
      </c>
      <c r="C73" s="3179">
        <f t="shared" si="47"/>
        <v>0</v>
      </c>
      <c r="D73" s="3179">
        <f t="shared" si="47"/>
        <v>0</v>
      </c>
      <c r="E73" s="3179">
        <f t="shared" si="47"/>
        <v>0</v>
      </c>
      <c r="F73" s="3179">
        <f t="shared" si="47"/>
        <v>0</v>
      </c>
      <c r="G73" s="3179">
        <f t="shared" si="47"/>
        <v>0</v>
      </c>
      <c r="H73" s="3179">
        <f t="shared" si="47"/>
        <v>0</v>
      </c>
      <c r="I73" s="3179">
        <f t="shared" si="47"/>
        <v>0</v>
      </c>
      <c r="J73" s="3179">
        <f t="shared" si="47"/>
        <v>0</v>
      </c>
      <c r="K73" s="3179">
        <f t="shared" si="47"/>
        <v>0</v>
      </c>
      <c r="L73" s="3179">
        <f t="shared" si="47"/>
        <v>0</v>
      </c>
      <c r="M73" s="3180">
        <f t="shared" si="47"/>
        <v>0</v>
      </c>
      <c r="N73" s="3169">
        <f t="shared" si="45"/>
        <v>0</v>
      </c>
    </row>
    <row r="74" spans="1:15">
      <c r="A74" s="1480" t="str">
        <v/>
      </c>
      <c r="B74" s="3184">
        <f t="shared" ref="B74:M74" si="48">ROUND(B61*(1+$O74),0)</f>
        <v>0</v>
      </c>
      <c r="C74" s="3179">
        <f t="shared" si="48"/>
        <v>0</v>
      </c>
      <c r="D74" s="3179">
        <f t="shared" si="48"/>
        <v>0</v>
      </c>
      <c r="E74" s="3179">
        <f t="shared" si="48"/>
        <v>0</v>
      </c>
      <c r="F74" s="3179">
        <f t="shared" si="48"/>
        <v>0</v>
      </c>
      <c r="G74" s="3179">
        <f t="shared" si="48"/>
        <v>0</v>
      </c>
      <c r="H74" s="3179">
        <f t="shared" si="48"/>
        <v>0</v>
      </c>
      <c r="I74" s="3179">
        <f t="shared" si="48"/>
        <v>0</v>
      </c>
      <c r="J74" s="3179">
        <f t="shared" si="48"/>
        <v>0</v>
      </c>
      <c r="K74" s="3179">
        <f t="shared" si="48"/>
        <v>0</v>
      </c>
      <c r="L74" s="3179">
        <f t="shared" si="48"/>
        <v>0</v>
      </c>
      <c r="M74" s="3180">
        <f t="shared" si="48"/>
        <v>0</v>
      </c>
      <c r="N74" s="3169">
        <f t="shared" si="45"/>
        <v>0</v>
      </c>
    </row>
    <row r="75" spans="1:15">
      <c r="A75" s="1480" t="str">
        <v/>
      </c>
      <c r="B75" s="3184">
        <f t="shared" ref="B75:M75" si="49">ROUND(B62*(1+$O75),0)</f>
        <v>0</v>
      </c>
      <c r="C75" s="3179">
        <f t="shared" si="49"/>
        <v>0</v>
      </c>
      <c r="D75" s="3179">
        <f t="shared" si="49"/>
        <v>0</v>
      </c>
      <c r="E75" s="3179">
        <f t="shared" si="49"/>
        <v>0</v>
      </c>
      <c r="F75" s="3179">
        <f t="shared" si="49"/>
        <v>0</v>
      </c>
      <c r="G75" s="3179">
        <f t="shared" si="49"/>
        <v>0</v>
      </c>
      <c r="H75" s="3179">
        <f t="shared" si="49"/>
        <v>0</v>
      </c>
      <c r="I75" s="3179">
        <f t="shared" si="49"/>
        <v>0</v>
      </c>
      <c r="J75" s="3179">
        <f t="shared" si="49"/>
        <v>0</v>
      </c>
      <c r="K75" s="3179">
        <f t="shared" si="49"/>
        <v>0</v>
      </c>
      <c r="L75" s="3179">
        <f t="shared" si="49"/>
        <v>0</v>
      </c>
      <c r="M75" s="3180">
        <f t="shared" si="49"/>
        <v>0</v>
      </c>
      <c r="N75" s="3169">
        <f t="shared" si="45"/>
        <v>0</v>
      </c>
    </row>
    <row r="76" spans="1:15">
      <c r="A76" s="1480" t="str">
        <v/>
      </c>
      <c r="B76" s="3184">
        <f t="shared" ref="B76:M76" si="50">ROUND(B63*(1+$O76),0)</f>
        <v>0</v>
      </c>
      <c r="C76" s="3179">
        <f t="shared" si="50"/>
        <v>0</v>
      </c>
      <c r="D76" s="3179">
        <f t="shared" si="50"/>
        <v>0</v>
      </c>
      <c r="E76" s="3179">
        <f t="shared" si="50"/>
        <v>0</v>
      </c>
      <c r="F76" s="3179">
        <f t="shared" si="50"/>
        <v>0</v>
      </c>
      <c r="G76" s="3179">
        <f t="shared" si="50"/>
        <v>0</v>
      </c>
      <c r="H76" s="3179">
        <f t="shared" si="50"/>
        <v>0</v>
      </c>
      <c r="I76" s="3179">
        <f t="shared" si="50"/>
        <v>0</v>
      </c>
      <c r="J76" s="3179">
        <f t="shared" si="50"/>
        <v>0</v>
      </c>
      <c r="K76" s="3179">
        <f t="shared" si="50"/>
        <v>0</v>
      </c>
      <c r="L76" s="3179">
        <f t="shared" si="50"/>
        <v>0</v>
      </c>
      <c r="M76" s="3180">
        <f t="shared" si="50"/>
        <v>0</v>
      </c>
      <c r="N76" s="3169">
        <f t="shared" si="45"/>
        <v>0</v>
      </c>
    </row>
    <row r="77" spans="1:15">
      <c r="A77" s="1480" t="str">
        <v/>
      </c>
      <c r="B77" s="3184">
        <f t="shared" ref="B77:M77" si="51">ROUND(B64*(1+$O77),0)</f>
        <v>0</v>
      </c>
      <c r="C77" s="3179">
        <f t="shared" si="51"/>
        <v>0</v>
      </c>
      <c r="D77" s="3179">
        <f t="shared" si="51"/>
        <v>0</v>
      </c>
      <c r="E77" s="3179">
        <f t="shared" si="51"/>
        <v>0</v>
      </c>
      <c r="F77" s="3179">
        <f t="shared" si="51"/>
        <v>0</v>
      </c>
      <c r="G77" s="3179">
        <f t="shared" si="51"/>
        <v>0</v>
      </c>
      <c r="H77" s="3179">
        <f t="shared" si="51"/>
        <v>0</v>
      </c>
      <c r="I77" s="3179">
        <f t="shared" si="51"/>
        <v>0</v>
      </c>
      <c r="J77" s="3179">
        <f t="shared" si="51"/>
        <v>0</v>
      </c>
      <c r="K77" s="3179">
        <f t="shared" si="51"/>
        <v>0</v>
      </c>
      <c r="L77" s="3179">
        <f t="shared" si="51"/>
        <v>0</v>
      </c>
      <c r="M77" s="3180">
        <f t="shared" si="51"/>
        <v>0</v>
      </c>
      <c r="N77" s="3169">
        <f t="shared" si="45"/>
        <v>0</v>
      </c>
    </row>
    <row r="78" spans="1:15" ht="13.5" thickBot="1">
      <c r="A78" s="1481" t="str">
        <v/>
      </c>
      <c r="B78" s="3185">
        <f t="shared" ref="B78:M78" si="52">ROUND(B65*(1+$O78),0)</f>
        <v>0</v>
      </c>
      <c r="C78" s="3181">
        <f t="shared" si="52"/>
        <v>0</v>
      </c>
      <c r="D78" s="3181">
        <f t="shared" si="52"/>
        <v>0</v>
      </c>
      <c r="E78" s="3181">
        <f t="shared" si="52"/>
        <v>0</v>
      </c>
      <c r="F78" s="3181">
        <f t="shared" si="52"/>
        <v>0</v>
      </c>
      <c r="G78" s="3181">
        <f t="shared" si="52"/>
        <v>0</v>
      </c>
      <c r="H78" s="3181">
        <f t="shared" si="52"/>
        <v>0</v>
      </c>
      <c r="I78" s="3181">
        <f t="shared" si="52"/>
        <v>0</v>
      </c>
      <c r="J78" s="3181">
        <f t="shared" si="52"/>
        <v>0</v>
      </c>
      <c r="K78" s="3181">
        <f t="shared" si="52"/>
        <v>0</v>
      </c>
      <c r="L78" s="3181">
        <f t="shared" si="52"/>
        <v>0</v>
      </c>
      <c r="M78" s="3182">
        <f t="shared" si="52"/>
        <v>0</v>
      </c>
      <c r="N78" s="3175">
        <f t="shared" si="45"/>
        <v>0</v>
      </c>
    </row>
    <row r="79" spans="1:15" ht="13.5" thickBot="1">
      <c r="A79" s="102" t="str">
        <f>A$14</f>
        <v>Monthly Totals</v>
      </c>
      <c r="B79" s="910">
        <f t="shared" ref="B79:M79" si="53">B71+B72+B73+B74+B75+B76+B77+B78</f>
        <v>1158</v>
      </c>
      <c r="C79" s="911">
        <f t="shared" si="53"/>
        <v>1158</v>
      </c>
      <c r="D79" s="911">
        <f t="shared" si="53"/>
        <v>1158</v>
      </c>
      <c r="E79" s="911">
        <f t="shared" si="53"/>
        <v>1158</v>
      </c>
      <c r="F79" s="911">
        <f t="shared" si="53"/>
        <v>1158</v>
      </c>
      <c r="G79" s="911">
        <f t="shared" si="53"/>
        <v>1158</v>
      </c>
      <c r="H79" s="911">
        <f t="shared" si="53"/>
        <v>1158</v>
      </c>
      <c r="I79" s="911">
        <f t="shared" si="53"/>
        <v>1158</v>
      </c>
      <c r="J79" s="911">
        <f t="shared" si="53"/>
        <v>1158</v>
      </c>
      <c r="K79" s="911">
        <f t="shared" si="53"/>
        <v>1158</v>
      </c>
      <c r="L79" s="911">
        <f t="shared" si="53"/>
        <v>1158</v>
      </c>
      <c r="M79" s="912">
        <f t="shared" si="53"/>
        <v>1158</v>
      </c>
      <c r="N79" s="421">
        <f>SUM(B79:M79)</f>
        <v>13896</v>
      </c>
    </row>
  </sheetData>
  <sheetProtection sheet="1" objects="1" scenarios="1"/>
  <phoneticPr fontId="7" type="noConversion"/>
  <conditionalFormatting sqref="B6:M13">
    <cfRule type="expression" dxfId="26" priority="1" stopIfTrue="1">
      <formula>COLUMN(B6)-1&lt;mes0</formula>
    </cfRule>
  </conditionalFormatting>
  <conditionalFormatting sqref="B14:M14">
    <cfRule type="expression" dxfId="25" priority="3" stopIfTrue="1">
      <formula>COLUMN(B14)&lt;=mes0</formula>
    </cfRule>
  </conditionalFormatting>
  <dataValidations count="1">
    <dataValidation type="whole" allowBlank="1" showInputMessage="1" showErrorMessage="1" sqref="Q3" xr:uid="{9F52019F-3096-443A-BC76-F5217CC3A54C}">
      <formula1>2</formula1>
      <formula2>12</formula2>
    </dataValidation>
  </dataValidations>
  <printOptions horizontalCentered="1" verticalCentered="1"/>
  <pageMargins left="0.53" right="0.35" top="0.53" bottom="0.67" header="0.51181102362204722" footer="0.39370078740157483"/>
  <pageSetup paperSize="9" scale="78" fitToHeight="0" orientation="landscape" horizontalDpi="300" verticalDpi="300" r:id="rId1"/>
  <headerFooter alignWithMargins="0">
    <oddFooter>&amp;C&amp;"Tahoma,Normal"&amp;10&amp;A</oddFooter>
  </headerFooter>
  <rowBreaks count="1" manualBreakCount="1">
    <brk id="40"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7">
    <tabColor indexed="45"/>
    <pageSetUpPr fitToPage="1"/>
  </sheetPr>
  <dimension ref="A1:H31"/>
  <sheetViews>
    <sheetView zoomScale="75" workbookViewId="0">
      <selection activeCell="E23" sqref="E23"/>
    </sheetView>
  </sheetViews>
  <sheetFormatPr baseColWidth="10" defaultColWidth="11" defaultRowHeight="15"/>
  <cols>
    <col min="1" max="1" width="5.875" style="35" customWidth="1"/>
    <col min="2" max="2" width="39.75" style="35" customWidth="1"/>
    <col min="3" max="3" width="22.625" style="35" customWidth="1"/>
    <col min="4" max="4" width="6.625" style="35" customWidth="1"/>
    <col min="5" max="5" width="5.75" style="35" customWidth="1"/>
    <col min="6" max="6" width="42.625" style="35" customWidth="1"/>
    <col min="7" max="7" width="22.625" style="35" customWidth="1"/>
    <col min="8" max="16384" width="11" style="35"/>
  </cols>
  <sheetData>
    <row r="1" spans="1:7" ht="25.5">
      <c r="A1" s="919" t="str">
        <f>CONCATENATE("Company: ",'Base Data'!$B$9)</f>
        <v>Company: WWW, Ltd.</v>
      </c>
      <c r="B1" s="340"/>
      <c r="C1" s="340"/>
      <c r="D1" s="340"/>
      <c r="E1" s="340"/>
      <c r="F1" s="340"/>
      <c r="G1" s="919"/>
    </row>
    <row r="2" spans="1:7" ht="25.5" customHeight="1"/>
    <row r="3" spans="1:7" s="918" customFormat="1" ht="27">
      <c r="A3" s="916" t="str">
        <f>CONCATENATE("INITIAL BALANCE SHEET FOR YEAR  ",Parameters!D65)</f>
        <v>INITIAL BALANCE SHEET FOR YEAR  2026</v>
      </c>
      <c r="B3" s="917"/>
      <c r="C3" s="917"/>
      <c r="D3" s="917"/>
      <c r="E3" s="917"/>
      <c r="F3" s="917"/>
      <c r="G3" s="917"/>
    </row>
    <row r="4" spans="1:7" s="97" customFormat="1" ht="22.5">
      <c r="B4" s="1549"/>
      <c r="D4" s="1550" t="str">
        <f>CONCATENATE("date: ",TEXT(INDEX(Parameters!A61:A72,mes0,1),"[$-409]mmmm \1\s\t\, aaaa"))</f>
        <v>date: January 1st, 2026</v>
      </c>
    </row>
    <row r="6" spans="1:7" ht="15.75" thickBot="1"/>
    <row r="7" spans="1:7" ht="19.5">
      <c r="A7" s="248"/>
      <c r="B7" s="1605" t="s">
        <v>238</v>
      </c>
      <c r="C7" s="369"/>
      <c r="E7" s="248"/>
      <c r="F7" s="2784" t="str">
        <f>'Balance Sheet Statements (EU)'!A46</f>
        <v>Networth &amp; Liabilities</v>
      </c>
      <c r="G7" s="369"/>
    </row>
    <row r="8" spans="1:7">
      <c r="A8" s="103"/>
      <c r="C8" s="373"/>
      <c r="E8" s="103"/>
      <c r="G8" s="373"/>
    </row>
    <row r="9" spans="1:7" ht="18">
      <c r="A9" s="2785" t="str">
        <f>'Balance Sheet Statements (EU)'!A5</f>
        <v>Non Current Assets</v>
      </c>
      <c r="C9" s="1591">
        <f>SUM(C10:C17)</f>
        <v>0</v>
      </c>
      <c r="E9" s="2785" t="str">
        <f>'Balance Sheet Statements (EU)'!A26</f>
        <v>Networth / Equity</v>
      </c>
      <c r="F9" s="626"/>
      <c r="G9" s="1591">
        <f>SUM(G10:G13)</f>
        <v>2335</v>
      </c>
    </row>
    <row r="10" spans="1:7">
      <c r="A10" s="103"/>
      <c r="B10" s="1609" t="str">
        <f>'Balance Sheet Statements (EU)'!A6</f>
        <v>Material Fixed Assets</v>
      </c>
      <c r="C10" s="1592">
        <f>Amortizations!B6</f>
        <v>0</v>
      </c>
      <c r="E10" s="103"/>
      <c r="F10" s="1411" t="str">
        <f>'Balance Sheet Statements (EU)'!A27</f>
        <v>Capital Stock</v>
      </c>
      <c r="G10" s="1600">
        <f>'Initial Funding'!B7+'Initial Funding'!C7
+'Initial Funding'!B8+'Initial Funding'!C8</f>
        <v>3000</v>
      </c>
    </row>
    <row r="11" spans="1:7">
      <c r="A11" s="103"/>
      <c r="B11" s="39" t="s">
        <v>581</v>
      </c>
      <c r="C11" s="1593">
        <f>-Amortizations!C6</f>
        <v>0</v>
      </c>
      <c r="E11" s="103"/>
      <c r="F11" s="71" t="str">
        <f>'Balance Sheet Statements (EU)'!A28</f>
        <v>Accumulated Reserves</v>
      </c>
      <c r="G11" s="1722">
        <f>SUM(resprevio)-'Initial Expenses'!B12*0</f>
        <v>-665</v>
      </c>
    </row>
    <row r="12" spans="1:7">
      <c r="A12" s="103"/>
      <c r="B12" s="1609" t="str">
        <f>'Balance Sheet Statements (EU)'!A7</f>
        <v>Intangible / Non Material Assets</v>
      </c>
      <c r="C12" s="1594">
        <f>'NCA Initial Invest.'!B63</f>
        <v>0</v>
      </c>
      <c r="E12" s="103"/>
      <c r="F12" s="71" t="str">
        <f>'Balance Sheet Statements (EU)'!A34</f>
        <v>Other shareholder contributions</v>
      </c>
      <c r="G12" s="1601">
        <f>'Initial Funding'!D13</f>
        <v>0</v>
      </c>
    </row>
    <row r="13" spans="1:7">
      <c r="A13" s="103"/>
      <c r="B13" s="39" t="s">
        <v>582</v>
      </c>
      <c r="C13" s="1593">
        <f>-'NCA Initial Invest.'!E63</f>
        <v>0</v>
      </c>
      <c r="E13" s="103"/>
      <c r="F13" s="71" t="str">
        <f>'Balance Sheet Statements (EU)'!A29</f>
        <v>Subsidies</v>
      </c>
      <c r="G13" s="1594">
        <f>'Initial Funding'!D14</f>
        <v>0</v>
      </c>
    </row>
    <row r="14" spans="1:7">
      <c r="A14" s="103"/>
      <c r="B14" s="1609" t="str">
        <f>'Balance Sheet Statements (EU)'!A11</f>
        <v>Long Term Financial Assets</v>
      </c>
      <c r="C14" s="1592">
        <f>'Balance Sheet Statements (EU)'!D11</f>
        <v>0</v>
      </c>
      <c r="E14" s="103"/>
      <c r="F14" s="71" t="str">
        <f>'Balance Sheet Statements (EU)'!A30</f>
        <v>Profits pending application</v>
      </c>
      <c r="G14" s="1601">
        <v>0</v>
      </c>
    </row>
    <row r="15" spans="1:7">
      <c r="A15" s="103"/>
      <c r="B15" s="39"/>
      <c r="C15" s="373"/>
      <c r="E15" s="103"/>
      <c r="G15" s="373"/>
    </row>
    <row r="16" spans="1:7" ht="18">
      <c r="A16" s="103"/>
      <c r="B16" s="2205" t="s">
        <v>55</v>
      </c>
      <c r="C16" s="1595">
        <f>'Initial Expenses'!B12*0
+'Initial Expenses'!B20*0</f>
        <v>0</v>
      </c>
      <c r="E16" s="1590" t="s">
        <v>583</v>
      </c>
      <c r="F16" s="626"/>
      <c r="G16" s="1591">
        <f ca="1">G17+G21</f>
        <v>0</v>
      </c>
    </row>
    <row r="17" spans="1:8">
      <c r="A17" s="103"/>
      <c r="B17" s="2205" t="s">
        <v>56</v>
      </c>
      <c r="C17" s="1596"/>
      <c r="E17" s="2786" t="str">
        <f>'Balance Sheet Statements (EU)'!A32</f>
        <v>Long Term Liabilities</v>
      </c>
      <c r="F17" s="674"/>
      <c r="G17" s="1602">
        <f>SUM(G18:G19)</f>
        <v>0</v>
      </c>
      <c r="H17" s="914"/>
    </row>
    <row r="18" spans="1:8">
      <c r="A18" s="103"/>
      <c r="C18" s="373"/>
      <c r="E18" s="103"/>
      <c r="F18" s="71" t="str">
        <f>'Balance Sheet Statements (EU)'!A33</f>
        <v>Long Term Financial Creditors</v>
      </c>
      <c r="G18" s="1600">
        <f>'Initial Funding'!D18</f>
        <v>0</v>
      </c>
      <c r="H18" s="914"/>
    </row>
    <row r="19" spans="1:8" ht="18">
      <c r="A19" s="2785" t="str">
        <f>'Balance Sheet Statements (EU)'!A13</f>
        <v>Current Assets</v>
      </c>
      <c r="C19" s="1591">
        <f ca="1">SUM(C20:C27)</f>
        <v>2335</v>
      </c>
      <c r="E19" s="103"/>
      <c r="F19" s="71" t="str">
        <f>'Balance Sheet Statements (EU)'!A35</f>
        <v>Other Long Term Creditors</v>
      </c>
      <c r="G19" s="1600">
        <f>'Initial Funding'!B20</f>
        <v>0</v>
      </c>
    </row>
    <row r="20" spans="1:8">
      <c r="A20" s="103"/>
      <c r="B20" s="1609" t="str">
        <f>'Balance Sheet Statements (EU)'!A14</f>
        <v>Short Term Financial assets</v>
      </c>
      <c r="C20" s="1592">
        <f>'Current Asset Invest.'!I7</f>
        <v>0</v>
      </c>
      <c r="E20" s="103"/>
      <c r="G20" s="373"/>
    </row>
    <row r="21" spans="1:8">
      <c r="A21" s="103"/>
      <c r="B21" s="1609" t="str">
        <f>'Balance Sheet Statements (EU)'!A15</f>
        <v>Stockage</v>
      </c>
      <c r="C21" s="1592">
        <f ca="1">'Current Asset Invest.'!I11</f>
        <v>0</v>
      </c>
      <c r="E21" s="2786" t="str">
        <f>'Balance Sheet Statements (EU)'!A37</f>
        <v>Short Term Liabilities</v>
      </c>
      <c r="F21" s="674"/>
      <c r="G21" s="1602">
        <f ca="1">SUM(G22:G27)</f>
        <v>0</v>
      </c>
    </row>
    <row r="22" spans="1:8">
      <c r="A22" s="103"/>
      <c r="B22" s="1609" t="str">
        <f>'Balance Sheet Statements (EU)'!A16</f>
        <v>Trade creditors (debtors)</v>
      </c>
      <c r="C22" s="1595">
        <f>'Current Asset Invest.'!$G$24</f>
        <v>0</v>
      </c>
      <c r="E22" s="103"/>
      <c r="F22" s="71" t="str">
        <f>'Balance Sheet Statements (EU)'!A38</f>
        <v>Short Term Financial Payable</v>
      </c>
      <c r="G22" s="1600">
        <f>'Initial Funding'!D23</f>
        <v>0</v>
      </c>
    </row>
    <row r="23" spans="1:8">
      <c r="A23" s="103"/>
      <c r="B23" s="1609" t="str">
        <f>+'Balance Sheet Statements (EU)'!A18</f>
        <v>Receivable subsidies</v>
      </c>
      <c r="C23" s="1595">
        <f>+'Current Asset Invest.'!I23</f>
        <v>0</v>
      </c>
      <c r="E23" s="103"/>
      <c r="F23" s="71" t="str">
        <f>'Balance Sheet Statements (EU)'!A39</f>
        <v>S.T. Credit Accounts</v>
      </c>
      <c r="G23" s="1600">
        <f>'Initial Funding'!$B$25</f>
        <v>0</v>
      </c>
    </row>
    <row r="24" spans="1:8">
      <c r="A24" s="103"/>
      <c r="B24" s="1609" t="str">
        <f>+'Balance Sheet Statements (EU)'!A19</f>
        <v>Public Treasury Creditor ( P.I.T. )</v>
      </c>
      <c r="C24" s="1592">
        <f>IF(irpf&lt;&gt;0,+'Current Asset Invest.'!G21,0)</f>
        <v>0</v>
      </c>
      <c r="E24" s="103"/>
      <c r="F24" s="71" t="str">
        <f>'Balance Sheet Statements (EU)'!A40</f>
        <v>Suppliers pending payments</v>
      </c>
      <c r="G24" s="1600">
        <f ca="1">'Initial Funding'!$B$27+'Initial Funding'!$C$26</f>
        <v>0</v>
      </c>
    </row>
    <row r="25" spans="1:8">
      <c r="A25" s="103"/>
      <c r="B25" s="1609" t="str">
        <f>+'Balance Sheet Statements (EU)'!A20</f>
        <v>Pub. Treasury creditor C.I.T Receivable</v>
      </c>
      <c r="C25" s="1592">
        <f>+'Current Asset Invest.'!G22</f>
        <v>0</v>
      </c>
      <c r="E25" s="103"/>
      <c r="F25" s="71" t="str">
        <f>'Balance Sheet Statements (EU)'!A41</f>
        <v>Public Treasury VAT Payable</v>
      </c>
      <c r="G25" s="1600">
        <f>'Initial Funding'!B28</f>
        <v>0</v>
      </c>
    </row>
    <row r="26" spans="1:8">
      <c r="A26" s="103"/>
      <c r="B26" s="1609" t="str">
        <f>+'Balance Sheet Statements (EU)'!A21</f>
        <v>Public Treasury VAT Receivable</v>
      </c>
      <c r="C26" s="1592">
        <f ca="1">'Current Asset Invest.'!H19+'Current Asset Invest.'!G20</f>
        <v>133.35</v>
      </c>
      <c r="E26" s="103"/>
      <c r="F26" s="71" t="str">
        <f>'Balance Sheet Statements (EU)'!A42</f>
        <v xml:space="preserve">Public Treasury C.I.T Payable </v>
      </c>
      <c r="G26" s="1603">
        <f>+'Initial Funding'!B29</f>
        <v>0</v>
      </c>
    </row>
    <row r="27" spans="1:8">
      <c r="A27" s="103"/>
      <c r="B27" s="1609" t="str">
        <f>+'Balance Sheet Statements (EU)'!A22</f>
        <v>Cash available</v>
      </c>
      <c r="C27" s="1592">
        <f ca="1">'Current Asset Invest.'!I26</f>
        <v>2201.65</v>
      </c>
      <c r="E27" s="103"/>
      <c r="F27" s="71" t="str">
        <f>'Balance Sheet Statements (EU)'!A43</f>
        <v>Other Short Term Payables</v>
      </c>
      <c r="G27" s="1600">
        <f>'Initial Funding'!D30</f>
        <v>0</v>
      </c>
    </row>
    <row r="28" spans="1:8">
      <c r="A28" s="103"/>
      <c r="C28" s="373"/>
      <c r="E28" s="103"/>
      <c r="G28" s="373"/>
    </row>
    <row r="29" spans="1:8" ht="18.75" thickBot="1">
      <c r="A29" s="1597"/>
      <c r="B29" s="1598" t="str">
        <f>"Total "&amp;B7</f>
        <v>Total ASSETS</v>
      </c>
      <c r="C29" s="1599">
        <f ca="1">C19+C9</f>
        <v>2335</v>
      </c>
      <c r="E29" s="1597"/>
      <c r="F29" s="1604" t="str">
        <f>"Total "&amp;F7</f>
        <v>Total Networth &amp; Liabilities</v>
      </c>
      <c r="G29" s="1599">
        <f ca="1">G16+G9</f>
        <v>2335</v>
      </c>
    </row>
    <row r="31" spans="1:8">
      <c r="G31" s="915" t="str">
        <f ca="1">IF(ABS(G29-C29)&gt;0.0001,G29-C29,"")</f>
        <v/>
      </c>
    </row>
  </sheetData>
  <sheetProtection sheet="1" objects="1" scenarios="1"/>
  <phoneticPr fontId="7" type="noConversion"/>
  <printOptions horizontalCentered="1"/>
  <pageMargins left="0.75" right="0.75" top="0.42" bottom="1" header="0" footer="0"/>
  <pageSetup paperSize="9" scale="98" orientation="landscape" horizont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2">
    <tabColor indexed="42"/>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3.75" style="230" customWidth="1"/>
    <col min="2" max="2" width="13.875" style="60" bestFit="1" customWidth="1"/>
    <col min="3" max="3" width="13" style="61" customWidth="1"/>
    <col min="4" max="9" width="10.125" style="61" customWidth="1"/>
    <col min="10" max="13" width="11.25" style="61" customWidth="1"/>
    <col min="14" max="14" width="10.75" style="61" customWidth="1"/>
    <col min="15" max="15" width="12.875" style="230" customWidth="1"/>
    <col min="16" max="16384" width="11" style="61"/>
  </cols>
  <sheetData>
    <row r="1" spans="1:15" ht="22.5">
      <c r="A1" s="66" t="s">
        <v>588</v>
      </c>
      <c r="D1" s="515"/>
      <c r="E1" s="231" t="str">
        <f>Parameters!B77</f>
        <v>Year 0:   2026</v>
      </c>
    </row>
    <row r="2" spans="1:15" ht="22.5">
      <c r="A2" s="66" t="str">
        <f>'Base Data'!B9</f>
        <v>WWW, Ltd.</v>
      </c>
    </row>
    <row r="3" spans="1:15" ht="14.25" customHeight="1" thickBot="1">
      <c r="A3" s="59"/>
    </row>
    <row r="4" spans="1:15" s="442" customFormat="1" ht="15.75" customHeight="1" thickBot="1">
      <c r="A4" s="441" t="s">
        <v>584</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554</v>
      </c>
    </row>
    <row r="5" spans="1:15" ht="15.75" customHeight="1">
      <c r="A5" s="1924" t="str">
        <f t="array" ref="A5:A12">productos</f>
        <v>product 1</v>
      </c>
      <c r="B5" s="554">
        <f t="array" aca="1" ref="B5:M12" ca="1">IF(COLUMN(B$4:M$4)&lt;=mes0,0,'Sales Forecasts'!B6:M13*Parameters!B$88:M$88)</f>
        <v>200</v>
      </c>
      <c r="C5" s="555">
        <f ca="1"/>
        <v>272.72727272727275</v>
      </c>
      <c r="D5" s="555">
        <f ca="1"/>
        <v>345.4545454545455</v>
      </c>
      <c r="E5" s="555">
        <f ca="1"/>
        <v>418.18181818181819</v>
      </c>
      <c r="F5" s="555">
        <f ca="1"/>
        <v>490.90909090909093</v>
      </c>
      <c r="G5" s="555">
        <f ca="1"/>
        <v>563.63636363636363</v>
      </c>
      <c r="H5" s="555">
        <f ca="1"/>
        <v>636.36363636363637</v>
      </c>
      <c r="I5" s="555">
        <f ca="1"/>
        <v>709.09090909090901</v>
      </c>
      <c r="J5" s="555">
        <f ca="1"/>
        <v>781.81818181818187</v>
      </c>
      <c r="K5" s="555">
        <f ca="1"/>
        <v>854.5454545454545</v>
      </c>
      <c r="L5" s="555">
        <f ca="1"/>
        <v>927.27272727272725</v>
      </c>
      <c r="M5" s="555">
        <f ca="1"/>
        <v>1000</v>
      </c>
      <c r="N5" s="418">
        <f t="shared" ref="N5:N12" ca="1" si="0">SUM(B5:M5)</f>
        <v>7199.9999999999991</v>
      </c>
      <c r="O5" s="61"/>
    </row>
    <row r="6" spans="1:15" ht="15.75" customHeight="1">
      <c r="A6" s="1925" t="str">
        <v/>
      </c>
      <c r="B6" s="556">
        <f ca="1"/>
        <v>0</v>
      </c>
      <c r="C6" s="80">
        <f ca="1"/>
        <v>0</v>
      </c>
      <c r="D6" s="80">
        <f ca="1"/>
        <v>0</v>
      </c>
      <c r="E6" s="80">
        <f ca="1"/>
        <v>0</v>
      </c>
      <c r="F6" s="80">
        <f ca="1"/>
        <v>0</v>
      </c>
      <c r="G6" s="80">
        <f ca="1"/>
        <v>0</v>
      </c>
      <c r="H6" s="80">
        <f ca="1"/>
        <v>0</v>
      </c>
      <c r="I6" s="80">
        <f ca="1"/>
        <v>0</v>
      </c>
      <c r="J6" s="80">
        <f ca="1"/>
        <v>0</v>
      </c>
      <c r="K6" s="80">
        <f ca="1"/>
        <v>0</v>
      </c>
      <c r="L6" s="80">
        <f ca="1"/>
        <v>0</v>
      </c>
      <c r="M6" s="80">
        <f ca="1"/>
        <v>0</v>
      </c>
      <c r="N6" s="419">
        <f t="shared" ca="1" si="0"/>
        <v>0</v>
      </c>
      <c r="O6" s="61"/>
    </row>
    <row r="7" spans="1:15" ht="15.75" customHeight="1">
      <c r="A7" s="1925" t="str">
        <v/>
      </c>
      <c r="B7" s="556">
        <f ca="1"/>
        <v>0</v>
      </c>
      <c r="C7" s="80">
        <f ca="1"/>
        <v>0</v>
      </c>
      <c r="D7" s="80">
        <f ca="1"/>
        <v>0</v>
      </c>
      <c r="E7" s="80">
        <f ca="1"/>
        <v>0</v>
      </c>
      <c r="F7" s="80">
        <f ca="1"/>
        <v>0</v>
      </c>
      <c r="G7" s="80">
        <f ca="1"/>
        <v>0</v>
      </c>
      <c r="H7" s="80">
        <f ca="1"/>
        <v>0</v>
      </c>
      <c r="I7" s="80">
        <f ca="1"/>
        <v>0</v>
      </c>
      <c r="J7" s="80">
        <f ca="1"/>
        <v>0</v>
      </c>
      <c r="K7" s="80">
        <f ca="1"/>
        <v>0</v>
      </c>
      <c r="L7" s="80">
        <f ca="1"/>
        <v>0</v>
      </c>
      <c r="M7" s="80">
        <f ca="1"/>
        <v>0</v>
      </c>
      <c r="N7" s="419">
        <f t="shared" ca="1" si="0"/>
        <v>0</v>
      </c>
      <c r="O7" s="61"/>
    </row>
    <row r="8" spans="1:15" ht="15.75" customHeight="1">
      <c r="A8" s="1925" t="str">
        <v/>
      </c>
      <c r="B8" s="556">
        <f ca="1"/>
        <v>0</v>
      </c>
      <c r="C8" s="80">
        <f ca="1"/>
        <v>0</v>
      </c>
      <c r="D8" s="80">
        <f ca="1"/>
        <v>0</v>
      </c>
      <c r="E8" s="80">
        <f ca="1"/>
        <v>0</v>
      </c>
      <c r="F8" s="80">
        <f ca="1"/>
        <v>0</v>
      </c>
      <c r="G8" s="80">
        <f ca="1"/>
        <v>0</v>
      </c>
      <c r="H8" s="80">
        <f ca="1"/>
        <v>0</v>
      </c>
      <c r="I8" s="80">
        <f ca="1"/>
        <v>0</v>
      </c>
      <c r="J8" s="80">
        <f ca="1"/>
        <v>0</v>
      </c>
      <c r="K8" s="80">
        <f ca="1"/>
        <v>0</v>
      </c>
      <c r="L8" s="80">
        <f ca="1"/>
        <v>0</v>
      </c>
      <c r="M8" s="80">
        <f ca="1"/>
        <v>0</v>
      </c>
      <c r="N8" s="419">
        <f t="shared" ca="1" si="0"/>
        <v>0</v>
      </c>
      <c r="O8" s="61"/>
    </row>
    <row r="9" spans="1:15" ht="15.75" customHeight="1">
      <c r="A9" s="1925" t="str">
        <v/>
      </c>
      <c r="B9" s="556">
        <f ca="1"/>
        <v>0</v>
      </c>
      <c r="C9" s="80">
        <f ca="1"/>
        <v>0</v>
      </c>
      <c r="D9" s="80">
        <f ca="1"/>
        <v>0</v>
      </c>
      <c r="E9" s="80">
        <f ca="1"/>
        <v>0</v>
      </c>
      <c r="F9" s="80">
        <f ca="1"/>
        <v>0</v>
      </c>
      <c r="G9" s="80">
        <f ca="1"/>
        <v>0</v>
      </c>
      <c r="H9" s="80">
        <f ca="1"/>
        <v>0</v>
      </c>
      <c r="I9" s="80">
        <f ca="1"/>
        <v>0</v>
      </c>
      <c r="J9" s="80">
        <f ca="1"/>
        <v>0</v>
      </c>
      <c r="K9" s="80">
        <f ca="1"/>
        <v>0</v>
      </c>
      <c r="L9" s="80">
        <f ca="1"/>
        <v>0</v>
      </c>
      <c r="M9" s="80">
        <f ca="1"/>
        <v>0</v>
      </c>
      <c r="N9" s="419">
        <f t="shared" ca="1" si="0"/>
        <v>0</v>
      </c>
      <c r="O9" s="61"/>
    </row>
    <row r="10" spans="1:15" ht="15.75" customHeight="1">
      <c r="A10" s="1925" t="str">
        <v/>
      </c>
      <c r="B10" s="556">
        <f ca="1"/>
        <v>0</v>
      </c>
      <c r="C10" s="80">
        <f ca="1"/>
        <v>0</v>
      </c>
      <c r="D10" s="80">
        <f ca="1"/>
        <v>0</v>
      </c>
      <c r="E10" s="80">
        <f ca="1"/>
        <v>0</v>
      </c>
      <c r="F10" s="80">
        <f ca="1"/>
        <v>0</v>
      </c>
      <c r="G10" s="80">
        <f ca="1"/>
        <v>0</v>
      </c>
      <c r="H10" s="80">
        <f ca="1"/>
        <v>0</v>
      </c>
      <c r="I10" s="80">
        <f ca="1"/>
        <v>0</v>
      </c>
      <c r="J10" s="80">
        <f ca="1"/>
        <v>0</v>
      </c>
      <c r="K10" s="80">
        <f ca="1"/>
        <v>0</v>
      </c>
      <c r="L10" s="80">
        <f ca="1"/>
        <v>0</v>
      </c>
      <c r="M10" s="80">
        <f ca="1"/>
        <v>0</v>
      </c>
      <c r="N10" s="419">
        <f t="shared" ca="1" si="0"/>
        <v>0</v>
      </c>
      <c r="O10" s="61"/>
    </row>
    <row r="11" spans="1:15" ht="15.75" customHeight="1">
      <c r="A11" s="1925" t="str">
        <v/>
      </c>
      <c r="B11" s="556">
        <f ca="1"/>
        <v>0</v>
      </c>
      <c r="C11" s="80">
        <f ca="1"/>
        <v>0</v>
      </c>
      <c r="D11" s="80">
        <f ca="1"/>
        <v>0</v>
      </c>
      <c r="E11" s="80">
        <f ca="1"/>
        <v>0</v>
      </c>
      <c r="F11" s="80">
        <f ca="1"/>
        <v>0</v>
      </c>
      <c r="G11" s="80">
        <f ca="1"/>
        <v>0</v>
      </c>
      <c r="H11" s="80">
        <f ca="1"/>
        <v>0</v>
      </c>
      <c r="I11" s="80">
        <f ca="1"/>
        <v>0</v>
      </c>
      <c r="J11" s="80">
        <f ca="1"/>
        <v>0</v>
      </c>
      <c r="K11" s="80">
        <f ca="1"/>
        <v>0</v>
      </c>
      <c r="L11" s="80">
        <f ca="1"/>
        <v>0</v>
      </c>
      <c r="M11" s="80">
        <f ca="1"/>
        <v>0</v>
      </c>
      <c r="N11" s="419">
        <f t="shared" ca="1" si="0"/>
        <v>0</v>
      </c>
      <c r="O11" s="61"/>
    </row>
    <row r="12" spans="1:15" ht="15.75" customHeight="1" thickBot="1">
      <c r="A12" s="1926" t="str">
        <v/>
      </c>
      <c r="B12" s="557">
        <f ca="1"/>
        <v>0</v>
      </c>
      <c r="C12" s="558">
        <f ca="1"/>
        <v>0</v>
      </c>
      <c r="D12" s="558">
        <f ca="1"/>
        <v>0</v>
      </c>
      <c r="E12" s="558">
        <f ca="1"/>
        <v>0</v>
      </c>
      <c r="F12" s="558">
        <f ca="1"/>
        <v>0</v>
      </c>
      <c r="G12" s="558">
        <f ca="1"/>
        <v>0</v>
      </c>
      <c r="H12" s="558">
        <f ca="1"/>
        <v>0</v>
      </c>
      <c r="I12" s="558">
        <f ca="1"/>
        <v>0</v>
      </c>
      <c r="J12" s="558">
        <f ca="1"/>
        <v>0</v>
      </c>
      <c r="K12" s="558">
        <f ca="1"/>
        <v>0</v>
      </c>
      <c r="L12" s="558">
        <f ca="1"/>
        <v>0</v>
      </c>
      <c r="M12" s="558">
        <f ca="1"/>
        <v>0</v>
      </c>
      <c r="N12" s="424">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554</v>
      </c>
    </row>
    <row r="17" spans="1:15" ht="15.75" customHeight="1">
      <c r="A17" s="1924" t="str">
        <f t="array" ref="A17:A24">productos</f>
        <v>product 1</v>
      </c>
      <c r="B17" s="554">
        <f ca="1">IF(B5="","",B5*'Prices - DC'!$B7)</f>
        <v>200</v>
      </c>
      <c r="C17" s="555">
        <f ca="1">IF(C5="","",C5*'Prices - DC'!$B7)</f>
        <v>272.72727272727275</v>
      </c>
      <c r="D17" s="555">
        <f ca="1">IF(D5="","",D5*'Prices - DC'!$B7)</f>
        <v>345.4545454545455</v>
      </c>
      <c r="E17" s="555">
        <f ca="1">IF(E5="","",E5*'Prices - DC'!$B7)</f>
        <v>418.18181818181819</v>
      </c>
      <c r="F17" s="555">
        <f ca="1">IF(F5="","",F5*'Prices - DC'!$B7)</f>
        <v>490.90909090909093</v>
      </c>
      <c r="G17" s="555">
        <f ca="1">IF(G5="","",G5*'Prices - DC'!$B7)</f>
        <v>563.63636363636363</v>
      </c>
      <c r="H17" s="555">
        <f ca="1">IF(H5="","",H5*'Prices - DC'!$B7)</f>
        <v>636.36363636363637</v>
      </c>
      <c r="I17" s="555">
        <f ca="1">IF(I5="","",I5*'Prices - DC'!$B7)</f>
        <v>709.09090909090901</v>
      </c>
      <c r="J17" s="555">
        <f ca="1">IF(J5="","",J5*'Prices - DC'!$B7)</f>
        <v>781.81818181818187</v>
      </c>
      <c r="K17" s="555">
        <f ca="1">IF(K5="","",K5*'Prices - DC'!$B7)</f>
        <v>854.5454545454545</v>
      </c>
      <c r="L17" s="555">
        <f ca="1">IF(L5="","",L5*'Prices - DC'!$B7)</f>
        <v>927.27272727272725</v>
      </c>
      <c r="M17" s="555">
        <f ca="1">IF(M5="","",M5*'Prices - DC'!$B7)</f>
        <v>1000</v>
      </c>
      <c r="N17" s="418">
        <f t="shared" ref="N17:N25" ca="1" si="1">SUM(B17:M17)</f>
        <v>7199.9999999999991</v>
      </c>
      <c r="O17" s="61"/>
    </row>
    <row r="18" spans="1:15" ht="15.75" customHeight="1">
      <c r="A18" s="1925" t="str">
        <v/>
      </c>
      <c r="B18" s="556">
        <f ca="1">IF(B6="","",B6*'Prices - DC'!$B8)</f>
        <v>0</v>
      </c>
      <c r="C18" s="80">
        <f ca="1">IF(C6="","",C6*'Prices - DC'!$B8)</f>
        <v>0</v>
      </c>
      <c r="D18" s="80">
        <f ca="1">IF(D6="","",D6*'Prices - DC'!$B8)</f>
        <v>0</v>
      </c>
      <c r="E18" s="80">
        <f ca="1">IF(E6="","",E6*'Prices - DC'!$B8)</f>
        <v>0</v>
      </c>
      <c r="F18" s="80">
        <f ca="1">IF(F6="","",F6*'Prices - DC'!$B8)</f>
        <v>0</v>
      </c>
      <c r="G18" s="80">
        <f ca="1">IF(G6="","",G6*'Prices - DC'!$B8)</f>
        <v>0</v>
      </c>
      <c r="H18" s="80">
        <f ca="1">IF(H6="","",H6*'Prices - DC'!$B8)</f>
        <v>0</v>
      </c>
      <c r="I18" s="80">
        <f ca="1">IF(I6="","",I6*'Prices - DC'!$B8)</f>
        <v>0</v>
      </c>
      <c r="J18" s="80">
        <f ca="1">IF(J6="","",J6*'Prices - DC'!$B8)</f>
        <v>0</v>
      </c>
      <c r="K18" s="80">
        <f ca="1">IF(K6="","",K6*'Prices - DC'!$B8)</f>
        <v>0</v>
      </c>
      <c r="L18" s="80">
        <f ca="1">IF(L6="","",L6*'Prices - DC'!$B8)</f>
        <v>0</v>
      </c>
      <c r="M18" s="80">
        <f ca="1">IF(M6="","",M6*'Prices - DC'!$B8)</f>
        <v>0</v>
      </c>
      <c r="N18" s="419">
        <f t="shared" ca="1" si="1"/>
        <v>0</v>
      </c>
      <c r="O18" s="61"/>
    </row>
    <row r="19" spans="1:15" ht="15.75" customHeight="1">
      <c r="A19" s="1925" t="str">
        <v/>
      </c>
      <c r="B19" s="556">
        <f ca="1">IF(B7="","",B7*'Prices - DC'!$B9)</f>
        <v>0</v>
      </c>
      <c r="C19" s="80">
        <f ca="1">IF(C7="","",C7*'Prices - DC'!$B9)</f>
        <v>0</v>
      </c>
      <c r="D19" s="80">
        <f ca="1">IF(D7="","",D7*'Prices - DC'!$B9)</f>
        <v>0</v>
      </c>
      <c r="E19" s="80">
        <f ca="1">IF(E7="","",E7*'Prices - DC'!$B9)</f>
        <v>0</v>
      </c>
      <c r="F19" s="80">
        <f ca="1">IF(F7="","",F7*'Prices - DC'!$B9)</f>
        <v>0</v>
      </c>
      <c r="G19" s="80">
        <f ca="1">IF(G7="","",G7*'Prices - DC'!$B9)</f>
        <v>0</v>
      </c>
      <c r="H19" s="80">
        <f ca="1">IF(H7="","",H7*'Prices - DC'!$B9)</f>
        <v>0</v>
      </c>
      <c r="I19" s="80">
        <f ca="1">IF(I7="","",I7*'Prices - DC'!$B9)</f>
        <v>0</v>
      </c>
      <c r="J19" s="80">
        <f ca="1">IF(J7="","",J7*'Prices - DC'!$B9)</f>
        <v>0</v>
      </c>
      <c r="K19" s="80">
        <f ca="1">IF(K7="","",K7*'Prices - DC'!$B9)</f>
        <v>0</v>
      </c>
      <c r="L19" s="80">
        <f ca="1">IF(L7="","",L7*'Prices - DC'!$B9)</f>
        <v>0</v>
      </c>
      <c r="M19" s="80">
        <f ca="1">IF(M7="","",M7*'Prices - DC'!$B9)</f>
        <v>0</v>
      </c>
      <c r="N19" s="419">
        <f t="shared" ca="1" si="1"/>
        <v>0</v>
      </c>
      <c r="O19" s="61"/>
    </row>
    <row r="20" spans="1:15" ht="15.75" customHeight="1">
      <c r="A20" s="1925" t="str">
        <v/>
      </c>
      <c r="B20" s="556">
        <f ca="1">IF(B8="","",B8*'Prices - DC'!$B10)</f>
        <v>0</v>
      </c>
      <c r="C20" s="80">
        <f ca="1">IF(C8="","",C8*'Prices - DC'!$B10)</f>
        <v>0</v>
      </c>
      <c r="D20" s="80">
        <f ca="1">IF(D8="","",D8*'Prices - DC'!$B10)</f>
        <v>0</v>
      </c>
      <c r="E20" s="80">
        <f ca="1">IF(E8="","",E8*'Prices - DC'!$B10)</f>
        <v>0</v>
      </c>
      <c r="F20" s="80">
        <f ca="1">IF(F8="","",F8*'Prices - DC'!$B10)</f>
        <v>0</v>
      </c>
      <c r="G20" s="80">
        <f ca="1">IF(G8="","",G8*'Prices - DC'!$B10)</f>
        <v>0</v>
      </c>
      <c r="H20" s="80">
        <f ca="1">IF(H8="","",H8*'Prices - DC'!$B10)</f>
        <v>0</v>
      </c>
      <c r="I20" s="80">
        <f ca="1">IF(I8="","",I8*'Prices - DC'!$B10)</f>
        <v>0</v>
      </c>
      <c r="J20" s="80">
        <f ca="1">IF(J8="","",J8*'Prices - DC'!$B10)</f>
        <v>0</v>
      </c>
      <c r="K20" s="80">
        <f ca="1">IF(K8="","",K8*'Prices - DC'!$B10)</f>
        <v>0</v>
      </c>
      <c r="L20" s="80">
        <f ca="1">IF(L8="","",L8*'Prices - DC'!$B10)</f>
        <v>0</v>
      </c>
      <c r="M20" s="80">
        <f ca="1">IF(M8="","",M8*'Prices - DC'!$B10)</f>
        <v>0</v>
      </c>
      <c r="N20" s="419">
        <f t="shared" ca="1" si="1"/>
        <v>0</v>
      </c>
      <c r="O20" s="61"/>
    </row>
    <row r="21" spans="1:15" ht="15.75" customHeight="1">
      <c r="A21" s="1925" t="str">
        <v/>
      </c>
      <c r="B21" s="556">
        <f ca="1">IF(B9="","",B9*'Prices - DC'!$B11)</f>
        <v>0</v>
      </c>
      <c r="C21" s="80">
        <f ca="1">IF(C9="","",C9*'Prices - DC'!$B11)</f>
        <v>0</v>
      </c>
      <c r="D21" s="80">
        <f ca="1">IF(D9="","",D9*'Prices - DC'!$B11)</f>
        <v>0</v>
      </c>
      <c r="E21" s="80">
        <f ca="1">IF(E9="","",E9*'Prices - DC'!$B11)</f>
        <v>0</v>
      </c>
      <c r="F21" s="80">
        <f ca="1">IF(F9="","",F9*'Prices - DC'!$B11)</f>
        <v>0</v>
      </c>
      <c r="G21" s="80">
        <f ca="1">IF(G9="","",G9*'Prices - DC'!$B11)</f>
        <v>0</v>
      </c>
      <c r="H21" s="80">
        <f ca="1">IF(H9="","",H9*'Prices - DC'!$B11)</f>
        <v>0</v>
      </c>
      <c r="I21" s="80">
        <f ca="1">IF(I9="","",I9*'Prices - DC'!$B11)</f>
        <v>0</v>
      </c>
      <c r="J21" s="80">
        <f ca="1">IF(J9="","",J9*'Prices - DC'!$B11)</f>
        <v>0</v>
      </c>
      <c r="K21" s="80">
        <f ca="1">IF(K9="","",K9*'Prices - DC'!$B11)</f>
        <v>0</v>
      </c>
      <c r="L21" s="80">
        <f ca="1">IF(L9="","",L9*'Prices - DC'!$B11)</f>
        <v>0</v>
      </c>
      <c r="M21" s="80">
        <f ca="1">IF(M9="","",M9*'Prices - DC'!$B11)</f>
        <v>0</v>
      </c>
      <c r="N21" s="419">
        <f t="shared" ca="1" si="1"/>
        <v>0</v>
      </c>
      <c r="O21" s="61"/>
    </row>
    <row r="22" spans="1:15" ht="15.75" customHeight="1">
      <c r="A22" s="1925" t="str">
        <v/>
      </c>
      <c r="B22" s="556">
        <f ca="1">IF(B10="","",B10*'Prices - DC'!$B12)</f>
        <v>0</v>
      </c>
      <c r="C22" s="80">
        <f ca="1">IF(C10="","",C10*'Prices - DC'!$B12)</f>
        <v>0</v>
      </c>
      <c r="D22" s="80">
        <f ca="1">IF(D10="","",D10*'Prices - DC'!$B12)</f>
        <v>0</v>
      </c>
      <c r="E22" s="80">
        <f ca="1">IF(E10="","",E10*'Prices - DC'!$B12)</f>
        <v>0</v>
      </c>
      <c r="F22" s="80">
        <f ca="1">IF(F10="","",F10*'Prices - DC'!$B12)</f>
        <v>0</v>
      </c>
      <c r="G22" s="80">
        <f ca="1">IF(G10="","",G10*'Prices - DC'!$B12)</f>
        <v>0</v>
      </c>
      <c r="H22" s="80">
        <f ca="1">IF(H10="","",H10*'Prices - DC'!$B12)</f>
        <v>0</v>
      </c>
      <c r="I22" s="80">
        <f ca="1">IF(I10="","",I10*'Prices - DC'!$B12)</f>
        <v>0</v>
      </c>
      <c r="J22" s="80">
        <f ca="1">IF(J10="","",J10*'Prices - DC'!$B12)</f>
        <v>0</v>
      </c>
      <c r="K22" s="80">
        <f ca="1">IF(K10="","",K10*'Prices - DC'!$B12)</f>
        <v>0</v>
      </c>
      <c r="L22" s="80">
        <f ca="1">IF(L10="","",L10*'Prices - DC'!$B12)</f>
        <v>0</v>
      </c>
      <c r="M22" s="80">
        <f ca="1">IF(M10="","",M10*'Prices - DC'!$B12)</f>
        <v>0</v>
      </c>
      <c r="N22" s="419">
        <f t="shared" ca="1" si="1"/>
        <v>0</v>
      </c>
      <c r="O22" s="61"/>
    </row>
    <row r="23" spans="1:15" ht="15.75" customHeight="1">
      <c r="A23" s="1925" t="str">
        <v/>
      </c>
      <c r="B23" s="556">
        <f ca="1">IF(B11="","",B11*'Prices - DC'!$B13)</f>
        <v>0</v>
      </c>
      <c r="C23" s="80">
        <f ca="1">IF(C11="","",C11*'Prices - DC'!$B13)</f>
        <v>0</v>
      </c>
      <c r="D23" s="80">
        <f ca="1">IF(D11="","",D11*'Prices - DC'!$B13)</f>
        <v>0</v>
      </c>
      <c r="E23" s="80">
        <f ca="1">IF(E11="","",E11*'Prices - DC'!$B13)</f>
        <v>0</v>
      </c>
      <c r="F23" s="80">
        <f ca="1">IF(F11="","",F11*'Prices - DC'!$B13)</f>
        <v>0</v>
      </c>
      <c r="G23" s="80">
        <f ca="1">IF(G11="","",G11*'Prices - DC'!$B13)</f>
        <v>0</v>
      </c>
      <c r="H23" s="80">
        <f ca="1">IF(H11="","",H11*'Prices - DC'!$B13)</f>
        <v>0</v>
      </c>
      <c r="I23" s="80">
        <f ca="1">IF(I11="","",I11*'Prices - DC'!$B13)</f>
        <v>0</v>
      </c>
      <c r="J23" s="80">
        <f ca="1">IF(J11="","",J11*'Prices - DC'!$B13)</f>
        <v>0</v>
      </c>
      <c r="K23" s="80">
        <f ca="1">IF(K11="","",K11*'Prices - DC'!$B13)</f>
        <v>0</v>
      </c>
      <c r="L23" s="80">
        <f ca="1">IF(L11="","",L11*'Prices - DC'!$B13)</f>
        <v>0</v>
      </c>
      <c r="M23" s="80">
        <f ca="1">IF(M11="","",M11*'Prices - DC'!$B13)</f>
        <v>0</v>
      </c>
      <c r="N23" s="419">
        <f t="shared" ca="1" si="1"/>
        <v>0</v>
      </c>
      <c r="O23" s="61"/>
    </row>
    <row r="24" spans="1:15" ht="15.75" customHeight="1" thickBot="1">
      <c r="A24" s="1926" t="str">
        <v/>
      </c>
      <c r="B24" s="559">
        <f ca="1">IF(B12="","",B12*'Prices - DC'!$B14)</f>
        <v>0</v>
      </c>
      <c r="C24" s="560">
        <f ca="1">IF(C12="","",C12*'Prices - DC'!$B14)</f>
        <v>0</v>
      </c>
      <c r="D24" s="560">
        <f ca="1">IF(D12="","",D12*'Prices - DC'!$B14)</f>
        <v>0</v>
      </c>
      <c r="E24" s="560">
        <f ca="1">IF(E12="","",E12*'Prices - DC'!$B14)</f>
        <v>0</v>
      </c>
      <c r="F24" s="560">
        <f ca="1">IF(F12="","",F12*'Prices - DC'!$B14)</f>
        <v>0</v>
      </c>
      <c r="G24" s="560">
        <f ca="1">IF(G12="","",G12*'Prices - DC'!$B14)</f>
        <v>0</v>
      </c>
      <c r="H24" s="560">
        <f ca="1">IF(H12="","",H12*'Prices - DC'!$B14)</f>
        <v>0</v>
      </c>
      <c r="I24" s="560">
        <f ca="1">IF(I12="","",I12*'Prices - DC'!$B14)</f>
        <v>0</v>
      </c>
      <c r="J24" s="560">
        <f ca="1">IF(J12="","",J12*'Prices - DC'!$B14)</f>
        <v>0</v>
      </c>
      <c r="K24" s="560">
        <f ca="1">IF(K12="","",K12*'Prices - DC'!$B14)</f>
        <v>0</v>
      </c>
      <c r="L24" s="560">
        <f ca="1">IF(L12="","",L12*'Prices - DC'!$B14)</f>
        <v>0</v>
      </c>
      <c r="M24" s="560">
        <f ca="1">IF(M12="","",M12*'Prices - DC'!$B14)</f>
        <v>0</v>
      </c>
      <c r="N24" s="420">
        <f t="shared" ca="1" si="1"/>
        <v>0</v>
      </c>
      <c r="O24" s="61"/>
    </row>
    <row r="25" spans="1:15" ht="15.75" customHeight="1" thickBot="1">
      <c r="A25" s="102" t="s">
        <v>577</v>
      </c>
      <c r="B25" s="561">
        <f ca="1">SUM(B17:B24)</f>
        <v>200</v>
      </c>
      <c r="C25" s="140">
        <f t="shared" ref="C25:M25" ca="1" si="2">SUM(C17:C24)</f>
        <v>272.72727272727275</v>
      </c>
      <c r="D25" s="140">
        <f t="shared" ca="1" si="2"/>
        <v>345.4545454545455</v>
      </c>
      <c r="E25" s="140">
        <f t="shared" ca="1" si="2"/>
        <v>418.18181818181819</v>
      </c>
      <c r="F25" s="140">
        <f t="shared" ca="1" si="2"/>
        <v>490.90909090909093</v>
      </c>
      <c r="G25" s="140">
        <f t="shared" ca="1" si="2"/>
        <v>563.63636363636363</v>
      </c>
      <c r="H25" s="140">
        <f t="shared" ca="1" si="2"/>
        <v>636.36363636363637</v>
      </c>
      <c r="I25" s="140">
        <f t="shared" ca="1" si="2"/>
        <v>709.09090909090901</v>
      </c>
      <c r="J25" s="140">
        <f t="shared" ca="1" si="2"/>
        <v>781.81818181818187</v>
      </c>
      <c r="K25" s="140">
        <f t="shared" ca="1" si="2"/>
        <v>854.5454545454545</v>
      </c>
      <c r="L25" s="140">
        <f t="shared" ca="1" si="2"/>
        <v>927.27272727272725</v>
      </c>
      <c r="M25" s="562">
        <f t="shared" ca="1" si="2"/>
        <v>1000</v>
      </c>
      <c r="N25" s="421">
        <f t="shared" ca="1" si="1"/>
        <v>7199.9999999999991</v>
      </c>
      <c r="O25" s="61"/>
    </row>
    <row r="26" spans="1:15" ht="15">
      <c r="A26" s="211"/>
    </row>
    <row r="27" spans="1:15" ht="15">
      <c r="A27" s="211"/>
    </row>
    <row r="28" spans="1:15" ht="23.25" customHeight="1">
      <c r="A28" s="66" t="s">
        <v>585</v>
      </c>
      <c r="B28" s="61"/>
      <c r="D28" s="416" t="str">
        <f>$E$1</f>
        <v>Year 0:   2026</v>
      </c>
    </row>
    <row r="29" spans="1:15" ht="22.5">
      <c r="A29" s="66" t="str">
        <f>'Base Data'!B9</f>
        <v>WWW, Ltd.</v>
      </c>
    </row>
    <row r="30" spans="1:15" ht="14.25" customHeight="1" thickBot="1">
      <c r="A30" s="59"/>
    </row>
    <row r="31" spans="1:15" s="438" customFormat="1" ht="18.75" customHeight="1" thickBot="1">
      <c r="A31" s="443" t="s">
        <v>586</v>
      </c>
      <c r="B31" s="434"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
        <v>554</v>
      </c>
      <c r="O31" s="437"/>
    </row>
    <row r="32" spans="1:15" ht="18.75" customHeight="1">
      <c r="A32" s="1939" t="str">
        <f t="array" ref="A32:A39">productos</f>
        <v>product 1</v>
      </c>
      <c r="B32" s="1943"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3">
        <f t="shared" ref="N32:N40" ca="1" si="3">SUM(B32:M32)</f>
        <v>0</v>
      </c>
    </row>
    <row r="33" spans="1:20" ht="18.75" customHeight="1">
      <c r="A33" s="1940" t="str">
        <v/>
      </c>
      <c r="B33" s="1944"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4">
        <f t="shared" ca="1" si="3"/>
        <v>0</v>
      </c>
    </row>
    <row r="34" spans="1:20" ht="18.75" customHeight="1">
      <c r="A34" s="1940" t="str">
        <v/>
      </c>
      <c r="B34" s="1944"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4">
        <f t="shared" ca="1" si="3"/>
        <v>0</v>
      </c>
    </row>
    <row r="35" spans="1:20" ht="18.75" customHeight="1">
      <c r="A35" s="1940" t="str">
        <v/>
      </c>
      <c r="B35" s="1944"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4">
        <f t="shared" ca="1" si="3"/>
        <v>0</v>
      </c>
    </row>
    <row r="36" spans="1:20" ht="18.75" customHeight="1">
      <c r="A36" s="1940" t="str">
        <v/>
      </c>
      <c r="B36" s="1944"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4">
        <f t="shared" ca="1" si="3"/>
        <v>0</v>
      </c>
    </row>
    <row r="37" spans="1:20" ht="18.75" customHeight="1">
      <c r="A37" s="1940" t="str">
        <v/>
      </c>
      <c r="B37" s="1944"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4">
        <f t="shared" ca="1" si="3"/>
        <v>0</v>
      </c>
    </row>
    <row r="38" spans="1:20" ht="18.75" customHeight="1">
      <c r="A38" s="1940" t="str">
        <v/>
      </c>
      <c r="B38" s="1944"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4">
        <f t="shared" ca="1" si="3"/>
        <v>0</v>
      </c>
    </row>
    <row r="39" spans="1:20" ht="18.75" customHeight="1" thickBot="1">
      <c r="A39" s="1941" t="str">
        <v/>
      </c>
      <c r="B39" s="1945"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5">
        <f t="shared" ca="1" si="3"/>
        <v>0</v>
      </c>
    </row>
    <row r="40" spans="1:20" s="35" customFormat="1" ht="18.75" customHeight="1" thickBot="1">
      <c r="A40" s="1942" t="s">
        <v>587</v>
      </c>
      <c r="B40" s="1946">
        <f t="array" aca="1" ref="B40:M40" ca="1">B25:M25/$N$25</f>
        <v>2.777777777777778E-2</v>
      </c>
      <c r="C40" s="431">
        <f ca="1"/>
        <v>3.7878787878787887E-2</v>
      </c>
      <c r="D40" s="431">
        <f ca="1"/>
        <v>4.797979797979799E-2</v>
      </c>
      <c r="E40" s="431">
        <f ca="1"/>
        <v>5.8080808080808087E-2</v>
      </c>
      <c r="F40" s="431">
        <f ca="1"/>
        <v>6.8181818181818191E-2</v>
      </c>
      <c r="G40" s="431">
        <f ca="1"/>
        <v>7.8282828282828287E-2</v>
      </c>
      <c r="H40" s="431">
        <f ca="1"/>
        <v>8.8383838383838398E-2</v>
      </c>
      <c r="I40" s="431">
        <f ca="1"/>
        <v>9.8484848484848481E-2</v>
      </c>
      <c r="J40" s="431">
        <f ca="1"/>
        <v>0.10858585858585861</v>
      </c>
      <c r="K40" s="431">
        <f ca="1"/>
        <v>0.1186868686868687</v>
      </c>
      <c r="L40" s="431">
        <f ca="1"/>
        <v>0.12878787878787881</v>
      </c>
      <c r="M40" s="431">
        <f ca="1"/>
        <v>0.1388888888888889</v>
      </c>
      <c r="N40" s="432">
        <f t="shared" ca="1" si="3"/>
        <v>1</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7" type="noConversion"/>
  <conditionalFormatting sqref="B5:M12 B17:M24">
    <cfRule type="expression" dxfId="24" priority="2" stopIfTrue="1">
      <formula>COLUMN(B5)&lt;=mes0</formula>
    </cfRule>
  </conditionalFormatting>
  <conditionalFormatting sqref="B32:M39">
    <cfRule type="expression" dxfId="23" priority="1" stopIfTrue="1">
      <formula>B32=""</formula>
    </cfRule>
  </conditionalFormatting>
  <printOptions horizontalCentered="1" verticalCentered="1"/>
  <pageMargins left="0.38" right="0.19685039370078741" top="0.53" bottom="0.66" header="0.51181102362204722" footer="0.28999999999999998"/>
  <pageSetup paperSize="9" scale="79" fitToHeight="2" orientation="landscape" horizontalDpi="300" verticalDpi="300" r:id="rId1"/>
  <headerFooter alignWithMargins="0">
    <oddFooter>&amp;C&amp;"Tahoma,Normal"&amp;10&amp;A</oddFooter>
  </headerFooter>
  <rowBreaks count="1" manualBreakCount="1">
    <brk id="26"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3">
    <tabColor indexed="42"/>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5.125" style="60" bestFit="1" customWidth="1"/>
    <col min="3" max="3" width="13" style="61" customWidth="1"/>
    <col min="4" max="4" width="11.5" style="61" customWidth="1"/>
    <col min="5" max="9" width="10.125" style="61" customWidth="1"/>
    <col min="10" max="13" width="11.25" style="61" customWidth="1"/>
    <col min="14" max="14" width="10.75" style="61" customWidth="1"/>
    <col min="15" max="15" width="11.5" style="230" customWidth="1"/>
    <col min="16" max="16384" width="11" style="61"/>
  </cols>
  <sheetData>
    <row r="1" spans="1:15" ht="22.5">
      <c r="A1" s="66" t="s">
        <v>588</v>
      </c>
      <c r="D1" s="515"/>
      <c r="E1" s="231" t="str">
        <f>Parameters!C77</f>
        <v>Year 1:   2027</v>
      </c>
    </row>
    <row r="2" spans="1:15" ht="22.5">
      <c r="A2" s="66" t="str">
        <f>'Base Data'!B9</f>
        <v>WWW, Ltd.</v>
      </c>
    </row>
    <row r="3" spans="1:15" ht="14.25" customHeight="1" thickBot="1">
      <c r="A3" s="59"/>
    </row>
    <row r="4" spans="1:15" s="442" customFormat="1" ht="15.75" customHeight="1" thickBot="1">
      <c r="A4" s="441" t="s">
        <v>584</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554</v>
      </c>
    </row>
    <row r="5" spans="1:15" ht="15.75" customHeight="1">
      <c r="A5" s="1924" t="str">
        <f t="array" ref="A5:A12">productos</f>
        <v>product 1</v>
      </c>
      <c r="B5" s="569">
        <f t="array" aca="1" ref="B5:M12" ca="1">'Sales Forecasts'!B19:M26*Parameters!B$88:M$88</f>
        <v>1000</v>
      </c>
      <c r="C5" s="570">
        <f ca="1"/>
        <v>1000</v>
      </c>
      <c r="D5" s="570">
        <f ca="1"/>
        <v>1000</v>
      </c>
      <c r="E5" s="570">
        <f ca="1"/>
        <v>1000</v>
      </c>
      <c r="F5" s="570">
        <f ca="1"/>
        <v>1000</v>
      </c>
      <c r="G5" s="570">
        <f ca="1"/>
        <v>1000</v>
      </c>
      <c r="H5" s="570">
        <f ca="1"/>
        <v>1000</v>
      </c>
      <c r="I5" s="570">
        <f ca="1"/>
        <v>1000</v>
      </c>
      <c r="J5" s="570">
        <f ca="1"/>
        <v>1000</v>
      </c>
      <c r="K5" s="570">
        <f ca="1"/>
        <v>1000</v>
      </c>
      <c r="L5" s="570">
        <f ca="1"/>
        <v>1000</v>
      </c>
      <c r="M5" s="592">
        <f ca="1"/>
        <v>1000</v>
      </c>
      <c r="N5" s="571">
        <f t="shared" ref="N5:N12" ca="1" si="0">SUM(B5:M5)</f>
        <v>12000</v>
      </c>
      <c r="O5" s="61"/>
    </row>
    <row r="6" spans="1:15" ht="15.75" customHeight="1">
      <c r="A6" s="1925" t="str">
        <v/>
      </c>
      <c r="B6" s="572">
        <f ca="1"/>
        <v>0</v>
      </c>
      <c r="C6" s="573">
        <f ca="1"/>
        <v>0</v>
      </c>
      <c r="D6" s="573">
        <f ca="1"/>
        <v>0</v>
      </c>
      <c r="E6" s="573">
        <f ca="1"/>
        <v>0</v>
      </c>
      <c r="F6" s="573">
        <f ca="1"/>
        <v>0</v>
      </c>
      <c r="G6" s="573">
        <f ca="1"/>
        <v>0</v>
      </c>
      <c r="H6" s="573">
        <f ca="1"/>
        <v>0</v>
      </c>
      <c r="I6" s="573">
        <f ca="1"/>
        <v>0</v>
      </c>
      <c r="J6" s="573">
        <f ca="1"/>
        <v>0</v>
      </c>
      <c r="K6" s="573">
        <f ca="1"/>
        <v>0</v>
      </c>
      <c r="L6" s="573">
        <f ca="1"/>
        <v>0</v>
      </c>
      <c r="M6" s="593">
        <f ca="1"/>
        <v>0</v>
      </c>
      <c r="N6" s="574">
        <f t="shared" ca="1" si="0"/>
        <v>0</v>
      </c>
      <c r="O6" s="61"/>
    </row>
    <row r="7" spans="1:15" ht="15.75" customHeight="1">
      <c r="A7" s="1925" t="str">
        <v/>
      </c>
      <c r="B7" s="572">
        <f ca="1"/>
        <v>0</v>
      </c>
      <c r="C7" s="573">
        <f ca="1"/>
        <v>0</v>
      </c>
      <c r="D7" s="573">
        <f ca="1"/>
        <v>0</v>
      </c>
      <c r="E7" s="573">
        <f ca="1"/>
        <v>0</v>
      </c>
      <c r="F7" s="573">
        <f ca="1"/>
        <v>0</v>
      </c>
      <c r="G7" s="573">
        <f ca="1"/>
        <v>0</v>
      </c>
      <c r="H7" s="573">
        <f ca="1"/>
        <v>0</v>
      </c>
      <c r="I7" s="573">
        <f ca="1"/>
        <v>0</v>
      </c>
      <c r="J7" s="573">
        <f ca="1"/>
        <v>0</v>
      </c>
      <c r="K7" s="573">
        <f ca="1"/>
        <v>0</v>
      </c>
      <c r="L7" s="573">
        <f ca="1"/>
        <v>0</v>
      </c>
      <c r="M7" s="593">
        <f ca="1"/>
        <v>0</v>
      </c>
      <c r="N7" s="574">
        <f t="shared" ca="1" si="0"/>
        <v>0</v>
      </c>
      <c r="O7" s="61"/>
    </row>
    <row r="8" spans="1:15" ht="15.75" customHeight="1">
      <c r="A8" s="1925" t="str">
        <v/>
      </c>
      <c r="B8" s="572">
        <f ca="1"/>
        <v>0</v>
      </c>
      <c r="C8" s="573">
        <f ca="1"/>
        <v>0</v>
      </c>
      <c r="D8" s="573">
        <f ca="1"/>
        <v>0</v>
      </c>
      <c r="E8" s="573">
        <f ca="1"/>
        <v>0</v>
      </c>
      <c r="F8" s="573">
        <f ca="1"/>
        <v>0</v>
      </c>
      <c r="G8" s="573">
        <f ca="1"/>
        <v>0</v>
      </c>
      <c r="H8" s="573">
        <f ca="1"/>
        <v>0</v>
      </c>
      <c r="I8" s="573">
        <f ca="1"/>
        <v>0</v>
      </c>
      <c r="J8" s="573">
        <f ca="1"/>
        <v>0</v>
      </c>
      <c r="K8" s="573">
        <f ca="1"/>
        <v>0</v>
      </c>
      <c r="L8" s="573">
        <f ca="1"/>
        <v>0</v>
      </c>
      <c r="M8" s="593">
        <f ca="1"/>
        <v>0</v>
      </c>
      <c r="N8" s="574">
        <f t="shared" ca="1" si="0"/>
        <v>0</v>
      </c>
      <c r="O8" s="61"/>
    </row>
    <row r="9" spans="1:15" ht="15.75" customHeight="1">
      <c r="A9" s="1925"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1925"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1925"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thickBot="1">
      <c r="A12" s="1926" t="str">
        <v/>
      </c>
      <c r="B12" s="575">
        <f ca="1"/>
        <v>0</v>
      </c>
      <c r="C12" s="576">
        <f ca="1"/>
        <v>0</v>
      </c>
      <c r="D12" s="576">
        <f ca="1"/>
        <v>0</v>
      </c>
      <c r="E12" s="576">
        <f ca="1"/>
        <v>0</v>
      </c>
      <c r="F12" s="576">
        <f ca="1"/>
        <v>0</v>
      </c>
      <c r="G12" s="576">
        <f ca="1"/>
        <v>0</v>
      </c>
      <c r="H12" s="576">
        <f ca="1"/>
        <v>0</v>
      </c>
      <c r="I12" s="576">
        <f ca="1"/>
        <v>0</v>
      </c>
      <c r="J12" s="576">
        <f ca="1"/>
        <v>0</v>
      </c>
      <c r="K12" s="576">
        <f ca="1"/>
        <v>0</v>
      </c>
      <c r="L12" s="576">
        <f ca="1"/>
        <v>0</v>
      </c>
      <c r="M12" s="594">
        <f ca="1"/>
        <v>0</v>
      </c>
      <c r="N12" s="577">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554</v>
      </c>
    </row>
    <row r="17" spans="1:15" ht="15.75" customHeight="1">
      <c r="A17" s="1924" t="str">
        <f t="array" ref="A17:A24">productos</f>
        <v>product 1</v>
      </c>
      <c r="B17" s="578">
        <f t="array" aca="1" ref="B17:M24" ca="1">B5:M12*'Prices - DC'!$D7:$D14</f>
        <v>1030</v>
      </c>
      <c r="C17" s="579">
        <f ca="1"/>
        <v>1030</v>
      </c>
      <c r="D17" s="579">
        <f ca="1"/>
        <v>1030</v>
      </c>
      <c r="E17" s="579">
        <f ca="1"/>
        <v>1030</v>
      </c>
      <c r="F17" s="579">
        <f ca="1"/>
        <v>1030</v>
      </c>
      <c r="G17" s="579">
        <f ca="1"/>
        <v>1030</v>
      </c>
      <c r="H17" s="579">
        <f ca="1"/>
        <v>1030</v>
      </c>
      <c r="I17" s="579">
        <f ca="1"/>
        <v>1030</v>
      </c>
      <c r="J17" s="579">
        <f ca="1"/>
        <v>1030</v>
      </c>
      <c r="K17" s="579">
        <f ca="1"/>
        <v>1030</v>
      </c>
      <c r="L17" s="579">
        <f ca="1"/>
        <v>1030</v>
      </c>
      <c r="M17" s="589">
        <f ca="1"/>
        <v>1030</v>
      </c>
      <c r="N17" s="571">
        <f t="shared" ref="N17:N25" ca="1" si="1">SUM(B17:M17)</f>
        <v>12360</v>
      </c>
      <c r="O17" s="61"/>
    </row>
    <row r="18" spans="1:15" ht="15.75" customHeight="1">
      <c r="A18" s="1925" t="str">
        <v/>
      </c>
      <c r="B18" s="580">
        <f ca="1"/>
        <v>0</v>
      </c>
      <c r="C18" s="581">
        <f ca="1"/>
        <v>0</v>
      </c>
      <c r="D18" s="581">
        <f ca="1"/>
        <v>0</v>
      </c>
      <c r="E18" s="581">
        <f ca="1"/>
        <v>0</v>
      </c>
      <c r="F18" s="581">
        <f ca="1"/>
        <v>0</v>
      </c>
      <c r="G18" s="581">
        <f ca="1"/>
        <v>0</v>
      </c>
      <c r="H18" s="581">
        <f ca="1"/>
        <v>0</v>
      </c>
      <c r="I18" s="581">
        <f ca="1"/>
        <v>0</v>
      </c>
      <c r="J18" s="581">
        <f ca="1"/>
        <v>0</v>
      </c>
      <c r="K18" s="581">
        <f ca="1"/>
        <v>0</v>
      </c>
      <c r="L18" s="581">
        <f ca="1"/>
        <v>0</v>
      </c>
      <c r="M18" s="590">
        <f ca="1"/>
        <v>0</v>
      </c>
      <c r="N18" s="574">
        <f t="shared" ca="1" si="1"/>
        <v>0</v>
      </c>
      <c r="O18" s="61"/>
    </row>
    <row r="19" spans="1:15" ht="15.75" customHeight="1">
      <c r="A19" s="1925" t="str">
        <v/>
      </c>
      <c r="B19" s="580">
        <f ca="1"/>
        <v>0</v>
      </c>
      <c r="C19" s="581">
        <f ca="1"/>
        <v>0</v>
      </c>
      <c r="D19" s="581">
        <f ca="1"/>
        <v>0</v>
      </c>
      <c r="E19" s="581">
        <f ca="1"/>
        <v>0</v>
      </c>
      <c r="F19" s="581">
        <f ca="1"/>
        <v>0</v>
      </c>
      <c r="G19" s="581">
        <f ca="1"/>
        <v>0</v>
      </c>
      <c r="H19" s="581">
        <f ca="1"/>
        <v>0</v>
      </c>
      <c r="I19" s="581">
        <f ca="1"/>
        <v>0</v>
      </c>
      <c r="J19" s="581">
        <f ca="1"/>
        <v>0</v>
      </c>
      <c r="K19" s="581">
        <f ca="1"/>
        <v>0</v>
      </c>
      <c r="L19" s="581">
        <f ca="1"/>
        <v>0</v>
      </c>
      <c r="M19" s="590">
        <f ca="1"/>
        <v>0</v>
      </c>
      <c r="N19" s="574">
        <f t="shared" ca="1" si="1"/>
        <v>0</v>
      </c>
      <c r="O19" s="61"/>
    </row>
    <row r="20" spans="1:15" ht="15.75" customHeight="1">
      <c r="A20" s="1925" t="str">
        <v/>
      </c>
      <c r="B20" s="580">
        <f ca="1"/>
        <v>0</v>
      </c>
      <c r="C20" s="581">
        <f ca="1"/>
        <v>0</v>
      </c>
      <c r="D20" s="581">
        <f ca="1"/>
        <v>0</v>
      </c>
      <c r="E20" s="581">
        <f ca="1"/>
        <v>0</v>
      </c>
      <c r="F20" s="581">
        <f ca="1"/>
        <v>0</v>
      </c>
      <c r="G20" s="581">
        <f ca="1"/>
        <v>0</v>
      </c>
      <c r="H20" s="581">
        <f ca="1"/>
        <v>0</v>
      </c>
      <c r="I20" s="581">
        <f ca="1"/>
        <v>0</v>
      </c>
      <c r="J20" s="581">
        <f ca="1"/>
        <v>0</v>
      </c>
      <c r="K20" s="581">
        <f ca="1"/>
        <v>0</v>
      </c>
      <c r="L20" s="581">
        <f ca="1"/>
        <v>0</v>
      </c>
      <c r="M20" s="590">
        <f ca="1"/>
        <v>0</v>
      </c>
      <c r="N20" s="574">
        <f t="shared" ca="1" si="1"/>
        <v>0</v>
      </c>
      <c r="O20" s="61"/>
    </row>
    <row r="21" spans="1:15" ht="15.75" customHeight="1">
      <c r="A21" s="1925"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1925"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1925"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thickBot="1">
      <c r="A24" s="1926" t="str">
        <v/>
      </c>
      <c r="B24" s="582">
        <f ca="1"/>
        <v>0</v>
      </c>
      <c r="C24" s="583">
        <f ca="1"/>
        <v>0</v>
      </c>
      <c r="D24" s="583">
        <f ca="1"/>
        <v>0</v>
      </c>
      <c r="E24" s="583">
        <f ca="1"/>
        <v>0</v>
      </c>
      <c r="F24" s="583">
        <f ca="1"/>
        <v>0</v>
      </c>
      <c r="G24" s="583">
        <f ca="1"/>
        <v>0</v>
      </c>
      <c r="H24" s="583">
        <f ca="1"/>
        <v>0</v>
      </c>
      <c r="I24" s="583">
        <f ca="1"/>
        <v>0</v>
      </c>
      <c r="J24" s="583">
        <f ca="1"/>
        <v>0</v>
      </c>
      <c r="K24" s="583">
        <f ca="1"/>
        <v>0</v>
      </c>
      <c r="L24" s="583">
        <f ca="1"/>
        <v>0</v>
      </c>
      <c r="M24" s="591">
        <f ca="1"/>
        <v>0</v>
      </c>
      <c r="N24" s="584">
        <f t="shared" ca="1" si="1"/>
        <v>0</v>
      </c>
      <c r="O24" s="61"/>
    </row>
    <row r="25" spans="1:15" ht="15.75" customHeight="1" thickBot="1">
      <c r="A25" s="102" t="s">
        <v>577</v>
      </c>
      <c r="B25" s="586">
        <f t="shared" ref="B25:M25" ca="1" si="2">B17+B18+B19+B20+B21+B22+B23+B24</f>
        <v>1030</v>
      </c>
      <c r="C25" s="587">
        <f t="shared" ca="1" si="2"/>
        <v>1030</v>
      </c>
      <c r="D25" s="587">
        <f t="shared" ca="1" si="2"/>
        <v>1030</v>
      </c>
      <c r="E25" s="587">
        <f t="shared" ca="1" si="2"/>
        <v>1030</v>
      </c>
      <c r="F25" s="587">
        <f t="shared" ca="1" si="2"/>
        <v>1030</v>
      </c>
      <c r="G25" s="587">
        <f t="shared" ca="1" si="2"/>
        <v>1030</v>
      </c>
      <c r="H25" s="587">
        <f t="shared" ca="1" si="2"/>
        <v>1030</v>
      </c>
      <c r="I25" s="587">
        <f t="shared" ca="1" si="2"/>
        <v>1030</v>
      </c>
      <c r="J25" s="587">
        <f t="shared" ca="1" si="2"/>
        <v>1030</v>
      </c>
      <c r="K25" s="587">
        <f t="shared" ca="1" si="2"/>
        <v>1030</v>
      </c>
      <c r="L25" s="587">
        <f t="shared" ca="1" si="2"/>
        <v>1030</v>
      </c>
      <c r="M25" s="588">
        <f t="shared" ca="1" si="2"/>
        <v>1030</v>
      </c>
      <c r="N25" s="585">
        <f t="shared" ca="1" si="1"/>
        <v>12360</v>
      </c>
      <c r="O25" s="61"/>
    </row>
    <row r="26" spans="1:15" ht="15">
      <c r="A26" s="211"/>
    </row>
    <row r="27" spans="1:15" ht="15">
      <c r="A27" s="211"/>
    </row>
    <row r="28" spans="1:15" ht="23.25" customHeight="1">
      <c r="A28" s="66" t="s">
        <v>585</v>
      </c>
      <c r="B28" s="61"/>
      <c r="D28" s="416" t="str">
        <f>$E$1</f>
        <v>Year 1:   2027</v>
      </c>
    </row>
    <row r="29" spans="1:15" ht="22.5">
      <c r="A29" s="66" t="str">
        <f>'Base Data'!B9</f>
        <v>WWW, Ltd.</v>
      </c>
    </row>
    <row r="30" spans="1:15" ht="14.25" customHeight="1" thickBot="1">
      <c r="A30" s="59"/>
    </row>
    <row r="31" spans="1:15" s="438" customFormat="1" ht="18.75" customHeight="1" thickBot="1">
      <c r="A31" s="443" t="s">
        <v>586</v>
      </c>
      <c r="B31" s="434"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
        <v>554</v>
      </c>
      <c r="O31" s="437"/>
    </row>
    <row r="32" spans="1:15" ht="18.75" customHeight="1">
      <c r="A32" s="1939" t="str">
        <f t="array" ref="A32:A39">productos</f>
        <v>product 1</v>
      </c>
      <c r="B32" s="1943"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6">
        <f t="shared" ref="N32:N40" ca="1" si="3">SUM(B32:M32)</f>
        <v>0</v>
      </c>
    </row>
    <row r="33" spans="1:20" ht="18.75" customHeight="1">
      <c r="A33" s="1940" t="str">
        <v/>
      </c>
      <c r="B33" s="1944"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7">
        <f t="shared" ca="1" si="3"/>
        <v>0</v>
      </c>
    </row>
    <row r="34" spans="1:20" ht="18.75" customHeight="1">
      <c r="A34" s="1940" t="str">
        <v/>
      </c>
      <c r="B34" s="1944"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7">
        <f t="shared" ca="1" si="3"/>
        <v>0</v>
      </c>
    </row>
    <row r="35" spans="1:20" ht="18.75" customHeight="1">
      <c r="A35" s="1940" t="str">
        <v/>
      </c>
      <c r="B35" s="1944"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7">
        <f t="shared" ca="1" si="3"/>
        <v>0</v>
      </c>
    </row>
    <row r="36" spans="1:20" ht="18.75" customHeight="1">
      <c r="A36" s="1940" t="str">
        <v/>
      </c>
      <c r="B36" s="1944"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7">
        <f t="shared" ca="1" si="3"/>
        <v>0</v>
      </c>
    </row>
    <row r="37" spans="1:20" ht="18.75" customHeight="1">
      <c r="A37" s="1940" t="str">
        <v/>
      </c>
      <c r="B37" s="1944"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7">
        <f t="shared" ca="1" si="3"/>
        <v>0</v>
      </c>
    </row>
    <row r="38" spans="1:20" ht="18.75" customHeight="1">
      <c r="A38" s="1940" t="str">
        <v/>
      </c>
      <c r="B38" s="1944"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7">
        <f t="shared" ca="1" si="3"/>
        <v>0</v>
      </c>
    </row>
    <row r="39" spans="1:20" ht="18.75" customHeight="1" thickBot="1">
      <c r="A39" s="1941" t="str">
        <v/>
      </c>
      <c r="B39" s="1945"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8">
        <f t="shared" ca="1" si="3"/>
        <v>0</v>
      </c>
    </row>
    <row r="40" spans="1:20" s="35" customFormat="1" ht="18.75" customHeight="1" thickBot="1">
      <c r="A40" s="1942" t="s">
        <v>587</v>
      </c>
      <c r="B40" s="1946">
        <f t="array" aca="1" ref="B40:M40" ca="1">B25:M25/$N$25</f>
        <v>8.3333333333333329E-2</v>
      </c>
      <c r="C40" s="431">
        <f ca="1"/>
        <v>8.3333333333333329E-2</v>
      </c>
      <c r="D40" s="431">
        <f ca="1"/>
        <v>8.3333333333333329E-2</v>
      </c>
      <c r="E40" s="431">
        <f ca="1"/>
        <v>8.3333333333333329E-2</v>
      </c>
      <c r="F40" s="431">
        <f ca="1"/>
        <v>8.3333333333333329E-2</v>
      </c>
      <c r="G40" s="431">
        <f ca="1"/>
        <v>8.3333333333333329E-2</v>
      </c>
      <c r="H40" s="431">
        <f ca="1"/>
        <v>8.3333333333333329E-2</v>
      </c>
      <c r="I40" s="431">
        <f ca="1"/>
        <v>8.3333333333333329E-2</v>
      </c>
      <c r="J40" s="431">
        <f ca="1"/>
        <v>8.3333333333333329E-2</v>
      </c>
      <c r="K40" s="431">
        <f ca="1"/>
        <v>8.3333333333333329E-2</v>
      </c>
      <c r="L40" s="431">
        <f ca="1"/>
        <v>8.3333333333333329E-2</v>
      </c>
      <c r="M40" s="431">
        <f ca="1"/>
        <v>8.3333333333333329E-2</v>
      </c>
      <c r="N40" s="432">
        <f t="shared" ca="1" si="3"/>
        <v>1</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7" type="noConversion"/>
  <conditionalFormatting sqref="B32:M39">
    <cfRule type="expression" dxfId="22" priority="1" stopIfTrue="1">
      <formula>B32=""</formula>
    </cfRule>
  </conditionalFormatting>
  <printOptions horizontalCentered="1" verticalCentered="1"/>
  <pageMargins left="0.38" right="0.19685039370078741" top="0.53" bottom="0.71"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4">
    <tabColor indexed="42"/>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5" style="230" customWidth="1"/>
    <col min="2" max="2" width="15.125" style="60" bestFit="1" customWidth="1"/>
    <col min="3" max="3" width="13" style="61" customWidth="1"/>
    <col min="4" max="4" width="11.625" style="61" customWidth="1"/>
    <col min="5" max="9" width="10.125" style="61" customWidth="1"/>
    <col min="10" max="13" width="11.25" style="61" customWidth="1"/>
    <col min="14" max="14" width="10.75" style="61" customWidth="1"/>
    <col min="15" max="15" width="12.25" style="230" customWidth="1"/>
    <col min="16" max="16384" width="11" style="61"/>
  </cols>
  <sheetData>
    <row r="1" spans="1:15" ht="22.5">
      <c r="A1" s="66" t="s">
        <v>588</v>
      </c>
      <c r="D1" s="515"/>
      <c r="E1" s="231" t="str">
        <f>Parameters!D77</f>
        <v>Year 2:   2028</v>
      </c>
    </row>
    <row r="2" spans="1:15" ht="22.5">
      <c r="A2" s="66" t="str">
        <f>'Base Data'!B9</f>
        <v>WWW, Ltd.</v>
      </c>
    </row>
    <row r="3" spans="1:15" ht="14.25" customHeight="1" thickBot="1">
      <c r="A3" s="59"/>
    </row>
    <row r="4" spans="1:15" s="442" customFormat="1" ht="15.75" customHeight="1" thickBot="1">
      <c r="A4" s="441" t="s">
        <v>584</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554</v>
      </c>
    </row>
    <row r="5" spans="1:15" ht="15.75" customHeight="1">
      <c r="A5" s="1924" t="str">
        <f t="array" ref="A5:A12">productos</f>
        <v>product 1</v>
      </c>
      <c r="B5" s="569">
        <f t="array" aca="1" ref="B5:M12" ca="1">'Sales Forecasts'!B32:M39*Parameters!B$88:M$88</f>
        <v>1050</v>
      </c>
      <c r="C5" s="570">
        <f ca="1"/>
        <v>1050</v>
      </c>
      <c r="D5" s="570">
        <f ca="1"/>
        <v>1050</v>
      </c>
      <c r="E5" s="570">
        <f ca="1"/>
        <v>1050</v>
      </c>
      <c r="F5" s="570">
        <f ca="1"/>
        <v>1050</v>
      </c>
      <c r="G5" s="570">
        <f ca="1"/>
        <v>1050</v>
      </c>
      <c r="H5" s="570">
        <f ca="1"/>
        <v>1050</v>
      </c>
      <c r="I5" s="570">
        <f ca="1"/>
        <v>1050</v>
      </c>
      <c r="J5" s="570">
        <f ca="1"/>
        <v>1050</v>
      </c>
      <c r="K5" s="570">
        <f ca="1"/>
        <v>1050</v>
      </c>
      <c r="L5" s="570">
        <f ca="1"/>
        <v>1050</v>
      </c>
      <c r="M5" s="592">
        <f ca="1"/>
        <v>1050</v>
      </c>
      <c r="N5" s="571">
        <f t="shared" ref="N5:N12" ca="1" si="0">SUM(B5:M5)</f>
        <v>12600</v>
      </c>
      <c r="O5" s="61"/>
    </row>
    <row r="6" spans="1:15" ht="15.75" customHeight="1">
      <c r="A6" s="1925" t="str">
        <v/>
      </c>
      <c r="B6" s="572">
        <f ca="1"/>
        <v>0</v>
      </c>
      <c r="C6" s="573">
        <f ca="1"/>
        <v>0</v>
      </c>
      <c r="D6" s="573">
        <f ca="1"/>
        <v>0</v>
      </c>
      <c r="E6" s="573">
        <f ca="1"/>
        <v>0</v>
      </c>
      <c r="F6" s="573">
        <f ca="1"/>
        <v>0</v>
      </c>
      <c r="G6" s="573">
        <f ca="1"/>
        <v>0</v>
      </c>
      <c r="H6" s="573">
        <f ca="1"/>
        <v>0</v>
      </c>
      <c r="I6" s="573">
        <f ca="1"/>
        <v>0</v>
      </c>
      <c r="J6" s="573">
        <f ca="1"/>
        <v>0</v>
      </c>
      <c r="K6" s="573">
        <f ca="1"/>
        <v>0</v>
      </c>
      <c r="L6" s="573">
        <f ca="1"/>
        <v>0</v>
      </c>
      <c r="M6" s="593">
        <f ca="1"/>
        <v>0</v>
      </c>
      <c r="N6" s="574">
        <f t="shared" ca="1" si="0"/>
        <v>0</v>
      </c>
      <c r="O6" s="61"/>
    </row>
    <row r="7" spans="1:15" ht="15.75" customHeight="1">
      <c r="A7" s="1925" t="str">
        <v/>
      </c>
      <c r="B7" s="572">
        <f ca="1"/>
        <v>0</v>
      </c>
      <c r="C7" s="573">
        <f ca="1"/>
        <v>0</v>
      </c>
      <c r="D7" s="573">
        <f ca="1"/>
        <v>0</v>
      </c>
      <c r="E7" s="573">
        <f ca="1"/>
        <v>0</v>
      </c>
      <c r="F7" s="573">
        <f ca="1"/>
        <v>0</v>
      </c>
      <c r="G7" s="573">
        <f ca="1"/>
        <v>0</v>
      </c>
      <c r="H7" s="573">
        <f ca="1"/>
        <v>0</v>
      </c>
      <c r="I7" s="573">
        <f ca="1"/>
        <v>0</v>
      </c>
      <c r="J7" s="573">
        <f ca="1"/>
        <v>0</v>
      </c>
      <c r="K7" s="573">
        <f ca="1"/>
        <v>0</v>
      </c>
      <c r="L7" s="573">
        <f ca="1"/>
        <v>0</v>
      </c>
      <c r="M7" s="593">
        <f ca="1"/>
        <v>0</v>
      </c>
      <c r="N7" s="574">
        <f t="shared" ca="1" si="0"/>
        <v>0</v>
      </c>
      <c r="O7" s="61"/>
    </row>
    <row r="8" spans="1:15" ht="15.75" customHeight="1">
      <c r="A8" s="1925" t="str">
        <v/>
      </c>
      <c r="B8" s="572">
        <f ca="1"/>
        <v>0</v>
      </c>
      <c r="C8" s="573">
        <f ca="1"/>
        <v>0</v>
      </c>
      <c r="D8" s="573">
        <f ca="1"/>
        <v>0</v>
      </c>
      <c r="E8" s="573">
        <f ca="1"/>
        <v>0</v>
      </c>
      <c r="F8" s="573">
        <f ca="1"/>
        <v>0</v>
      </c>
      <c r="G8" s="573">
        <f ca="1"/>
        <v>0</v>
      </c>
      <c r="H8" s="573">
        <f ca="1"/>
        <v>0</v>
      </c>
      <c r="I8" s="573">
        <f ca="1"/>
        <v>0</v>
      </c>
      <c r="J8" s="573">
        <f ca="1"/>
        <v>0</v>
      </c>
      <c r="K8" s="573">
        <f ca="1"/>
        <v>0</v>
      </c>
      <c r="L8" s="573">
        <f ca="1"/>
        <v>0</v>
      </c>
      <c r="M8" s="593">
        <f ca="1"/>
        <v>0</v>
      </c>
      <c r="N8" s="574">
        <f t="shared" ca="1" si="0"/>
        <v>0</v>
      </c>
      <c r="O8" s="61"/>
    </row>
    <row r="9" spans="1:15" ht="15.75" customHeight="1">
      <c r="A9" s="1925"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1925"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1925"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thickBot="1">
      <c r="A12" s="1926" t="str">
        <v/>
      </c>
      <c r="B12" s="575">
        <f ca="1"/>
        <v>0</v>
      </c>
      <c r="C12" s="576">
        <f ca="1"/>
        <v>0</v>
      </c>
      <c r="D12" s="576">
        <f ca="1"/>
        <v>0</v>
      </c>
      <c r="E12" s="576">
        <f ca="1"/>
        <v>0</v>
      </c>
      <c r="F12" s="576">
        <f ca="1"/>
        <v>0</v>
      </c>
      <c r="G12" s="576">
        <f ca="1"/>
        <v>0</v>
      </c>
      <c r="H12" s="576">
        <f ca="1"/>
        <v>0</v>
      </c>
      <c r="I12" s="576">
        <f ca="1"/>
        <v>0</v>
      </c>
      <c r="J12" s="576">
        <f ca="1"/>
        <v>0</v>
      </c>
      <c r="K12" s="576">
        <f ca="1"/>
        <v>0</v>
      </c>
      <c r="L12" s="576">
        <f ca="1"/>
        <v>0</v>
      </c>
      <c r="M12" s="594">
        <f ca="1"/>
        <v>0</v>
      </c>
      <c r="N12" s="577">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554</v>
      </c>
    </row>
    <row r="17" spans="1:15" ht="15.75" customHeight="1">
      <c r="A17" s="1924" t="str">
        <f t="array" ref="A17:A24">productos</f>
        <v>product 1</v>
      </c>
      <c r="B17" s="578">
        <f t="array" aca="1" ref="B17:M24" ca="1">B5:M12*'Prices - DC'!$F7:$F14</f>
        <v>1113.9449999999999</v>
      </c>
      <c r="C17" s="579">
        <f ca="1"/>
        <v>1113.9449999999999</v>
      </c>
      <c r="D17" s="579">
        <f ca="1"/>
        <v>1113.9449999999999</v>
      </c>
      <c r="E17" s="579">
        <f ca="1"/>
        <v>1113.9449999999999</v>
      </c>
      <c r="F17" s="579">
        <f ca="1"/>
        <v>1113.9449999999999</v>
      </c>
      <c r="G17" s="579">
        <f ca="1"/>
        <v>1113.9449999999999</v>
      </c>
      <c r="H17" s="579">
        <f ca="1"/>
        <v>1113.9449999999999</v>
      </c>
      <c r="I17" s="579">
        <f ca="1"/>
        <v>1113.9449999999999</v>
      </c>
      <c r="J17" s="579">
        <f ca="1"/>
        <v>1113.9449999999999</v>
      </c>
      <c r="K17" s="579">
        <f ca="1"/>
        <v>1113.9449999999999</v>
      </c>
      <c r="L17" s="579">
        <f ca="1"/>
        <v>1113.9449999999999</v>
      </c>
      <c r="M17" s="589">
        <f ca="1"/>
        <v>1113.9449999999999</v>
      </c>
      <c r="N17" s="571">
        <f t="shared" ref="N17:N25" ca="1" si="1">SUM(B17:M17)</f>
        <v>13367.339999999998</v>
      </c>
      <c r="O17" s="61"/>
    </row>
    <row r="18" spans="1:15" ht="15.75" customHeight="1">
      <c r="A18" s="1925" t="str">
        <v/>
      </c>
      <c r="B18" s="580">
        <f ca="1"/>
        <v>0</v>
      </c>
      <c r="C18" s="581">
        <f ca="1"/>
        <v>0</v>
      </c>
      <c r="D18" s="581">
        <f ca="1"/>
        <v>0</v>
      </c>
      <c r="E18" s="581">
        <f ca="1"/>
        <v>0</v>
      </c>
      <c r="F18" s="581">
        <f ca="1"/>
        <v>0</v>
      </c>
      <c r="G18" s="581">
        <f ca="1"/>
        <v>0</v>
      </c>
      <c r="H18" s="581">
        <f ca="1"/>
        <v>0</v>
      </c>
      <c r="I18" s="581">
        <f ca="1"/>
        <v>0</v>
      </c>
      <c r="J18" s="581">
        <f ca="1"/>
        <v>0</v>
      </c>
      <c r="K18" s="581">
        <f ca="1"/>
        <v>0</v>
      </c>
      <c r="L18" s="581">
        <f ca="1"/>
        <v>0</v>
      </c>
      <c r="M18" s="590">
        <f ca="1"/>
        <v>0</v>
      </c>
      <c r="N18" s="574">
        <f t="shared" ca="1" si="1"/>
        <v>0</v>
      </c>
      <c r="O18" s="61"/>
    </row>
    <row r="19" spans="1:15" ht="15.75" customHeight="1">
      <c r="A19" s="1925" t="str">
        <v/>
      </c>
      <c r="B19" s="580">
        <f ca="1"/>
        <v>0</v>
      </c>
      <c r="C19" s="581">
        <f ca="1"/>
        <v>0</v>
      </c>
      <c r="D19" s="581">
        <f ca="1"/>
        <v>0</v>
      </c>
      <c r="E19" s="581">
        <f ca="1"/>
        <v>0</v>
      </c>
      <c r="F19" s="581">
        <f ca="1"/>
        <v>0</v>
      </c>
      <c r="G19" s="581">
        <f ca="1"/>
        <v>0</v>
      </c>
      <c r="H19" s="581">
        <f ca="1"/>
        <v>0</v>
      </c>
      <c r="I19" s="581">
        <f ca="1"/>
        <v>0</v>
      </c>
      <c r="J19" s="581">
        <f ca="1"/>
        <v>0</v>
      </c>
      <c r="K19" s="581">
        <f ca="1"/>
        <v>0</v>
      </c>
      <c r="L19" s="581">
        <f ca="1"/>
        <v>0</v>
      </c>
      <c r="M19" s="590">
        <f ca="1"/>
        <v>0</v>
      </c>
      <c r="N19" s="574">
        <f t="shared" ca="1" si="1"/>
        <v>0</v>
      </c>
      <c r="O19" s="61"/>
    </row>
    <row r="20" spans="1:15" ht="15.75" customHeight="1">
      <c r="A20" s="1925" t="str">
        <v/>
      </c>
      <c r="B20" s="580">
        <f ca="1"/>
        <v>0</v>
      </c>
      <c r="C20" s="581">
        <f ca="1"/>
        <v>0</v>
      </c>
      <c r="D20" s="581">
        <f ca="1"/>
        <v>0</v>
      </c>
      <c r="E20" s="581">
        <f ca="1"/>
        <v>0</v>
      </c>
      <c r="F20" s="581">
        <f ca="1"/>
        <v>0</v>
      </c>
      <c r="G20" s="581">
        <f ca="1"/>
        <v>0</v>
      </c>
      <c r="H20" s="581">
        <f ca="1"/>
        <v>0</v>
      </c>
      <c r="I20" s="581">
        <f ca="1"/>
        <v>0</v>
      </c>
      <c r="J20" s="581">
        <f ca="1"/>
        <v>0</v>
      </c>
      <c r="K20" s="581">
        <f ca="1"/>
        <v>0</v>
      </c>
      <c r="L20" s="581">
        <f ca="1"/>
        <v>0</v>
      </c>
      <c r="M20" s="590">
        <f ca="1"/>
        <v>0</v>
      </c>
      <c r="N20" s="574">
        <f t="shared" ca="1" si="1"/>
        <v>0</v>
      </c>
      <c r="O20" s="61"/>
    </row>
    <row r="21" spans="1:15" ht="15.75" customHeight="1">
      <c r="A21" s="1925"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1925"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1925"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thickBot="1">
      <c r="A24" s="1926" t="str">
        <v/>
      </c>
      <c r="B24" s="582">
        <f ca="1"/>
        <v>0</v>
      </c>
      <c r="C24" s="583">
        <f ca="1"/>
        <v>0</v>
      </c>
      <c r="D24" s="583">
        <f ca="1"/>
        <v>0</v>
      </c>
      <c r="E24" s="583">
        <f ca="1"/>
        <v>0</v>
      </c>
      <c r="F24" s="583">
        <f ca="1"/>
        <v>0</v>
      </c>
      <c r="G24" s="583">
        <f ca="1"/>
        <v>0</v>
      </c>
      <c r="H24" s="583">
        <f ca="1"/>
        <v>0</v>
      </c>
      <c r="I24" s="583">
        <f ca="1"/>
        <v>0</v>
      </c>
      <c r="J24" s="583">
        <f ca="1"/>
        <v>0</v>
      </c>
      <c r="K24" s="583">
        <f ca="1"/>
        <v>0</v>
      </c>
      <c r="L24" s="583">
        <f ca="1"/>
        <v>0</v>
      </c>
      <c r="M24" s="591">
        <f ca="1"/>
        <v>0</v>
      </c>
      <c r="N24" s="584">
        <f t="shared" ca="1" si="1"/>
        <v>0</v>
      </c>
      <c r="O24" s="61"/>
    </row>
    <row r="25" spans="1:15" ht="15.75" customHeight="1" thickBot="1">
      <c r="A25" s="423" t="s">
        <v>577</v>
      </c>
      <c r="B25" s="586">
        <f t="shared" ref="B25:M25" ca="1" si="2">B17+B18+B19+B20+B21+B22+B23+B24</f>
        <v>1113.9449999999999</v>
      </c>
      <c r="C25" s="587">
        <f t="shared" ca="1" si="2"/>
        <v>1113.9449999999999</v>
      </c>
      <c r="D25" s="587">
        <f t="shared" ca="1" si="2"/>
        <v>1113.9449999999999</v>
      </c>
      <c r="E25" s="587">
        <f t="shared" ca="1" si="2"/>
        <v>1113.9449999999999</v>
      </c>
      <c r="F25" s="587">
        <f t="shared" ca="1" si="2"/>
        <v>1113.9449999999999</v>
      </c>
      <c r="G25" s="587">
        <f t="shared" ca="1" si="2"/>
        <v>1113.9449999999999</v>
      </c>
      <c r="H25" s="587">
        <f t="shared" ca="1" si="2"/>
        <v>1113.9449999999999</v>
      </c>
      <c r="I25" s="587">
        <f t="shared" ca="1" si="2"/>
        <v>1113.9449999999999</v>
      </c>
      <c r="J25" s="587">
        <f t="shared" ca="1" si="2"/>
        <v>1113.9449999999999</v>
      </c>
      <c r="K25" s="587">
        <f t="shared" ca="1" si="2"/>
        <v>1113.9449999999999</v>
      </c>
      <c r="L25" s="587">
        <f t="shared" ca="1" si="2"/>
        <v>1113.9449999999999</v>
      </c>
      <c r="M25" s="588">
        <f t="shared" ca="1" si="2"/>
        <v>1113.9449999999999</v>
      </c>
      <c r="N25" s="585">
        <f t="shared" ca="1" si="1"/>
        <v>13367.339999999998</v>
      </c>
      <c r="O25" s="61"/>
    </row>
    <row r="26" spans="1:15" ht="15">
      <c r="A26" s="211"/>
    </row>
    <row r="27" spans="1:15" ht="15">
      <c r="A27" s="211"/>
    </row>
    <row r="28" spans="1:15" ht="23.25" customHeight="1">
      <c r="A28" s="66" t="s">
        <v>585</v>
      </c>
      <c r="B28" s="61"/>
      <c r="D28" s="416" t="str">
        <f>$E$1</f>
        <v>Year 2:   2028</v>
      </c>
    </row>
    <row r="29" spans="1:15" ht="22.5">
      <c r="A29" s="66" t="str">
        <f>'Base Data'!B9</f>
        <v>WWW, Ltd.</v>
      </c>
    </row>
    <row r="30" spans="1:15" ht="14.25" customHeight="1" thickBot="1">
      <c r="A30" s="59"/>
    </row>
    <row r="31" spans="1:15" s="438" customFormat="1" ht="18.75" customHeight="1" thickBot="1">
      <c r="A31" s="443" t="s">
        <v>586</v>
      </c>
      <c r="B31" s="433" t="str">
        <f t="array" ref="B31:M31">meses</f>
        <v>January</v>
      </c>
      <c r="C31" s="433" t="str">
        <v>February</v>
      </c>
      <c r="D31" s="433" t="str">
        <v>March</v>
      </c>
      <c r="E31" s="433" t="str">
        <v>April</v>
      </c>
      <c r="F31" s="433" t="str">
        <v>May</v>
      </c>
      <c r="G31" s="433" t="str">
        <v>June</v>
      </c>
      <c r="H31" s="433" t="str">
        <v>July</v>
      </c>
      <c r="I31" s="433" t="str">
        <v>August</v>
      </c>
      <c r="J31" s="433" t="str">
        <v>September</v>
      </c>
      <c r="K31" s="433" t="str">
        <v>October</v>
      </c>
      <c r="L31" s="433" t="str">
        <v>November</v>
      </c>
      <c r="M31" s="443" t="str">
        <v>December</v>
      </c>
      <c r="N31" s="433" t="s">
        <v>554</v>
      </c>
      <c r="O31" s="437"/>
    </row>
    <row r="32" spans="1:15" ht="18.75" customHeight="1">
      <c r="A32" s="1939" t="str">
        <f t="array" ref="A32:A39">productos</f>
        <v>product 1</v>
      </c>
      <c r="B32" s="1943"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6">
        <f t="shared" ref="N32:N40" ca="1" si="3">SUM(B32:M32)</f>
        <v>0</v>
      </c>
    </row>
    <row r="33" spans="1:20" ht="18.75" customHeight="1">
      <c r="A33" s="1940" t="str">
        <v/>
      </c>
      <c r="B33" s="1944"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7">
        <f t="shared" ca="1" si="3"/>
        <v>0</v>
      </c>
    </row>
    <row r="34" spans="1:20" ht="18.75" customHeight="1">
      <c r="A34" s="1940" t="str">
        <v/>
      </c>
      <c r="B34" s="1944"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7">
        <f t="shared" ca="1" si="3"/>
        <v>0</v>
      </c>
    </row>
    <row r="35" spans="1:20" ht="18.75" customHeight="1">
      <c r="A35" s="1940" t="str">
        <v/>
      </c>
      <c r="B35" s="1944"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7">
        <f t="shared" ca="1" si="3"/>
        <v>0</v>
      </c>
    </row>
    <row r="36" spans="1:20" ht="18.75" customHeight="1">
      <c r="A36" s="1940" t="str">
        <v/>
      </c>
      <c r="B36" s="1944"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7">
        <f t="shared" ca="1" si="3"/>
        <v>0</v>
      </c>
    </row>
    <row r="37" spans="1:20" ht="18.75" customHeight="1">
      <c r="A37" s="1940" t="str">
        <v/>
      </c>
      <c r="B37" s="1944"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7">
        <f t="shared" ca="1" si="3"/>
        <v>0</v>
      </c>
    </row>
    <row r="38" spans="1:20" ht="18.75" customHeight="1">
      <c r="A38" s="1940" t="str">
        <v/>
      </c>
      <c r="B38" s="1944"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7">
        <f t="shared" ca="1" si="3"/>
        <v>0</v>
      </c>
    </row>
    <row r="39" spans="1:20" ht="18.75" customHeight="1" thickBot="1">
      <c r="A39" s="1941" t="str">
        <v/>
      </c>
      <c r="B39" s="1945"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8">
        <f t="shared" ca="1" si="3"/>
        <v>0</v>
      </c>
    </row>
    <row r="40" spans="1:20" s="35" customFormat="1" ht="18.75" customHeight="1" thickBot="1">
      <c r="A40" s="1942" t="s">
        <v>587</v>
      </c>
      <c r="B40" s="1946">
        <f t="array" aca="1" ref="B40:M40" ca="1">B25:M25/$N$25</f>
        <v>8.3333333333333343E-2</v>
      </c>
      <c r="C40" s="431">
        <f ca="1"/>
        <v>8.3333333333333343E-2</v>
      </c>
      <c r="D40" s="431">
        <f ca="1"/>
        <v>8.3333333333333343E-2</v>
      </c>
      <c r="E40" s="431">
        <f ca="1"/>
        <v>8.3333333333333343E-2</v>
      </c>
      <c r="F40" s="431">
        <f ca="1"/>
        <v>8.3333333333333343E-2</v>
      </c>
      <c r="G40" s="431">
        <f ca="1"/>
        <v>8.3333333333333343E-2</v>
      </c>
      <c r="H40" s="431">
        <f ca="1"/>
        <v>8.3333333333333343E-2</v>
      </c>
      <c r="I40" s="431">
        <f ca="1"/>
        <v>8.3333333333333343E-2</v>
      </c>
      <c r="J40" s="431">
        <f ca="1"/>
        <v>8.3333333333333343E-2</v>
      </c>
      <c r="K40" s="431">
        <f ca="1"/>
        <v>8.3333333333333343E-2</v>
      </c>
      <c r="L40" s="431">
        <f ca="1"/>
        <v>8.3333333333333343E-2</v>
      </c>
      <c r="M40" s="431">
        <f ca="1"/>
        <v>8.3333333333333343E-2</v>
      </c>
      <c r="N40" s="432">
        <f t="shared" ca="1" si="3"/>
        <v>1.0000000000000002</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7" type="noConversion"/>
  <conditionalFormatting sqref="B32:M39">
    <cfRule type="expression" dxfId="21"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41">
    <tabColor indexed="61"/>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5" style="230" customWidth="1"/>
    <col min="2" max="2" width="15.125" style="60" bestFit="1" customWidth="1"/>
    <col min="3" max="3" width="13" style="61" customWidth="1"/>
    <col min="4" max="4" width="11.625" style="61" customWidth="1"/>
    <col min="5" max="9" width="10.125" style="61" customWidth="1"/>
    <col min="10" max="13" width="11.25" style="61" customWidth="1"/>
    <col min="14" max="14" width="10.75" style="61" customWidth="1"/>
    <col min="15" max="15" width="12.25" style="230" customWidth="1"/>
    <col min="16" max="16384" width="11" style="61"/>
  </cols>
  <sheetData>
    <row r="1" spans="1:15" ht="22.5">
      <c r="A1" s="66" t="s">
        <v>588</v>
      </c>
      <c r="D1" s="515"/>
      <c r="E1" s="231" t="str">
        <f>Parameters!E77</f>
        <v>Year 3:   2029</v>
      </c>
    </row>
    <row r="2" spans="1:15" ht="22.5">
      <c r="A2" s="66" t="str">
        <f>'Base Data'!B9</f>
        <v>WWW, Ltd.</v>
      </c>
    </row>
    <row r="3" spans="1:15" ht="14.25" customHeight="1" thickBot="1">
      <c r="A3" s="59"/>
    </row>
    <row r="4" spans="1:15" s="442" customFormat="1" ht="15.75" customHeight="1" thickBot="1">
      <c r="A4" s="441" t="s">
        <v>584</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554</v>
      </c>
    </row>
    <row r="5" spans="1:15" ht="15.75" customHeight="1">
      <c r="A5" s="1924" t="str">
        <f t="array" ref="A5:A12">productos</f>
        <v>product 1</v>
      </c>
      <c r="B5" s="569">
        <f t="array" aca="1" ref="B5:M12" ca="1">'Sales Forecasts'!B45:M52*Parameters!B$88:M$88</f>
        <v>1103</v>
      </c>
      <c r="C5" s="570">
        <f ca="1"/>
        <v>1103</v>
      </c>
      <c r="D5" s="570">
        <f ca="1"/>
        <v>1103</v>
      </c>
      <c r="E5" s="570">
        <f ca="1"/>
        <v>1103</v>
      </c>
      <c r="F5" s="570">
        <f ca="1"/>
        <v>1103</v>
      </c>
      <c r="G5" s="570">
        <f ca="1"/>
        <v>1103</v>
      </c>
      <c r="H5" s="570">
        <f ca="1"/>
        <v>1103</v>
      </c>
      <c r="I5" s="570">
        <f ca="1"/>
        <v>1103</v>
      </c>
      <c r="J5" s="570">
        <f ca="1"/>
        <v>1103</v>
      </c>
      <c r="K5" s="570">
        <f ca="1"/>
        <v>1103</v>
      </c>
      <c r="L5" s="570">
        <f ca="1"/>
        <v>1103</v>
      </c>
      <c r="M5" s="592">
        <f ca="1"/>
        <v>1103</v>
      </c>
      <c r="N5" s="571">
        <f t="shared" ref="N5:N12" ca="1" si="0">SUM(B5:M5)</f>
        <v>13236</v>
      </c>
      <c r="O5" s="61"/>
    </row>
    <row r="6" spans="1:15" ht="15.75" customHeight="1">
      <c r="A6" s="1925" t="str">
        <v/>
      </c>
      <c r="B6" s="572">
        <f ca="1"/>
        <v>0</v>
      </c>
      <c r="C6" s="573">
        <f ca="1"/>
        <v>0</v>
      </c>
      <c r="D6" s="573">
        <f ca="1"/>
        <v>0</v>
      </c>
      <c r="E6" s="573">
        <f ca="1"/>
        <v>0</v>
      </c>
      <c r="F6" s="573">
        <f ca="1"/>
        <v>0</v>
      </c>
      <c r="G6" s="573">
        <f ca="1"/>
        <v>0</v>
      </c>
      <c r="H6" s="573">
        <f ca="1"/>
        <v>0</v>
      </c>
      <c r="I6" s="573">
        <f ca="1"/>
        <v>0</v>
      </c>
      <c r="J6" s="573">
        <f ca="1"/>
        <v>0</v>
      </c>
      <c r="K6" s="573">
        <f ca="1"/>
        <v>0</v>
      </c>
      <c r="L6" s="573">
        <f ca="1"/>
        <v>0</v>
      </c>
      <c r="M6" s="593">
        <f ca="1"/>
        <v>0</v>
      </c>
      <c r="N6" s="574">
        <f t="shared" ca="1" si="0"/>
        <v>0</v>
      </c>
      <c r="O6" s="61"/>
    </row>
    <row r="7" spans="1:15" ht="15.75" customHeight="1">
      <c r="A7" s="1925" t="str">
        <v/>
      </c>
      <c r="B7" s="572">
        <f ca="1"/>
        <v>0</v>
      </c>
      <c r="C7" s="573">
        <f ca="1"/>
        <v>0</v>
      </c>
      <c r="D7" s="573">
        <f ca="1"/>
        <v>0</v>
      </c>
      <c r="E7" s="573">
        <f ca="1"/>
        <v>0</v>
      </c>
      <c r="F7" s="573">
        <f ca="1"/>
        <v>0</v>
      </c>
      <c r="G7" s="573">
        <f ca="1"/>
        <v>0</v>
      </c>
      <c r="H7" s="573">
        <f ca="1"/>
        <v>0</v>
      </c>
      <c r="I7" s="573">
        <f ca="1"/>
        <v>0</v>
      </c>
      <c r="J7" s="573">
        <f ca="1"/>
        <v>0</v>
      </c>
      <c r="K7" s="573">
        <f ca="1"/>
        <v>0</v>
      </c>
      <c r="L7" s="573">
        <f ca="1"/>
        <v>0</v>
      </c>
      <c r="M7" s="593">
        <f ca="1"/>
        <v>0</v>
      </c>
      <c r="N7" s="574">
        <f t="shared" ca="1" si="0"/>
        <v>0</v>
      </c>
      <c r="O7" s="61"/>
    </row>
    <row r="8" spans="1:15" ht="15.75" customHeight="1">
      <c r="A8" s="1925" t="str">
        <v/>
      </c>
      <c r="B8" s="572">
        <f ca="1"/>
        <v>0</v>
      </c>
      <c r="C8" s="573">
        <f ca="1"/>
        <v>0</v>
      </c>
      <c r="D8" s="573">
        <f ca="1"/>
        <v>0</v>
      </c>
      <c r="E8" s="573">
        <f ca="1"/>
        <v>0</v>
      </c>
      <c r="F8" s="573">
        <f ca="1"/>
        <v>0</v>
      </c>
      <c r="G8" s="573">
        <f ca="1"/>
        <v>0</v>
      </c>
      <c r="H8" s="573">
        <f ca="1"/>
        <v>0</v>
      </c>
      <c r="I8" s="573">
        <f ca="1"/>
        <v>0</v>
      </c>
      <c r="J8" s="573">
        <f ca="1"/>
        <v>0</v>
      </c>
      <c r="K8" s="573">
        <f ca="1"/>
        <v>0</v>
      </c>
      <c r="L8" s="573">
        <f ca="1"/>
        <v>0</v>
      </c>
      <c r="M8" s="593">
        <f ca="1"/>
        <v>0</v>
      </c>
      <c r="N8" s="574">
        <f t="shared" ca="1" si="0"/>
        <v>0</v>
      </c>
      <c r="O8" s="61"/>
    </row>
    <row r="9" spans="1:15" ht="15.75" customHeight="1">
      <c r="A9" s="1925"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1925"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1925"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thickBot="1">
      <c r="A12" s="1926" t="str">
        <v/>
      </c>
      <c r="B12" s="575">
        <f ca="1"/>
        <v>0</v>
      </c>
      <c r="C12" s="576">
        <f ca="1"/>
        <v>0</v>
      </c>
      <c r="D12" s="576">
        <f ca="1"/>
        <v>0</v>
      </c>
      <c r="E12" s="576">
        <f ca="1"/>
        <v>0</v>
      </c>
      <c r="F12" s="576">
        <f ca="1"/>
        <v>0</v>
      </c>
      <c r="G12" s="576">
        <f ca="1"/>
        <v>0</v>
      </c>
      <c r="H12" s="576">
        <f ca="1"/>
        <v>0</v>
      </c>
      <c r="I12" s="576">
        <f ca="1"/>
        <v>0</v>
      </c>
      <c r="J12" s="576">
        <f ca="1"/>
        <v>0</v>
      </c>
      <c r="K12" s="576">
        <f ca="1"/>
        <v>0</v>
      </c>
      <c r="L12" s="576">
        <f ca="1"/>
        <v>0</v>
      </c>
      <c r="M12" s="594">
        <f ca="1"/>
        <v>0</v>
      </c>
      <c r="N12" s="577">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554</v>
      </c>
    </row>
    <row r="17" spans="1:15" ht="15.75" customHeight="1">
      <c r="A17" s="1924" t="str">
        <f t="array" ref="A17:A24">productos</f>
        <v>product 1</v>
      </c>
      <c r="B17" s="578">
        <f t="array" aca="1" ref="B17:M24" ca="1">B5:M12*'Prices - DC'!$H7:$H14</f>
        <v>1205.277881</v>
      </c>
      <c r="C17" s="579">
        <f ca="1"/>
        <v>1205.277881</v>
      </c>
      <c r="D17" s="579">
        <f ca="1"/>
        <v>1205.277881</v>
      </c>
      <c r="E17" s="579">
        <f ca="1"/>
        <v>1205.277881</v>
      </c>
      <c r="F17" s="579">
        <f ca="1"/>
        <v>1205.277881</v>
      </c>
      <c r="G17" s="579">
        <f ca="1"/>
        <v>1205.277881</v>
      </c>
      <c r="H17" s="579">
        <f ca="1"/>
        <v>1205.277881</v>
      </c>
      <c r="I17" s="579">
        <f ca="1"/>
        <v>1205.277881</v>
      </c>
      <c r="J17" s="579">
        <f ca="1"/>
        <v>1205.277881</v>
      </c>
      <c r="K17" s="579">
        <f ca="1"/>
        <v>1205.277881</v>
      </c>
      <c r="L17" s="579">
        <f ca="1"/>
        <v>1205.277881</v>
      </c>
      <c r="M17" s="589">
        <f ca="1"/>
        <v>1205.277881</v>
      </c>
      <c r="N17" s="571">
        <f t="shared" ref="N17:N25" ca="1" si="1">SUM(B17:M17)</f>
        <v>14463.334572</v>
      </c>
      <c r="O17" s="61"/>
    </row>
    <row r="18" spans="1:15" ht="15.75" customHeight="1">
      <c r="A18" s="1925" t="str">
        <v/>
      </c>
      <c r="B18" s="580">
        <f ca="1"/>
        <v>0</v>
      </c>
      <c r="C18" s="581">
        <f ca="1"/>
        <v>0</v>
      </c>
      <c r="D18" s="581">
        <f ca="1"/>
        <v>0</v>
      </c>
      <c r="E18" s="581">
        <f ca="1"/>
        <v>0</v>
      </c>
      <c r="F18" s="581">
        <f ca="1"/>
        <v>0</v>
      </c>
      <c r="G18" s="581">
        <f ca="1"/>
        <v>0</v>
      </c>
      <c r="H18" s="581">
        <f ca="1"/>
        <v>0</v>
      </c>
      <c r="I18" s="581">
        <f ca="1"/>
        <v>0</v>
      </c>
      <c r="J18" s="581">
        <f ca="1"/>
        <v>0</v>
      </c>
      <c r="K18" s="581">
        <f ca="1"/>
        <v>0</v>
      </c>
      <c r="L18" s="581">
        <f ca="1"/>
        <v>0</v>
      </c>
      <c r="M18" s="590">
        <f ca="1"/>
        <v>0</v>
      </c>
      <c r="N18" s="574">
        <f t="shared" ca="1" si="1"/>
        <v>0</v>
      </c>
      <c r="O18" s="61"/>
    </row>
    <row r="19" spans="1:15" ht="15.75" customHeight="1">
      <c r="A19" s="1925" t="str">
        <v/>
      </c>
      <c r="B19" s="580">
        <f ca="1"/>
        <v>0</v>
      </c>
      <c r="C19" s="581">
        <f ca="1"/>
        <v>0</v>
      </c>
      <c r="D19" s="581">
        <f ca="1"/>
        <v>0</v>
      </c>
      <c r="E19" s="581">
        <f ca="1"/>
        <v>0</v>
      </c>
      <c r="F19" s="581">
        <f ca="1"/>
        <v>0</v>
      </c>
      <c r="G19" s="581">
        <f ca="1"/>
        <v>0</v>
      </c>
      <c r="H19" s="581">
        <f ca="1"/>
        <v>0</v>
      </c>
      <c r="I19" s="581">
        <f ca="1"/>
        <v>0</v>
      </c>
      <c r="J19" s="581">
        <f ca="1"/>
        <v>0</v>
      </c>
      <c r="K19" s="581">
        <f ca="1"/>
        <v>0</v>
      </c>
      <c r="L19" s="581">
        <f ca="1"/>
        <v>0</v>
      </c>
      <c r="M19" s="590">
        <f ca="1"/>
        <v>0</v>
      </c>
      <c r="N19" s="574">
        <f t="shared" ca="1" si="1"/>
        <v>0</v>
      </c>
      <c r="O19" s="61"/>
    </row>
    <row r="20" spans="1:15" ht="15.75" customHeight="1">
      <c r="A20" s="1925" t="str">
        <v/>
      </c>
      <c r="B20" s="580">
        <f ca="1"/>
        <v>0</v>
      </c>
      <c r="C20" s="581">
        <f ca="1"/>
        <v>0</v>
      </c>
      <c r="D20" s="581">
        <f ca="1"/>
        <v>0</v>
      </c>
      <c r="E20" s="581">
        <f ca="1"/>
        <v>0</v>
      </c>
      <c r="F20" s="581">
        <f ca="1"/>
        <v>0</v>
      </c>
      <c r="G20" s="581">
        <f ca="1"/>
        <v>0</v>
      </c>
      <c r="H20" s="581">
        <f ca="1"/>
        <v>0</v>
      </c>
      <c r="I20" s="581">
        <f ca="1"/>
        <v>0</v>
      </c>
      <c r="J20" s="581">
        <f ca="1"/>
        <v>0</v>
      </c>
      <c r="K20" s="581">
        <f ca="1"/>
        <v>0</v>
      </c>
      <c r="L20" s="581">
        <f ca="1"/>
        <v>0</v>
      </c>
      <c r="M20" s="590">
        <f ca="1"/>
        <v>0</v>
      </c>
      <c r="N20" s="574">
        <f t="shared" ca="1" si="1"/>
        <v>0</v>
      </c>
      <c r="O20" s="61"/>
    </row>
    <row r="21" spans="1:15" ht="15.75" customHeight="1">
      <c r="A21" s="1925"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1925"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1925"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thickBot="1">
      <c r="A24" s="1926" t="str">
        <v/>
      </c>
      <c r="B24" s="582">
        <f ca="1"/>
        <v>0</v>
      </c>
      <c r="C24" s="583">
        <f ca="1"/>
        <v>0</v>
      </c>
      <c r="D24" s="583">
        <f ca="1"/>
        <v>0</v>
      </c>
      <c r="E24" s="583">
        <f ca="1"/>
        <v>0</v>
      </c>
      <c r="F24" s="583">
        <f ca="1"/>
        <v>0</v>
      </c>
      <c r="G24" s="583">
        <f ca="1"/>
        <v>0</v>
      </c>
      <c r="H24" s="583">
        <f ca="1"/>
        <v>0</v>
      </c>
      <c r="I24" s="583">
        <f ca="1"/>
        <v>0</v>
      </c>
      <c r="J24" s="583">
        <f ca="1"/>
        <v>0</v>
      </c>
      <c r="K24" s="583">
        <f ca="1"/>
        <v>0</v>
      </c>
      <c r="L24" s="583">
        <f ca="1"/>
        <v>0</v>
      </c>
      <c r="M24" s="591">
        <f ca="1"/>
        <v>0</v>
      </c>
      <c r="N24" s="584">
        <f t="shared" ca="1" si="1"/>
        <v>0</v>
      </c>
      <c r="O24" s="61"/>
    </row>
    <row r="25" spans="1:15" ht="15.75" customHeight="1" thickBot="1">
      <c r="A25" s="423" t="s">
        <v>577</v>
      </c>
      <c r="B25" s="586">
        <f t="shared" ref="B25:M25" ca="1" si="2">B17+B18+B19+B20+B21+B22+B23+B24</f>
        <v>1205.277881</v>
      </c>
      <c r="C25" s="587">
        <f t="shared" ca="1" si="2"/>
        <v>1205.277881</v>
      </c>
      <c r="D25" s="587">
        <f t="shared" ca="1" si="2"/>
        <v>1205.277881</v>
      </c>
      <c r="E25" s="587">
        <f t="shared" ca="1" si="2"/>
        <v>1205.277881</v>
      </c>
      <c r="F25" s="587">
        <f t="shared" ca="1" si="2"/>
        <v>1205.277881</v>
      </c>
      <c r="G25" s="587">
        <f t="shared" ca="1" si="2"/>
        <v>1205.277881</v>
      </c>
      <c r="H25" s="587">
        <f t="shared" ca="1" si="2"/>
        <v>1205.277881</v>
      </c>
      <c r="I25" s="587">
        <f t="shared" ca="1" si="2"/>
        <v>1205.277881</v>
      </c>
      <c r="J25" s="587">
        <f t="shared" ca="1" si="2"/>
        <v>1205.277881</v>
      </c>
      <c r="K25" s="587">
        <f t="shared" ca="1" si="2"/>
        <v>1205.277881</v>
      </c>
      <c r="L25" s="587">
        <f t="shared" ca="1" si="2"/>
        <v>1205.277881</v>
      </c>
      <c r="M25" s="588">
        <f t="shared" ca="1" si="2"/>
        <v>1205.277881</v>
      </c>
      <c r="N25" s="585">
        <f t="shared" ca="1" si="1"/>
        <v>14463.334572</v>
      </c>
      <c r="O25" s="61"/>
    </row>
    <row r="26" spans="1:15" ht="15">
      <c r="A26" s="211"/>
    </row>
    <row r="27" spans="1:15" ht="15">
      <c r="A27" s="211"/>
    </row>
    <row r="28" spans="1:15" ht="23.25" customHeight="1">
      <c r="A28" s="66" t="s">
        <v>585</v>
      </c>
      <c r="B28" s="61"/>
      <c r="D28" s="416" t="str">
        <f>$E$1</f>
        <v>Year 3:   2029</v>
      </c>
    </row>
    <row r="29" spans="1:15" ht="22.5">
      <c r="A29" s="66" t="str">
        <f>'Base Data'!B9</f>
        <v>WWW, Ltd.</v>
      </c>
    </row>
    <row r="30" spans="1:15" ht="14.25" customHeight="1" thickBot="1">
      <c r="A30" s="59"/>
    </row>
    <row r="31" spans="1:15" s="438" customFormat="1" ht="18.75" customHeight="1" thickBot="1">
      <c r="A31" s="443" t="s">
        <v>586</v>
      </c>
      <c r="B31" s="433" t="str">
        <f t="array" ref="B31:M31">meses</f>
        <v>January</v>
      </c>
      <c r="C31" s="433" t="str">
        <v>February</v>
      </c>
      <c r="D31" s="433" t="str">
        <v>March</v>
      </c>
      <c r="E31" s="433" t="str">
        <v>April</v>
      </c>
      <c r="F31" s="433" t="str">
        <v>May</v>
      </c>
      <c r="G31" s="433" t="str">
        <v>June</v>
      </c>
      <c r="H31" s="433" t="str">
        <v>July</v>
      </c>
      <c r="I31" s="433" t="str">
        <v>August</v>
      </c>
      <c r="J31" s="433" t="str">
        <v>September</v>
      </c>
      <c r="K31" s="433" t="str">
        <v>October</v>
      </c>
      <c r="L31" s="433" t="str">
        <v>November</v>
      </c>
      <c r="M31" s="443" t="str">
        <v>December</v>
      </c>
      <c r="N31" s="433" t="s">
        <v>554</v>
      </c>
      <c r="O31" s="437"/>
    </row>
    <row r="32" spans="1:15" ht="18.75" customHeight="1">
      <c r="A32" s="1939" t="str">
        <f t="array" ref="A32:A39">productos</f>
        <v>product 1</v>
      </c>
      <c r="B32" s="1943"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6">
        <f t="shared" ref="N32:N40" ca="1" si="3">SUM(B32:M32)</f>
        <v>0</v>
      </c>
    </row>
    <row r="33" spans="1:20" ht="18.75" customHeight="1">
      <c r="A33" s="1940" t="str">
        <v/>
      </c>
      <c r="B33" s="1944"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7">
        <f t="shared" ca="1" si="3"/>
        <v>0</v>
      </c>
    </row>
    <row r="34" spans="1:20" ht="18.75" customHeight="1">
      <c r="A34" s="1940" t="str">
        <v/>
      </c>
      <c r="B34" s="1944"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7">
        <f t="shared" ca="1" si="3"/>
        <v>0</v>
      </c>
    </row>
    <row r="35" spans="1:20" ht="18.75" customHeight="1">
      <c r="A35" s="1940" t="str">
        <v/>
      </c>
      <c r="B35" s="1944"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7">
        <f t="shared" ca="1" si="3"/>
        <v>0</v>
      </c>
    </row>
    <row r="36" spans="1:20" ht="18.75" customHeight="1">
      <c r="A36" s="1940" t="str">
        <v/>
      </c>
      <c r="B36" s="1944"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7">
        <f t="shared" ca="1" si="3"/>
        <v>0</v>
      </c>
    </row>
    <row r="37" spans="1:20" ht="18.75" customHeight="1">
      <c r="A37" s="1940" t="str">
        <v/>
      </c>
      <c r="B37" s="1944"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7">
        <f t="shared" ca="1" si="3"/>
        <v>0</v>
      </c>
    </row>
    <row r="38" spans="1:20" ht="18.75" customHeight="1">
      <c r="A38" s="1940" t="str">
        <v/>
      </c>
      <c r="B38" s="1944"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7">
        <f t="shared" ca="1" si="3"/>
        <v>0</v>
      </c>
    </row>
    <row r="39" spans="1:20" ht="18.75" customHeight="1" thickBot="1">
      <c r="A39" s="1941" t="str">
        <v/>
      </c>
      <c r="B39" s="1945"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8">
        <f t="shared" ca="1" si="3"/>
        <v>0</v>
      </c>
    </row>
    <row r="40" spans="1:20" s="35" customFormat="1" ht="18.75" customHeight="1" thickBot="1">
      <c r="A40" s="1942" t="s">
        <v>587</v>
      </c>
      <c r="B40" s="1946">
        <f t="array" aca="1" ref="B40:M40" ca="1">B25:M25/$N$25</f>
        <v>8.3333333333333329E-2</v>
      </c>
      <c r="C40" s="431">
        <f ca="1"/>
        <v>8.3333333333333329E-2</v>
      </c>
      <c r="D40" s="431">
        <f ca="1"/>
        <v>8.3333333333333329E-2</v>
      </c>
      <c r="E40" s="431">
        <f ca="1"/>
        <v>8.3333333333333329E-2</v>
      </c>
      <c r="F40" s="431">
        <f ca="1"/>
        <v>8.3333333333333329E-2</v>
      </c>
      <c r="G40" s="431">
        <f ca="1"/>
        <v>8.3333333333333329E-2</v>
      </c>
      <c r="H40" s="431">
        <f ca="1"/>
        <v>8.3333333333333329E-2</v>
      </c>
      <c r="I40" s="431">
        <f ca="1"/>
        <v>8.3333333333333329E-2</v>
      </c>
      <c r="J40" s="431">
        <f ca="1"/>
        <v>8.3333333333333329E-2</v>
      </c>
      <c r="K40" s="431">
        <f ca="1"/>
        <v>8.3333333333333329E-2</v>
      </c>
      <c r="L40" s="431">
        <f ca="1"/>
        <v>8.3333333333333329E-2</v>
      </c>
      <c r="M40" s="431">
        <f ca="1"/>
        <v>8.3333333333333329E-2</v>
      </c>
      <c r="N40" s="432">
        <f t="shared" ca="1" si="3"/>
        <v>1</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7" type="noConversion"/>
  <conditionalFormatting sqref="B32:M39">
    <cfRule type="expression" dxfId="20"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42">
    <tabColor indexed="61"/>
  </sheetPr>
  <dimension ref="A1:T81"/>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4.5" style="230" customWidth="1"/>
    <col min="2" max="2" width="15.125" style="60" bestFit="1" customWidth="1"/>
    <col min="3" max="3" width="13" style="61" customWidth="1"/>
    <col min="4" max="4" width="12" style="61" customWidth="1"/>
    <col min="5" max="9" width="10.125" style="61" customWidth="1"/>
    <col min="10" max="13" width="11.25" style="61" customWidth="1"/>
    <col min="14" max="14" width="10.75" style="61" customWidth="1"/>
    <col min="15" max="15" width="12.25" style="230" customWidth="1"/>
    <col min="16" max="16384" width="11" style="61"/>
  </cols>
  <sheetData>
    <row r="1" spans="1:15" ht="22.5">
      <c r="A1" s="66" t="s">
        <v>588</v>
      </c>
      <c r="D1" s="515"/>
      <c r="E1" s="231" t="str">
        <f>Parameters!F77</f>
        <v>Year 4:   2030</v>
      </c>
    </row>
    <row r="2" spans="1:15" ht="22.5">
      <c r="A2" s="66" t="str">
        <f>'Base Data'!B9</f>
        <v>WWW, Ltd.</v>
      </c>
    </row>
    <row r="3" spans="1:15" ht="14.25" customHeight="1" thickBot="1">
      <c r="A3" s="59"/>
    </row>
    <row r="4" spans="1:15" s="442" customFormat="1" ht="15.75" customHeight="1" thickBot="1">
      <c r="A4" s="441" t="s">
        <v>584</v>
      </c>
      <c r="B4" s="439" t="str">
        <f t="array" ref="B4:M4">meses</f>
        <v>January</v>
      </c>
      <c r="C4" s="435" t="str">
        <v>February</v>
      </c>
      <c r="D4" s="435" t="str">
        <v>March</v>
      </c>
      <c r="E4" s="435" t="str">
        <v>April</v>
      </c>
      <c r="F4" s="435" t="str">
        <v>May</v>
      </c>
      <c r="G4" s="435" t="str">
        <v>June</v>
      </c>
      <c r="H4" s="435" t="str">
        <v>July</v>
      </c>
      <c r="I4" s="435" t="str">
        <v>August</v>
      </c>
      <c r="J4" s="435" t="str">
        <v>September</v>
      </c>
      <c r="K4" s="435" t="str">
        <v>October</v>
      </c>
      <c r="L4" s="435" t="str">
        <v>November</v>
      </c>
      <c r="M4" s="436" t="str">
        <v>December</v>
      </c>
      <c r="N4" s="433" t="s">
        <v>554</v>
      </c>
    </row>
    <row r="5" spans="1:15" ht="15.75" customHeight="1">
      <c r="A5" s="1924" t="str">
        <f t="array" ref="A5:A12">productos</f>
        <v>product 1</v>
      </c>
      <c r="B5" s="569">
        <f t="array" aca="1" ref="B5:M12" ca="1">'Sales Forecasts'!B58:M65*Parameters!B$88:M$88</f>
        <v>1158</v>
      </c>
      <c r="C5" s="570">
        <f ca="1"/>
        <v>1158</v>
      </c>
      <c r="D5" s="570">
        <f ca="1"/>
        <v>1158</v>
      </c>
      <c r="E5" s="570">
        <f ca="1"/>
        <v>1158</v>
      </c>
      <c r="F5" s="570">
        <f ca="1"/>
        <v>1158</v>
      </c>
      <c r="G5" s="570">
        <f ca="1"/>
        <v>1158</v>
      </c>
      <c r="H5" s="570">
        <f ca="1"/>
        <v>1158</v>
      </c>
      <c r="I5" s="570">
        <f ca="1"/>
        <v>1158</v>
      </c>
      <c r="J5" s="570">
        <f ca="1"/>
        <v>1158</v>
      </c>
      <c r="K5" s="570">
        <f ca="1"/>
        <v>1158</v>
      </c>
      <c r="L5" s="570">
        <f ca="1"/>
        <v>1158</v>
      </c>
      <c r="M5" s="592">
        <f ca="1"/>
        <v>1158</v>
      </c>
      <c r="N5" s="571">
        <f t="shared" ref="N5:N12" ca="1" si="0">SUM(B5:M5)</f>
        <v>13896</v>
      </c>
      <c r="O5" s="61"/>
    </row>
    <row r="6" spans="1:15" ht="15.75" customHeight="1">
      <c r="A6" s="1925" t="str">
        <v/>
      </c>
      <c r="B6" s="572">
        <f ca="1"/>
        <v>0</v>
      </c>
      <c r="C6" s="573">
        <f ca="1"/>
        <v>0</v>
      </c>
      <c r="D6" s="573">
        <f ca="1"/>
        <v>0</v>
      </c>
      <c r="E6" s="573">
        <f ca="1"/>
        <v>0</v>
      </c>
      <c r="F6" s="573">
        <f ca="1"/>
        <v>0</v>
      </c>
      <c r="G6" s="573">
        <f ca="1"/>
        <v>0</v>
      </c>
      <c r="H6" s="573">
        <f ca="1"/>
        <v>0</v>
      </c>
      <c r="I6" s="573">
        <f ca="1"/>
        <v>0</v>
      </c>
      <c r="J6" s="573">
        <f ca="1"/>
        <v>0</v>
      </c>
      <c r="K6" s="573">
        <f ca="1"/>
        <v>0</v>
      </c>
      <c r="L6" s="573">
        <f ca="1"/>
        <v>0</v>
      </c>
      <c r="M6" s="593">
        <f ca="1"/>
        <v>0</v>
      </c>
      <c r="N6" s="574">
        <f t="shared" ca="1" si="0"/>
        <v>0</v>
      </c>
      <c r="O6" s="61"/>
    </row>
    <row r="7" spans="1:15" ht="15.75" customHeight="1">
      <c r="A7" s="1925" t="str">
        <v/>
      </c>
      <c r="B7" s="572">
        <f ca="1"/>
        <v>0</v>
      </c>
      <c r="C7" s="573">
        <f ca="1"/>
        <v>0</v>
      </c>
      <c r="D7" s="573">
        <f ca="1"/>
        <v>0</v>
      </c>
      <c r="E7" s="573">
        <f ca="1"/>
        <v>0</v>
      </c>
      <c r="F7" s="573">
        <f ca="1"/>
        <v>0</v>
      </c>
      <c r="G7" s="573">
        <f ca="1"/>
        <v>0</v>
      </c>
      <c r="H7" s="573">
        <f ca="1"/>
        <v>0</v>
      </c>
      <c r="I7" s="573">
        <f ca="1"/>
        <v>0</v>
      </c>
      <c r="J7" s="573">
        <f ca="1"/>
        <v>0</v>
      </c>
      <c r="K7" s="573">
        <f ca="1"/>
        <v>0</v>
      </c>
      <c r="L7" s="573">
        <f ca="1"/>
        <v>0</v>
      </c>
      <c r="M7" s="593">
        <f ca="1"/>
        <v>0</v>
      </c>
      <c r="N7" s="574">
        <f t="shared" ca="1" si="0"/>
        <v>0</v>
      </c>
      <c r="O7" s="61"/>
    </row>
    <row r="8" spans="1:15" ht="15.75" customHeight="1">
      <c r="A8" s="1925" t="str">
        <v/>
      </c>
      <c r="B8" s="572">
        <f ca="1"/>
        <v>0</v>
      </c>
      <c r="C8" s="573">
        <f ca="1"/>
        <v>0</v>
      </c>
      <c r="D8" s="573">
        <f ca="1"/>
        <v>0</v>
      </c>
      <c r="E8" s="573">
        <f ca="1"/>
        <v>0</v>
      </c>
      <c r="F8" s="573">
        <f ca="1"/>
        <v>0</v>
      </c>
      <c r="G8" s="573">
        <f ca="1"/>
        <v>0</v>
      </c>
      <c r="H8" s="573">
        <f ca="1"/>
        <v>0</v>
      </c>
      <c r="I8" s="573">
        <f ca="1"/>
        <v>0</v>
      </c>
      <c r="J8" s="573">
        <f ca="1"/>
        <v>0</v>
      </c>
      <c r="K8" s="573">
        <f ca="1"/>
        <v>0</v>
      </c>
      <c r="L8" s="573">
        <f ca="1"/>
        <v>0</v>
      </c>
      <c r="M8" s="593">
        <f ca="1"/>
        <v>0</v>
      </c>
      <c r="N8" s="574">
        <f t="shared" ca="1" si="0"/>
        <v>0</v>
      </c>
      <c r="O8" s="61"/>
    </row>
    <row r="9" spans="1:15" ht="15.75" customHeight="1">
      <c r="A9" s="1925"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1925"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1925"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thickBot="1">
      <c r="A12" s="1926" t="str">
        <v/>
      </c>
      <c r="B12" s="575">
        <f ca="1"/>
        <v>0</v>
      </c>
      <c r="C12" s="576">
        <f ca="1"/>
        <v>0</v>
      </c>
      <c r="D12" s="576">
        <f ca="1"/>
        <v>0</v>
      </c>
      <c r="E12" s="576">
        <f ca="1"/>
        <v>0</v>
      </c>
      <c r="F12" s="576">
        <f ca="1"/>
        <v>0</v>
      </c>
      <c r="G12" s="576">
        <f ca="1"/>
        <v>0</v>
      </c>
      <c r="H12" s="576">
        <f ca="1"/>
        <v>0</v>
      </c>
      <c r="I12" s="576">
        <f ca="1"/>
        <v>0</v>
      </c>
      <c r="J12" s="576">
        <f ca="1"/>
        <v>0</v>
      </c>
      <c r="K12" s="576">
        <f ca="1"/>
        <v>0</v>
      </c>
      <c r="L12" s="576">
        <f ca="1"/>
        <v>0</v>
      </c>
      <c r="M12" s="594">
        <f ca="1"/>
        <v>0</v>
      </c>
      <c r="N12" s="577">
        <f t="shared" ca="1" si="0"/>
        <v>0</v>
      </c>
      <c r="O12" s="61"/>
    </row>
    <row r="13" spans="1:15" ht="15">
      <c r="A13" s="71"/>
    </row>
    <row r="14" spans="1:15" ht="15">
      <c r="A14" s="71"/>
    </row>
    <row r="15" spans="1:15" ht="15.75" thickBot="1">
      <c r="A15" s="211"/>
    </row>
    <row r="16" spans="1:15" s="440" customFormat="1" ht="15.75" customHeight="1" thickBot="1">
      <c r="A16" s="441" t="str">
        <f>CONCATENATE("Sales (",Moneda,")")</f>
        <v>Sales (Euros)</v>
      </c>
      <c r="B16" s="439" t="str">
        <f t="array" ref="B16:M16">meses</f>
        <v>January</v>
      </c>
      <c r="C16" s="435" t="str">
        <v>February</v>
      </c>
      <c r="D16" s="435" t="str">
        <v>March</v>
      </c>
      <c r="E16" s="435" t="str">
        <v>April</v>
      </c>
      <c r="F16" s="435" t="str">
        <v>May</v>
      </c>
      <c r="G16" s="435" t="str">
        <v>June</v>
      </c>
      <c r="H16" s="435" t="str">
        <v>July</v>
      </c>
      <c r="I16" s="435" t="str">
        <v>August</v>
      </c>
      <c r="J16" s="435" t="str">
        <v>September</v>
      </c>
      <c r="K16" s="435" t="str">
        <v>October</v>
      </c>
      <c r="L16" s="435" t="str">
        <v>November</v>
      </c>
      <c r="M16" s="436" t="str">
        <v>December</v>
      </c>
      <c r="N16" s="433" t="s">
        <v>554</v>
      </c>
    </row>
    <row r="17" spans="1:15" ht="15.75" customHeight="1">
      <c r="A17" s="1924" t="str">
        <f t="array" ref="A17:A24">productos</f>
        <v>product 1</v>
      </c>
      <c r="B17" s="578">
        <f t="array" aca="1" ref="B17:M24" ca="1">B5:M12*'Prices - DC'!$J7:$J14</f>
        <v>1303.3392019800001</v>
      </c>
      <c r="C17" s="579">
        <f ca="1"/>
        <v>1303.3392019800001</v>
      </c>
      <c r="D17" s="579">
        <f ca="1"/>
        <v>1303.3392019800001</v>
      </c>
      <c r="E17" s="579">
        <f ca="1"/>
        <v>1303.3392019800001</v>
      </c>
      <c r="F17" s="579">
        <f ca="1"/>
        <v>1303.3392019800001</v>
      </c>
      <c r="G17" s="579">
        <f ca="1"/>
        <v>1303.3392019800001</v>
      </c>
      <c r="H17" s="579">
        <f ca="1"/>
        <v>1303.3392019800001</v>
      </c>
      <c r="I17" s="579">
        <f ca="1"/>
        <v>1303.3392019800001</v>
      </c>
      <c r="J17" s="579">
        <f ca="1"/>
        <v>1303.3392019800001</v>
      </c>
      <c r="K17" s="579">
        <f ca="1"/>
        <v>1303.3392019800001</v>
      </c>
      <c r="L17" s="579">
        <f ca="1"/>
        <v>1303.3392019800001</v>
      </c>
      <c r="M17" s="589">
        <f ca="1"/>
        <v>1303.3392019800001</v>
      </c>
      <c r="N17" s="571">
        <f t="shared" ref="N17:N25" ca="1" si="1">SUM(B17:M17)</f>
        <v>15640.070423759998</v>
      </c>
      <c r="O17" s="61"/>
    </row>
    <row r="18" spans="1:15" ht="15.75" customHeight="1">
      <c r="A18" s="1925" t="str">
        <v/>
      </c>
      <c r="B18" s="580">
        <f ca="1"/>
        <v>0</v>
      </c>
      <c r="C18" s="581">
        <f ca="1"/>
        <v>0</v>
      </c>
      <c r="D18" s="581">
        <f ca="1"/>
        <v>0</v>
      </c>
      <c r="E18" s="581">
        <f ca="1"/>
        <v>0</v>
      </c>
      <c r="F18" s="581">
        <f ca="1"/>
        <v>0</v>
      </c>
      <c r="G18" s="581">
        <f ca="1"/>
        <v>0</v>
      </c>
      <c r="H18" s="581">
        <f ca="1"/>
        <v>0</v>
      </c>
      <c r="I18" s="581">
        <f ca="1"/>
        <v>0</v>
      </c>
      <c r="J18" s="581">
        <f ca="1"/>
        <v>0</v>
      </c>
      <c r="K18" s="581">
        <f ca="1"/>
        <v>0</v>
      </c>
      <c r="L18" s="581">
        <f ca="1"/>
        <v>0</v>
      </c>
      <c r="M18" s="590">
        <f ca="1"/>
        <v>0</v>
      </c>
      <c r="N18" s="574">
        <f t="shared" ca="1" si="1"/>
        <v>0</v>
      </c>
      <c r="O18" s="61"/>
    </row>
    <row r="19" spans="1:15" ht="15.75" customHeight="1">
      <c r="A19" s="1925" t="str">
        <v/>
      </c>
      <c r="B19" s="580">
        <f ca="1"/>
        <v>0</v>
      </c>
      <c r="C19" s="581">
        <f ca="1"/>
        <v>0</v>
      </c>
      <c r="D19" s="581">
        <f ca="1"/>
        <v>0</v>
      </c>
      <c r="E19" s="581">
        <f ca="1"/>
        <v>0</v>
      </c>
      <c r="F19" s="581">
        <f ca="1"/>
        <v>0</v>
      </c>
      <c r="G19" s="581">
        <f ca="1"/>
        <v>0</v>
      </c>
      <c r="H19" s="581">
        <f ca="1"/>
        <v>0</v>
      </c>
      <c r="I19" s="581">
        <f ca="1"/>
        <v>0</v>
      </c>
      <c r="J19" s="581">
        <f ca="1"/>
        <v>0</v>
      </c>
      <c r="K19" s="581">
        <f ca="1"/>
        <v>0</v>
      </c>
      <c r="L19" s="581">
        <f ca="1"/>
        <v>0</v>
      </c>
      <c r="M19" s="590">
        <f ca="1"/>
        <v>0</v>
      </c>
      <c r="N19" s="574">
        <f t="shared" ca="1" si="1"/>
        <v>0</v>
      </c>
      <c r="O19" s="61"/>
    </row>
    <row r="20" spans="1:15" ht="15.75" customHeight="1">
      <c r="A20" s="1925" t="str">
        <v/>
      </c>
      <c r="B20" s="580">
        <f ca="1"/>
        <v>0</v>
      </c>
      <c r="C20" s="581">
        <f ca="1"/>
        <v>0</v>
      </c>
      <c r="D20" s="581">
        <f ca="1"/>
        <v>0</v>
      </c>
      <c r="E20" s="581">
        <f ca="1"/>
        <v>0</v>
      </c>
      <c r="F20" s="581">
        <f ca="1"/>
        <v>0</v>
      </c>
      <c r="G20" s="581">
        <f ca="1"/>
        <v>0</v>
      </c>
      <c r="H20" s="581">
        <f ca="1"/>
        <v>0</v>
      </c>
      <c r="I20" s="581">
        <f ca="1"/>
        <v>0</v>
      </c>
      <c r="J20" s="581">
        <f ca="1"/>
        <v>0</v>
      </c>
      <c r="K20" s="581">
        <f ca="1"/>
        <v>0</v>
      </c>
      <c r="L20" s="581">
        <f ca="1"/>
        <v>0</v>
      </c>
      <c r="M20" s="590">
        <f ca="1"/>
        <v>0</v>
      </c>
      <c r="N20" s="574">
        <f t="shared" ca="1" si="1"/>
        <v>0</v>
      </c>
      <c r="O20" s="61"/>
    </row>
    <row r="21" spans="1:15" ht="15.75" customHeight="1">
      <c r="A21" s="1925"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1925"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1925"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thickBot="1">
      <c r="A24" s="1926" t="str">
        <v/>
      </c>
      <c r="B24" s="582">
        <f ca="1"/>
        <v>0</v>
      </c>
      <c r="C24" s="583">
        <f ca="1"/>
        <v>0</v>
      </c>
      <c r="D24" s="583">
        <f ca="1"/>
        <v>0</v>
      </c>
      <c r="E24" s="583">
        <f ca="1"/>
        <v>0</v>
      </c>
      <c r="F24" s="583">
        <f ca="1"/>
        <v>0</v>
      </c>
      <c r="G24" s="583">
        <f ca="1"/>
        <v>0</v>
      </c>
      <c r="H24" s="583">
        <f ca="1"/>
        <v>0</v>
      </c>
      <c r="I24" s="583">
        <f ca="1"/>
        <v>0</v>
      </c>
      <c r="J24" s="583">
        <f ca="1"/>
        <v>0</v>
      </c>
      <c r="K24" s="583">
        <f ca="1"/>
        <v>0</v>
      </c>
      <c r="L24" s="583">
        <f ca="1"/>
        <v>0</v>
      </c>
      <c r="M24" s="591">
        <f ca="1"/>
        <v>0</v>
      </c>
      <c r="N24" s="584">
        <f t="shared" ca="1" si="1"/>
        <v>0</v>
      </c>
      <c r="O24" s="61"/>
    </row>
    <row r="25" spans="1:15" ht="15.75" customHeight="1" thickBot="1">
      <c r="A25" s="423" t="s">
        <v>577</v>
      </c>
      <c r="B25" s="586">
        <f t="shared" ref="B25:M25" ca="1" si="2">B17+B18+B19+B20+B21+B22+B23+B24</f>
        <v>1303.3392019800001</v>
      </c>
      <c r="C25" s="587">
        <f t="shared" ca="1" si="2"/>
        <v>1303.3392019800001</v>
      </c>
      <c r="D25" s="587">
        <f t="shared" ca="1" si="2"/>
        <v>1303.3392019800001</v>
      </c>
      <c r="E25" s="587">
        <f t="shared" ca="1" si="2"/>
        <v>1303.3392019800001</v>
      </c>
      <c r="F25" s="587">
        <f t="shared" ca="1" si="2"/>
        <v>1303.3392019800001</v>
      </c>
      <c r="G25" s="587">
        <f t="shared" ca="1" si="2"/>
        <v>1303.3392019800001</v>
      </c>
      <c r="H25" s="587">
        <f t="shared" ca="1" si="2"/>
        <v>1303.3392019800001</v>
      </c>
      <c r="I25" s="587">
        <f t="shared" ca="1" si="2"/>
        <v>1303.3392019800001</v>
      </c>
      <c r="J25" s="587">
        <f t="shared" ca="1" si="2"/>
        <v>1303.3392019800001</v>
      </c>
      <c r="K25" s="587">
        <f t="shared" ca="1" si="2"/>
        <v>1303.3392019800001</v>
      </c>
      <c r="L25" s="587">
        <f t="shared" ca="1" si="2"/>
        <v>1303.3392019800001</v>
      </c>
      <c r="M25" s="588">
        <f t="shared" ca="1" si="2"/>
        <v>1303.3392019800001</v>
      </c>
      <c r="N25" s="585">
        <f t="shared" ca="1" si="1"/>
        <v>15640.070423759998</v>
      </c>
      <c r="O25" s="61"/>
    </row>
    <row r="26" spans="1:15" ht="15">
      <c r="A26" s="211"/>
    </row>
    <row r="27" spans="1:15" ht="15">
      <c r="A27" s="211"/>
    </row>
    <row r="28" spans="1:15" ht="23.25" customHeight="1">
      <c r="A28" s="66" t="s">
        <v>585</v>
      </c>
      <c r="B28" s="61"/>
      <c r="D28" s="416" t="str">
        <f>$E$1</f>
        <v>Year 4:   2030</v>
      </c>
    </row>
    <row r="29" spans="1:15" ht="22.5">
      <c r="A29" s="66" t="str">
        <f>'Base Data'!B9</f>
        <v>WWW, Ltd.</v>
      </c>
    </row>
    <row r="30" spans="1:15" ht="14.25" customHeight="1" thickBot="1">
      <c r="A30" s="59"/>
    </row>
    <row r="31" spans="1:15" s="438" customFormat="1" ht="18.75" customHeight="1" thickBot="1">
      <c r="A31" s="443" t="s">
        <v>586</v>
      </c>
      <c r="B31" s="433" t="str">
        <f t="array" ref="B31:M31">meses</f>
        <v>January</v>
      </c>
      <c r="C31" s="433" t="str">
        <v>February</v>
      </c>
      <c r="D31" s="433" t="str">
        <v>March</v>
      </c>
      <c r="E31" s="433" t="str">
        <v>April</v>
      </c>
      <c r="F31" s="433" t="str">
        <v>May</v>
      </c>
      <c r="G31" s="433" t="str">
        <v>June</v>
      </c>
      <c r="H31" s="433" t="str">
        <v>July</v>
      </c>
      <c r="I31" s="433" t="str">
        <v>August</v>
      </c>
      <c r="J31" s="433" t="str">
        <v>September</v>
      </c>
      <c r="K31" s="433" t="str">
        <v>October</v>
      </c>
      <c r="L31" s="433" t="str">
        <v>November</v>
      </c>
      <c r="M31" s="443" t="str">
        <v>December</v>
      </c>
      <c r="N31" s="433" t="s">
        <v>554</v>
      </c>
      <c r="O31" s="437"/>
    </row>
    <row r="32" spans="1:15" ht="18.75" customHeight="1">
      <c r="A32" s="1939" t="str">
        <f t="array" ref="A32:A39">productos</f>
        <v>product 1</v>
      </c>
      <c r="B32" s="1943" t="str">
        <f t="array" aca="1" ref="B32:M39" ca="1">IF(OR($N17:$N24=0,B17:M24=""),"",B17:M24/$N17:$N24)</f>
        <v/>
      </c>
      <c r="C32" s="425" t="str">
        <f ca="1"/>
        <v/>
      </c>
      <c r="D32" s="425" t="str">
        <f ca="1"/>
        <v/>
      </c>
      <c r="E32" s="425" t="str">
        <f ca="1"/>
        <v/>
      </c>
      <c r="F32" s="425" t="str">
        <f ca="1"/>
        <v/>
      </c>
      <c r="G32" s="425" t="str">
        <f ca="1"/>
        <v/>
      </c>
      <c r="H32" s="425" t="str">
        <f ca="1"/>
        <v/>
      </c>
      <c r="I32" s="425" t="str">
        <f ca="1"/>
        <v/>
      </c>
      <c r="J32" s="425" t="str">
        <f ca="1"/>
        <v/>
      </c>
      <c r="K32" s="425" t="str">
        <f ca="1"/>
        <v/>
      </c>
      <c r="L32" s="425" t="str">
        <f ca="1"/>
        <v/>
      </c>
      <c r="M32" s="426" t="str">
        <f ca="1"/>
        <v/>
      </c>
      <c r="N32" s="566">
        <f t="shared" ref="N32:N40" ca="1" si="3">SUM(B32:M32)</f>
        <v>0</v>
      </c>
    </row>
    <row r="33" spans="1:20" ht="18.75" customHeight="1">
      <c r="A33" s="1940" t="str">
        <v/>
      </c>
      <c r="B33" s="1944" t="str">
        <f ca="1"/>
        <v/>
      </c>
      <c r="C33" s="427" t="str">
        <f ca="1"/>
        <v/>
      </c>
      <c r="D33" s="427" t="str">
        <f ca="1"/>
        <v/>
      </c>
      <c r="E33" s="427" t="str">
        <f ca="1"/>
        <v/>
      </c>
      <c r="F33" s="427" t="str">
        <f ca="1"/>
        <v/>
      </c>
      <c r="G33" s="427" t="str">
        <f ca="1"/>
        <v/>
      </c>
      <c r="H33" s="427" t="str">
        <f ca="1"/>
        <v/>
      </c>
      <c r="I33" s="427" t="str">
        <f ca="1"/>
        <v/>
      </c>
      <c r="J33" s="427" t="str">
        <f ca="1"/>
        <v/>
      </c>
      <c r="K33" s="427" t="str">
        <f ca="1"/>
        <v/>
      </c>
      <c r="L33" s="427" t="str">
        <f ca="1"/>
        <v/>
      </c>
      <c r="M33" s="428" t="str">
        <f ca="1"/>
        <v/>
      </c>
      <c r="N33" s="567">
        <f t="shared" ca="1" si="3"/>
        <v>0</v>
      </c>
    </row>
    <row r="34" spans="1:20" ht="18.75" customHeight="1">
      <c r="A34" s="1940" t="str">
        <v/>
      </c>
      <c r="B34" s="1944" t="str">
        <f ca="1"/>
        <v/>
      </c>
      <c r="C34" s="427" t="str">
        <f ca="1"/>
        <v/>
      </c>
      <c r="D34" s="427" t="str">
        <f ca="1"/>
        <v/>
      </c>
      <c r="E34" s="427" t="str">
        <f ca="1"/>
        <v/>
      </c>
      <c r="F34" s="427" t="str">
        <f ca="1"/>
        <v/>
      </c>
      <c r="G34" s="427" t="str">
        <f ca="1"/>
        <v/>
      </c>
      <c r="H34" s="427" t="str">
        <f ca="1"/>
        <v/>
      </c>
      <c r="I34" s="427" t="str">
        <f ca="1"/>
        <v/>
      </c>
      <c r="J34" s="427" t="str">
        <f ca="1"/>
        <v/>
      </c>
      <c r="K34" s="427" t="str">
        <f ca="1"/>
        <v/>
      </c>
      <c r="L34" s="427" t="str">
        <f ca="1"/>
        <v/>
      </c>
      <c r="M34" s="428" t="str">
        <f ca="1"/>
        <v/>
      </c>
      <c r="N34" s="567">
        <f t="shared" ca="1" si="3"/>
        <v>0</v>
      </c>
    </row>
    <row r="35" spans="1:20" ht="18.75" customHeight="1">
      <c r="A35" s="1940" t="str">
        <v/>
      </c>
      <c r="B35" s="1944" t="str">
        <f ca="1"/>
        <v/>
      </c>
      <c r="C35" s="427" t="str">
        <f ca="1"/>
        <v/>
      </c>
      <c r="D35" s="427" t="str">
        <f ca="1"/>
        <v/>
      </c>
      <c r="E35" s="427" t="str">
        <f ca="1"/>
        <v/>
      </c>
      <c r="F35" s="427" t="str">
        <f ca="1"/>
        <v/>
      </c>
      <c r="G35" s="427" t="str">
        <f ca="1"/>
        <v/>
      </c>
      <c r="H35" s="427" t="str">
        <f ca="1"/>
        <v/>
      </c>
      <c r="I35" s="427" t="str">
        <f ca="1"/>
        <v/>
      </c>
      <c r="J35" s="427" t="str">
        <f ca="1"/>
        <v/>
      </c>
      <c r="K35" s="427" t="str">
        <f ca="1"/>
        <v/>
      </c>
      <c r="L35" s="427" t="str">
        <f ca="1"/>
        <v/>
      </c>
      <c r="M35" s="428" t="str">
        <f ca="1"/>
        <v/>
      </c>
      <c r="N35" s="567">
        <f t="shared" ca="1" si="3"/>
        <v>0</v>
      </c>
    </row>
    <row r="36" spans="1:20" ht="18.75" customHeight="1">
      <c r="A36" s="1940" t="str">
        <v/>
      </c>
      <c r="B36" s="1944" t="str">
        <f ca="1"/>
        <v/>
      </c>
      <c r="C36" s="427" t="str">
        <f ca="1"/>
        <v/>
      </c>
      <c r="D36" s="427" t="str">
        <f ca="1"/>
        <v/>
      </c>
      <c r="E36" s="427" t="str">
        <f ca="1"/>
        <v/>
      </c>
      <c r="F36" s="427" t="str">
        <f ca="1"/>
        <v/>
      </c>
      <c r="G36" s="427" t="str">
        <f ca="1"/>
        <v/>
      </c>
      <c r="H36" s="427" t="str">
        <f ca="1"/>
        <v/>
      </c>
      <c r="I36" s="427" t="str">
        <f ca="1"/>
        <v/>
      </c>
      <c r="J36" s="427" t="str">
        <f ca="1"/>
        <v/>
      </c>
      <c r="K36" s="427" t="str">
        <f ca="1"/>
        <v/>
      </c>
      <c r="L36" s="427" t="str">
        <f ca="1"/>
        <v/>
      </c>
      <c r="M36" s="428" t="str">
        <f ca="1"/>
        <v/>
      </c>
      <c r="N36" s="567">
        <f t="shared" ca="1" si="3"/>
        <v>0</v>
      </c>
    </row>
    <row r="37" spans="1:20" ht="18.75" customHeight="1">
      <c r="A37" s="1940" t="str">
        <v/>
      </c>
      <c r="B37" s="1944" t="str">
        <f ca="1"/>
        <v/>
      </c>
      <c r="C37" s="427" t="str">
        <f ca="1"/>
        <v/>
      </c>
      <c r="D37" s="427" t="str">
        <f ca="1"/>
        <v/>
      </c>
      <c r="E37" s="427" t="str">
        <f ca="1"/>
        <v/>
      </c>
      <c r="F37" s="427" t="str">
        <f ca="1"/>
        <v/>
      </c>
      <c r="G37" s="427" t="str">
        <f ca="1"/>
        <v/>
      </c>
      <c r="H37" s="427" t="str">
        <f ca="1"/>
        <v/>
      </c>
      <c r="I37" s="427" t="str">
        <f ca="1"/>
        <v/>
      </c>
      <c r="J37" s="427" t="str">
        <f ca="1"/>
        <v/>
      </c>
      <c r="K37" s="427" t="str">
        <f ca="1"/>
        <v/>
      </c>
      <c r="L37" s="427" t="str">
        <f ca="1"/>
        <v/>
      </c>
      <c r="M37" s="428" t="str">
        <f ca="1"/>
        <v/>
      </c>
      <c r="N37" s="567">
        <f t="shared" ca="1" si="3"/>
        <v>0</v>
      </c>
    </row>
    <row r="38" spans="1:20" ht="18.75" customHeight="1">
      <c r="A38" s="1940" t="str">
        <v/>
      </c>
      <c r="B38" s="1944" t="str">
        <f ca="1"/>
        <v/>
      </c>
      <c r="C38" s="427" t="str">
        <f ca="1"/>
        <v/>
      </c>
      <c r="D38" s="427" t="str">
        <f ca="1"/>
        <v/>
      </c>
      <c r="E38" s="427" t="str">
        <f ca="1"/>
        <v/>
      </c>
      <c r="F38" s="427" t="str">
        <f ca="1"/>
        <v/>
      </c>
      <c r="G38" s="427" t="str">
        <f ca="1"/>
        <v/>
      </c>
      <c r="H38" s="427" t="str">
        <f ca="1"/>
        <v/>
      </c>
      <c r="I38" s="427" t="str">
        <f ca="1"/>
        <v/>
      </c>
      <c r="J38" s="427" t="str">
        <f ca="1"/>
        <v/>
      </c>
      <c r="K38" s="427" t="str">
        <f ca="1"/>
        <v/>
      </c>
      <c r="L38" s="427" t="str">
        <f ca="1"/>
        <v/>
      </c>
      <c r="M38" s="428" t="str">
        <f ca="1"/>
        <v/>
      </c>
      <c r="N38" s="567">
        <f t="shared" ca="1" si="3"/>
        <v>0</v>
      </c>
    </row>
    <row r="39" spans="1:20" ht="18.75" customHeight="1" thickBot="1">
      <c r="A39" s="1941" t="str">
        <v/>
      </c>
      <c r="B39" s="1945" t="str">
        <f ca="1"/>
        <v/>
      </c>
      <c r="C39" s="429" t="str">
        <f ca="1"/>
        <v/>
      </c>
      <c r="D39" s="429" t="str">
        <f ca="1"/>
        <v/>
      </c>
      <c r="E39" s="429" t="str">
        <f ca="1"/>
        <v/>
      </c>
      <c r="F39" s="429" t="str">
        <f ca="1"/>
        <v/>
      </c>
      <c r="G39" s="429" t="str">
        <f ca="1"/>
        <v/>
      </c>
      <c r="H39" s="429" t="str">
        <f ca="1"/>
        <v/>
      </c>
      <c r="I39" s="429" t="str">
        <f ca="1"/>
        <v/>
      </c>
      <c r="J39" s="429" t="str">
        <f ca="1"/>
        <v/>
      </c>
      <c r="K39" s="429" t="str">
        <f ca="1"/>
        <v/>
      </c>
      <c r="L39" s="429" t="str">
        <f ca="1"/>
        <v/>
      </c>
      <c r="M39" s="430" t="str">
        <f ca="1"/>
        <v/>
      </c>
      <c r="N39" s="568">
        <f t="shared" ca="1" si="3"/>
        <v>0</v>
      </c>
    </row>
    <row r="40" spans="1:20" s="35" customFormat="1" ht="18.75" customHeight="1" thickBot="1">
      <c r="A40" s="1942" t="s">
        <v>587</v>
      </c>
      <c r="B40" s="1946">
        <f t="array" aca="1" ref="B40:M40" ca="1">B25:M25/$N$25</f>
        <v>8.3333333333333343E-2</v>
      </c>
      <c r="C40" s="431">
        <f ca="1"/>
        <v>8.3333333333333343E-2</v>
      </c>
      <c r="D40" s="431">
        <f ca="1"/>
        <v>8.3333333333333343E-2</v>
      </c>
      <c r="E40" s="431">
        <f ca="1"/>
        <v>8.3333333333333343E-2</v>
      </c>
      <c r="F40" s="431">
        <f ca="1"/>
        <v>8.3333333333333343E-2</v>
      </c>
      <c r="G40" s="431">
        <f ca="1"/>
        <v>8.3333333333333343E-2</v>
      </c>
      <c r="H40" s="431">
        <f ca="1"/>
        <v>8.3333333333333343E-2</v>
      </c>
      <c r="I40" s="431">
        <f ca="1"/>
        <v>8.3333333333333343E-2</v>
      </c>
      <c r="J40" s="431">
        <f ca="1"/>
        <v>8.3333333333333343E-2</v>
      </c>
      <c r="K40" s="431">
        <f ca="1"/>
        <v>8.3333333333333343E-2</v>
      </c>
      <c r="L40" s="431">
        <f ca="1"/>
        <v>8.3333333333333343E-2</v>
      </c>
      <c r="M40" s="431">
        <f ca="1"/>
        <v>8.3333333333333343E-2</v>
      </c>
      <c r="N40" s="432">
        <f t="shared" ca="1" si="3"/>
        <v>1.0000000000000002</v>
      </c>
      <c r="O40" s="230"/>
      <c r="P40" s="61"/>
      <c r="Q40" s="61"/>
      <c r="R40" s="61"/>
      <c r="S40" s="61"/>
      <c r="T40" s="61"/>
    </row>
    <row r="41" spans="1:20" s="35" customFormat="1" ht="18.75" customHeight="1"/>
    <row r="43" spans="1:20">
      <c r="B43" s="61"/>
    </row>
    <row r="44" spans="1:20">
      <c r="B44" s="61"/>
    </row>
    <row r="45" spans="1:20">
      <c r="B45" s="61"/>
    </row>
    <row r="46" spans="1:20">
      <c r="B46" s="61"/>
    </row>
    <row r="47" spans="1:20">
      <c r="B47" s="61"/>
    </row>
    <row r="48" spans="1:20">
      <c r="B48" s="61"/>
    </row>
    <row r="49" spans="2:2">
      <c r="B49" s="61"/>
    </row>
    <row r="50" spans="2:2">
      <c r="B50" s="61"/>
    </row>
    <row r="51" spans="2:2">
      <c r="B51" s="61"/>
    </row>
    <row r="52" spans="2:2">
      <c r="B52" s="61"/>
    </row>
    <row r="53" spans="2:2">
      <c r="B53" s="61"/>
    </row>
    <row r="54" spans="2:2">
      <c r="B54" s="61"/>
    </row>
    <row r="55" spans="2:2">
      <c r="B55" s="61"/>
    </row>
    <row r="56" spans="2:2">
      <c r="B56" s="61"/>
    </row>
    <row r="57" spans="2:2">
      <c r="B57" s="61"/>
    </row>
    <row r="58" spans="2:2">
      <c r="B58" s="61"/>
    </row>
    <row r="59" spans="2:2">
      <c r="B59" s="61"/>
    </row>
    <row r="60" spans="2:2">
      <c r="B60" s="61"/>
    </row>
    <row r="61" spans="2:2">
      <c r="B61" s="61"/>
    </row>
    <row r="62" spans="2:2">
      <c r="B62" s="61"/>
    </row>
    <row r="63" spans="2:2">
      <c r="B63" s="61"/>
    </row>
    <row r="64" spans="2:2">
      <c r="B64" s="61"/>
    </row>
    <row r="65" spans="2:2">
      <c r="B65" s="61"/>
    </row>
    <row r="66" spans="2:2">
      <c r="B66" s="61"/>
    </row>
    <row r="80" spans="2:2">
      <c r="B80" s="61"/>
    </row>
    <row r="81" spans="2:2">
      <c r="B81" s="61"/>
    </row>
  </sheetData>
  <sheetProtection sheet="1" objects="1" scenarios="1"/>
  <phoneticPr fontId="7" type="noConversion"/>
  <conditionalFormatting sqref="B32:M39">
    <cfRule type="expression" dxfId="19" priority="1" stopIfTrue="1">
      <formula>B32=""</formula>
    </cfRule>
  </conditionalFormatting>
  <printOptions horizontalCentered="1" verticalCentered="1"/>
  <pageMargins left="0.38" right="0.19685039370078741" top="0.53" bottom="0.7" header="0.51181102362204722" footer="0.39370078740157483"/>
  <pageSetup paperSize="9" scale="78" fitToHeight="2" orientation="landscape" horizontalDpi="300" verticalDpi="300" r:id="rId1"/>
  <headerFooter alignWithMargins="0">
    <oddFooter>&amp;C&amp;"Tahoma,Normal"&amp;10&amp;A</oddFooter>
  </headerFooter>
  <rowBreaks count="1" manualBreakCount="1">
    <brk id="27"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63">
    <tabColor indexed="53"/>
    <pageSetUpPr fitToPage="1"/>
  </sheetPr>
  <dimension ref="A1:Q17"/>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25.875" style="230" customWidth="1"/>
    <col min="2" max="2" width="15.125" style="60" bestFit="1" customWidth="1"/>
    <col min="3" max="3" width="13" style="61" customWidth="1"/>
    <col min="4" max="4" width="11.5" style="61" customWidth="1"/>
    <col min="5" max="9" width="10.125" style="61" customWidth="1"/>
    <col min="10" max="13" width="11.25" style="61" customWidth="1"/>
    <col min="14" max="14" width="10.75" style="61" customWidth="1"/>
    <col min="15" max="15" width="11.5" style="230" customWidth="1"/>
    <col min="16" max="16384" width="11" style="61"/>
  </cols>
  <sheetData>
    <row r="1" spans="1:17" ht="27.75" customHeight="1">
      <c r="A1" s="66" t="s">
        <v>590</v>
      </c>
    </row>
    <row r="2" spans="1:17" ht="26.25" customHeight="1">
      <c r="A2" s="66" t="str">
        <f>'Base Data'!B9</f>
        <v>WWW, Ltd.</v>
      </c>
    </row>
    <row r="3" spans="1:17" ht="14.25" customHeight="1">
      <c r="A3" s="59"/>
    </row>
    <row r="4" spans="1:17" ht="14.25" customHeight="1">
      <c r="A4" s="59"/>
    </row>
    <row r="5" spans="1:17" ht="25.5" customHeight="1" thickBot="1">
      <c r="A5" s="417" t="s">
        <v>591</v>
      </c>
    </row>
    <row r="6" spans="1:17" ht="22.5" customHeight="1" thickBot="1">
      <c r="A6" s="441" t="s">
        <v>123</v>
      </c>
      <c r="B6" s="441">
        <v>-360</v>
      </c>
      <c r="C6" s="441">
        <v>-330</v>
      </c>
      <c r="D6" s="441">
        <v>-300</v>
      </c>
      <c r="E6" s="441">
        <v>-270</v>
      </c>
      <c r="F6" s="441">
        <v>-240</v>
      </c>
      <c r="G6" s="441">
        <v>-210</v>
      </c>
      <c r="H6" s="441">
        <v>-180</v>
      </c>
      <c r="I6" s="441">
        <v>-150</v>
      </c>
      <c r="J6" s="441">
        <v>-120</v>
      </c>
      <c r="K6" s="441">
        <v>-90</v>
      </c>
      <c r="L6" s="441">
        <v>-60</v>
      </c>
      <c r="M6" s="441">
        <v>-30</v>
      </c>
      <c r="N6" s="441">
        <v>0</v>
      </c>
      <c r="O6" s="1927" t="s">
        <v>589</v>
      </c>
      <c r="P6" s="1927" t="s">
        <v>554</v>
      </c>
    </row>
    <row r="7" spans="1:17" ht="22.5" customHeight="1" thickBot="1">
      <c r="A7" s="1912" t="s">
        <v>592</v>
      </c>
      <c r="B7" s="441">
        <v>12</v>
      </c>
      <c r="C7" s="441">
        <v>11</v>
      </c>
      <c r="D7" s="441">
        <v>10</v>
      </c>
      <c r="E7" s="441">
        <v>9</v>
      </c>
      <c r="F7" s="441">
        <v>8</v>
      </c>
      <c r="G7" s="441">
        <v>7</v>
      </c>
      <c r="H7" s="441">
        <v>6</v>
      </c>
      <c r="I7" s="441">
        <v>5</v>
      </c>
      <c r="J7" s="441">
        <v>4</v>
      </c>
      <c r="K7" s="441">
        <v>3</v>
      </c>
      <c r="L7" s="441">
        <v>2</v>
      </c>
      <c r="M7" s="441">
        <v>1</v>
      </c>
      <c r="N7" s="433">
        <v>0</v>
      </c>
      <c r="O7" s="441"/>
      <c r="P7" s="441"/>
    </row>
    <row r="8" spans="1:17" ht="21" customHeight="1">
      <c r="A8" s="2399" t="str">
        <f t="array" ref="A8:A15">productos</f>
        <v>product 1</v>
      </c>
      <c r="B8" s="1715">
        <v>0</v>
      </c>
      <c r="C8" s="1715">
        <v>0</v>
      </c>
      <c r="D8" s="1715">
        <v>0</v>
      </c>
      <c r="E8" s="1715">
        <v>0</v>
      </c>
      <c r="F8" s="1715">
        <v>0</v>
      </c>
      <c r="G8" s="1715">
        <v>0</v>
      </c>
      <c r="H8" s="1715">
        <v>0</v>
      </c>
      <c r="I8" s="1715">
        <v>0</v>
      </c>
      <c r="J8" s="1715">
        <v>0</v>
      </c>
      <c r="K8" s="1715">
        <v>0</v>
      </c>
      <c r="L8" s="1715">
        <v>0</v>
      </c>
      <c r="M8" s="1715">
        <v>0</v>
      </c>
      <c r="N8" s="1714">
        <f t="shared" ref="N8:N15" si="0">IF(SUM(B8:M8)&gt;1,"ERROR",1-SUM(B8:M8))</f>
        <v>1</v>
      </c>
      <c r="O8" s="1913">
        <f t="array" ref="O8">-SUM($B$6:$N$6*B8:N8)</f>
        <v>0</v>
      </c>
      <c r="P8" s="1716">
        <f t="shared" ref="P8:P15" si="1">SUM(B8:N8)</f>
        <v>1</v>
      </c>
      <c r="Q8" s="1713" t="str">
        <f t="shared" ref="Q8:Q15" si="2">IF(P8&lt;&gt;1,"ERROR EN PORCENTAJES DE PRODUCCIÓN","")</f>
        <v/>
      </c>
    </row>
    <row r="9" spans="1:17" ht="21" customHeight="1">
      <c r="A9" s="2400" t="str">
        <v/>
      </c>
      <c r="B9" s="1715">
        <v>0</v>
      </c>
      <c r="C9" s="1715">
        <v>0</v>
      </c>
      <c r="D9" s="1715">
        <v>0</v>
      </c>
      <c r="E9" s="1715">
        <v>0</v>
      </c>
      <c r="F9" s="1715">
        <v>0</v>
      </c>
      <c r="G9" s="1715">
        <v>0</v>
      </c>
      <c r="H9" s="1715">
        <v>0</v>
      </c>
      <c r="I9" s="1715">
        <v>0</v>
      </c>
      <c r="J9" s="1715">
        <v>0</v>
      </c>
      <c r="K9" s="1715">
        <v>0</v>
      </c>
      <c r="L9" s="1715">
        <v>0</v>
      </c>
      <c r="M9" s="1715">
        <v>0</v>
      </c>
      <c r="N9" s="1714">
        <f t="shared" si="0"/>
        <v>1</v>
      </c>
      <c r="O9" s="1913">
        <f t="array" ref="O9">-SUM($B$6:$N$6*B9:N9)</f>
        <v>0</v>
      </c>
      <c r="P9" s="1716">
        <f t="shared" si="1"/>
        <v>1</v>
      </c>
      <c r="Q9" s="1713" t="str">
        <f t="shared" si="2"/>
        <v/>
      </c>
    </row>
    <row r="10" spans="1:17" ht="21" customHeight="1">
      <c r="A10" s="2400" t="str">
        <v/>
      </c>
      <c r="B10" s="1715">
        <v>0</v>
      </c>
      <c r="C10" s="1715">
        <v>0</v>
      </c>
      <c r="D10" s="1715">
        <v>0</v>
      </c>
      <c r="E10" s="1715">
        <v>0</v>
      </c>
      <c r="F10" s="1715">
        <v>0</v>
      </c>
      <c r="G10" s="1715">
        <v>0</v>
      </c>
      <c r="H10" s="1715">
        <v>0</v>
      </c>
      <c r="I10" s="1715">
        <v>0</v>
      </c>
      <c r="J10" s="1715">
        <v>0</v>
      </c>
      <c r="K10" s="1715">
        <v>0</v>
      </c>
      <c r="L10" s="1715">
        <v>0</v>
      </c>
      <c r="M10" s="1715">
        <v>0</v>
      </c>
      <c r="N10" s="1714">
        <f t="shared" si="0"/>
        <v>1</v>
      </c>
      <c r="O10" s="1913">
        <f t="array" ref="O10">-SUM($B$6:$N$6*B10:N10)</f>
        <v>0</v>
      </c>
      <c r="P10" s="1716">
        <f t="shared" si="1"/>
        <v>1</v>
      </c>
      <c r="Q10" s="1713" t="str">
        <f t="shared" si="2"/>
        <v/>
      </c>
    </row>
    <row r="11" spans="1:17" ht="21" customHeight="1">
      <c r="A11" s="2400" t="str">
        <v/>
      </c>
      <c r="B11" s="1715">
        <v>0</v>
      </c>
      <c r="C11" s="1715">
        <v>0</v>
      </c>
      <c r="D11" s="1715">
        <v>0</v>
      </c>
      <c r="E11" s="1715">
        <v>0</v>
      </c>
      <c r="F11" s="1715">
        <v>0</v>
      </c>
      <c r="G11" s="1715">
        <v>0</v>
      </c>
      <c r="H11" s="1715">
        <v>0</v>
      </c>
      <c r="I11" s="1715">
        <v>0</v>
      </c>
      <c r="J11" s="1715">
        <v>0</v>
      </c>
      <c r="K11" s="1715">
        <v>0</v>
      </c>
      <c r="L11" s="1715">
        <v>0</v>
      </c>
      <c r="M11" s="1715">
        <v>0</v>
      </c>
      <c r="N11" s="1714">
        <f t="shared" si="0"/>
        <v>1</v>
      </c>
      <c r="O11" s="1913">
        <f t="array" ref="O11">-SUM($B$6:$N$6*B11:N11)</f>
        <v>0</v>
      </c>
      <c r="P11" s="1716">
        <f t="shared" si="1"/>
        <v>1</v>
      </c>
      <c r="Q11" s="1713" t="str">
        <f t="shared" si="2"/>
        <v/>
      </c>
    </row>
    <row r="12" spans="1:17" ht="21" customHeight="1">
      <c r="A12" s="2400" t="str">
        <v/>
      </c>
      <c r="B12" s="1715">
        <v>0</v>
      </c>
      <c r="C12" s="1715">
        <v>0</v>
      </c>
      <c r="D12" s="1715">
        <v>0</v>
      </c>
      <c r="E12" s="1715">
        <v>0</v>
      </c>
      <c r="F12" s="1715">
        <v>0</v>
      </c>
      <c r="G12" s="1715">
        <v>0</v>
      </c>
      <c r="H12" s="1715">
        <v>0</v>
      </c>
      <c r="I12" s="1715">
        <v>0</v>
      </c>
      <c r="J12" s="1715">
        <v>0</v>
      </c>
      <c r="K12" s="1715">
        <v>0</v>
      </c>
      <c r="L12" s="1715">
        <v>0</v>
      </c>
      <c r="M12" s="1715">
        <v>0</v>
      </c>
      <c r="N12" s="1714">
        <f t="shared" si="0"/>
        <v>1</v>
      </c>
      <c r="O12" s="1913">
        <f t="array" ref="O12">-SUM($B$6:$N$6*B12:N12)</f>
        <v>0</v>
      </c>
      <c r="P12" s="1716">
        <f t="shared" si="1"/>
        <v>1</v>
      </c>
      <c r="Q12" s="1713" t="str">
        <f t="shared" si="2"/>
        <v/>
      </c>
    </row>
    <row r="13" spans="1:17" ht="21" customHeight="1">
      <c r="A13" s="2400" t="str">
        <v/>
      </c>
      <c r="B13" s="1715">
        <v>0</v>
      </c>
      <c r="C13" s="1715">
        <v>0</v>
      </c>
      <c r="D13" s="1715">
        <v>0</v>
      </c>
      <c r="E13" s="1715">
        <v>0</v>
      </c>
      <c r="F13" s="1715">
        <v>0</v>
      </c>
      <c r="G13" s="1715">
        <v>0</v>
      </c>
      <c r="H13" s="1715">
        <v>0</v>
      </c>
      <c r="I13" s="1715">
        <v>0</v>
      </c>
      <c r="J13" s="1715">
        <v>0</v>
      </c>
      <c r="K13" s="1715">
        <v>0</v>
      </c>
      <c r="L13" s="1715">
        <v>0</v>
      </c>
      <c r="M13" s="1715">
        <v>0</v>
      </c>
      <c r="N13" s="1714">
        <f t="shared" si="0"/>
        <v>1</v>
      </c>
      <c r="O13" s="1913">
        <f t="array" ref="O13">-SUM($B$6:$N$6*B13:N13)</f>
        <v>0</v>
      </c>
      <c r="P13" s="1716">
        <f t="shared" si="1"/>
        <v>1</v>
      </c>
      <c r="Q13" s="1713" t="str">
        <f t="shared" si="2"/>
        <v/>
      </c>
    </row>
    <row r="14" spans="1:17" ht="21" customHeight="1">
      <c r="A14" s="2400" t="str">
        <v/>
      </c>
      <c r="B14" s="1715">
        <v>0</v>
      </c>
      <c r="C14" s="1715">
        <v>0</v>
      </c>
      <c r="D14" s="1715">
        <v>0</v>
      </c>
      <c r="E14" s="1715">
        <v>0</v>
      </c>
      <c r="F14" s="1715">
        <v>0</v>
      </c>
      <c r="G14" s="1715">
        <v>0</v>
      </c>
      <c r="H14" s="1715">
        <v>0</v>
      </c>
      <c r="I14" s="1715">
        <v>0</v>
      </c>
      <c r="J14" s="1715">
        <v>0</v>
      </c>
      <c r="K14" s="1715">
        <v>0</v>
      </c>
      <c r="L14" s="1715">
        <v>0</v>
      </c>
      <c r="M14" s="1715">
        <v>0</v>
      </c>
      <c r="N14" s="1714">
        <f t="shared" si="0"/>
        <v>1</v>
      </c>
      <c r="O14" s="1913">
        <f t="array" ref="O14">-SUM($B$6:$N$6*B14:N14)</f>
        <v>0</v>
      </c>
      <c r="P14" s="1716">
        <f t="shared" si="1"/>
        <v>1</v>
      </c>
      <c r="Q14" s="1713" t="str">
        <f t="shared" si="2"/>
        <v/>
      </c>
    </row>
    <row r="15" spans="1:17" ht="21" customHeight="1" thickBot="1">
      <c r="A15" s="2401" t="str">
        <v/>
      </c>
      <c r="B15" s="1718">
        <v>0</v>
      </c>
      <c r="C15" s="1718">
        <v>0</v>
      </c>
      <c r="D15" s="1718">
        <v>0</v>
      </c>
      <c r="E15" s="1718">
        <v>0</v>
      </c>
      <c r="F15" s="1718">
        <v>0</v>
      </c>
      <c r="G15" s="1718">
        <v>0</v>
      </c>
      <c r="H15" s="1718">
        <v>0</v>
      </c>
      <c r="I15" s="1718">
        <v>0</v>
      </c>
      <c r="J15" s="1718">
        <v>0</v>
      </c>
      <c r="K15" s="1718">
        <v>0</v>
      </c>
      <c r="L15" s="1718">
        <v>0</v>
      </c>
      <c r="M15" s="1718">
        <v>0</v>
      </c>
      <c r="N15" s="1717">
        <f t="shared" si="0"/>
        <v>1</v>
      </c>
      <c r="O15" s="1913">
        <f t="array" ref="O15">-SUM($B$6:$N$6*B15:N15)</f>
        <v>0</v>
      </c>
      <c r="P15" s="1719">
        <f t="shared" si="1"/>
        <v>1</v>
      </c>
      <c r="Q15" s="1713" t="str">
        <f t="shared" si="2"/>
        <v/>
      </c>
    </row>
    <row r="16" spans="1:17" ht="14.25" customHeight="1">
      <c r="A16" s="59"/>
    </row>
    <row r="17" spans="1:1" ht="14.25" customHeight="1">
      <c r="A17" s="59"/>
    </row>
  </sheetData>
  <sheetProtection sheet="1" objects="1" scenarios="1"/>
  <phoneticPr fontId="7" type="noConversion"/>
  <dataValidations disablePrompts="1" xWindow="240" yWindow="248" count="1">
    <dataValidation type="decimal" allowBlank="1" showInputMessage="1" showErrorMessage="1" sqref="H8:M15" xr:uid="{00000000-0002-0000-1B00-000000000000}">
      <formula1>0</formula1>
      <formula2>1</formula2>
    </dataValidation>
  </dataValidations>
  <printOptions horizontalCentered="1" verticalCentered="1"/>
  <pageMargins left="0.38" right="0.19685039370078741" top="0.53" bottom="0.71" header="0.51181102362204722" footer="0.39370078740157483"/>
  <pageSetup paperSize="9" scale="62" fitToHeight="2" orientation="landscape" horizontalDpi="300" verticalDpi="300" r:id="rId1"/>
  <headerFooter alignWithMargins="0">
    <oddFooter>&amp;C&amp;"Tahoma,Normal"&amp;10&amp;A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67">
    <tabColor indexed="10"/>
    <pageSetUpPr fitToPage="1"/>
  </sheetPr>
  <dimension ref="A1:Z251"/>
  <sheetViews>
    <sheetView topLeftCell="A79"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14" width="11.375" style="61" customWidth="1"/>
    <col min="15" max="15" width="11.5" style="230" customWidth="1"/>
    <col min="16" max="18" width="11" style="61"/>
    <col min="19" max="19" width="12.875" style="61" customWidth="1"/>
    <col min="20" max="16384" width="11" style="61"/>
  </cols>
  <sheetData>
    <row r="1" spans="1:16" ht="22.5">
      <c r="A1" s="66" t="s">
        <v>609</v>
      </c>
      <c r="K1" s="2398" t="str">
        <f>Parameters!B$77</f>
        <v>Year 0:   2026</v>
      </c>
      <c r="L1" s="416"/>
    </row>
    <row r="2" spans="1:16" ht="22.5">
      <c r="A2" s="66" t="str">
        <f>'Base Data'!B9</f>
        <v>WWW, Ltd.</v>
      </c>
    </row>
    <row r="3" spans="1:16" ht="14.25" customHeight="1">
      <c r="A3" s="59"/>
    </row>
    <row r="4" spans="1:16" ht="14.25" customHeight="1">
      <c r="A4" s="59"/>
    </row>
    <row r="5" spans="1:16" ht="14.25" customHeight="1">
      <c r="A5" s="59"/>
    </row>
    <row r="6" spans="1:16" ht="24" customHeight="1" thickBot="1">
      <c r="A6" s="1921" t="s">
        <v>593</v>
      </c>
    </row>
    <row r="7" spans="1:16" s="442" customFormat="1" ht="15.75" customHeight="1" thickBot="1">
      <c r="A7" s="441" t="s">
        <v>576</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6" ht="15.75" customHeight="1">
      <c r="A8" s="2399" t="str">
        <f t="array" ref="A8:A15">productos</f>
        <v>product 1</v>
      </c>
      <c r="B8" s="569">
        <f t="array" aca="1" ref="B8:M15" ca="1">'Sales Forecast 0'!B5:M12</f>
        <v>200</v>
      </c>
      <c r="C8" s="570">
        <f ca="1"/>
        <v>272.72727272727275</v>
      </c>
      <c r="D8" s="570">
        <f ca="1"/>
        <v>345.4545454545455</v>
      </c>
      <c r="E8" s="570">
        <f ca="1"/>
        <v>418.18181818181819</v>
      </c>
      <c r="F8" s="570">
        <f ca="1"/>
        <v>490.90909090909093</v>
      </c>
      <c r="G8" s="570">
        <f ca="1"/>
        <v>563.63636363636363</v>
      </c>
      <c r="H8" s="570">
        <f ca="1"/>
        <v>636.36363636363637</v>
      </c>
      <c r="I8" s="570">
        <f ca="1"/>
        <v>709.09090909090901</v>
      </c>
      <c r="J8" s="570">
        <f ca="1"/>
        <v>781.81818181818187</v>
      </c>
      <c r="K8" s="570">
        <f ca="1"/>
        <v>854.5454545454545</v>
      </c>
      <c r="L8" s="570">
        <f ca="1"/>
        <v>927.27272727272725</v>
      </c>
      <c r="M8" s="592">
        <f ca="1"/>
        <v>1000</v>
      </c>
      <c r="N8" s="571">
        <f t="shared" ref="N8:N15" ca="1" si="0">SUM(B8:M8)</f>
        <v>7199.9999999999991</v>
      </c>
      <c r="O8" s="61"/>
      <c r="P8" s="442"/>
    </row>
    <row r="9" spans="1:16"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c r="P9" s="442"/>
    </row>
    <row r="10" spans="1:16"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c r="P10" s="442"/>
    </row>
    <row r="11" spans="1:16"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c r="P11" s="442"/>
    </row>
    <row r="12" spans="1:16"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c r="P12" s="442"/>
    </row>
    <row r="13" spans="1:16"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c r="P13" s="442"/>
    </row>
    <row r="14" spans="1:16"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c r="P14" s="442"/>
    </row>
    <row r="15" spans="1:16"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c r="P15" s="442"/>
    </row>
    <row r="16" spans="1:16" ht="15">
      <c r="A16" s="71"/>
    </row>
    <row r="17" spans="1:16" ht="15">
      <c r="A17" s="211"/>
    </row>
    <row r="18" spans="1:16" ht="18.75" thickBot="1">
      <c r="A18" s="1921" t="s">
        <v>611</v>
      </c>
      <c r="G18" s="2716" t="str">
        <f>$K$1</f>
        <v>Year 0:   2026</v>
      </c>
      <c r="I18" s="1921" t="str">
        <f>'Base Data'!$A$28&amp;" NOT included"</f>
        <v>VAT NOT included</v>
      </c>
    </row>
    <row r="19" spans="1:16" s="440" customFormat="1" ht="15.75" customHeight="1" thickBot="1">
      <c r="A19" s="441" t="s">
        <v>595</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6" ht="15.75" customHeight="1">
      <c r="A20" s="2399" t="str">
        <f t="array" ref="A20:A27">productos</f>
        <v>product 1</v>
      </c>
      <c r="B20" s="578">
        <f t="array" aca="1" ref="B20:M27" ca="1">B8:M15*'Prices - DC'!$B19:$B26</f>
        <v>20</v>
      </c>
      <c r="C20" s="579">
        <f ca="1"/>
        <v>27.272727272727277</v>
      </c>
      <c r="D20" s="579">
        <f ca="1"/>
        <v>34.545454545454554</v>
      </c>
      <c r="E20" s="579">
        <f ca="1"/>
        <v>41.81818181818182</v>
      </c>
      <c r="F20" s="579">
        <f ca="1"/>
        <v>49.090909090909093</v>
      </c>
      <c r="G20" s="579">
        <f ca="1"/>
        <v>56.363636363636367</v>
      </c>
      <c r="H20" s="579">
        <f ca="1"/>
        <v>63.63636363636364</v>
      </c>
      <c r="I20" s="579">
        <f ca="1"/>
        <v>70.909090909090907</v>
      </c>
      <c r="J20" s="579">
        <f ca="1"/>
        <v>78.181818181818187</v>
      </c>
      <c r="K20" s="579">
        <f ca="1"/>
        <v>85.454545454545453</v>
      </c>
      <c r="L20" s="579">
        <f ca="1"/>
        <v>92.727272727272734</v>
      </c>
      <c r="M20" s="589">
        <f ca="1"/>
        <v>100</v>
      </c>
      <c r="N20" s="571">
        <f t="shared" ref="N20:N39" ca="1" si="1">SUM(B20:M20)</f>
        <v>720</v>
      </c>
      <c r="O20" s="61"/>
      <c r="P20" s="440"/>
    </row>
    <row r="21" spans="1:16"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c r="P21" s="440"/>
    </row>
    <row r="22" spans="1:16"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c r="P22" s="440"/>
    </row>
    <row r="23" spans="1:16"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c r="P23" s="440"/>
    </row>
    <row r="24" spans="1:16"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c r="P24" s="440"/>
    </row>
    <row r="25" spans="1:16"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c r="P25" s="440"/>
    </row>
    <row r="26" spans="1:16"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c r="P26" s="440"/>
    </row>
    <row r="27" spans="1:16"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c r="P27" s="440"/>
    </row>
    <row r="28" spans="1:16" ht="15.75" customHeight="1" thickBot="1">
      <c r="A28" s="2403" t="s">
        <v>577</v>
      </c>
      <c r="B28" s="586">
        <f t="shared" ref="B28:M28" ca="1" si="2">SUM(B20:B27)</f>
        <v>20</v>
      </c>
      <c r="C28" s="587">
        <f t="shared" ca="1" si="2"/>
        <v>27.272727272727277</v>
      </c>
      <c r="D28" s="587">
        <f t="shared" ca="1" si="2"/>
        <v>34.545454545454554</v>
      </c>
      <c r="E28" s="587">
        <f t="shared" ca="1" si="2"/>
        <v>41.81818181818182</v>
      </c>
      <c r="F28" s="587">
        <f t="shared" ca="1" si="2"/>
        <v>49.090909090909093</v>
      </c>
      <c r="G28" s="587">
        <f t="shared" ca="1" si="2"/>
        <v>56.363636363636367</v>
      </c>
      <c r="H28" s="587">
        <f t="shared" ca="1" si="2"/>
        <v>63.63636363636364</v>
      </c>
      <c r="I28" s="587">
        <f t="shared" ca="1" si="2"/>
        <v>70.909090909090907</v>
      </c>
      <c r="J28" s="587">
        <f t="shared" ca="1" si="2"/>
        <v>78.181818181818187</v>
      </c>
      <c r="K28" s="587">
        <f t="shared" ca="1" si="2"/>
        <v>85.454545454545453</v>
      </c>
      <c r="L28" s="587">
        <f t="shared" ca="1" si="2"/>
        <v>92.727272727272734</v>
      </c>
      <c r="M28" s="588">
        <f t="shared" ca="1" si="2"/>
        <v>100</v>
      </c>
      <c r="N28" s="585">
        <f t="shared" ca="1" si="1"/>
        <v>720</v>
      </c>
      <c r="O28" s="61"/>
      <c r="P28" s="440"/>
    </row>
    <row r="29" spans="1:16" ht="15">
      <c r="A29" s="211"/>
      <c r="P29" s="440"/>
    </row>
    <row r="30" spans="1:16" ht="15.75" thickBot="1">
      <c r="A30" s="211"/>
    </row>
    <row r="31" spans="1:16" ht="19.5" customHeight="1" thickBot="1">
      <c r="A31" s="441" t="str">
        <f>"Input "&amp;'Base Data'!$A$28&amp;" Production Costs"</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6" ht="15.75" customHeight="1">
      <c r="A32" s="2399" t="str">
        <f t="array" ref="A32:A39">productos</f>
        <v>product 1</v>
      </c>
      <c r="B32" s="578">
        <f t="array" aca="1" ref="B32:M39" ca="1">B20:M27*Parameters!$F24:$F31</f>
        <v>4.2</v>
      </c>
      <c r="C32" s="579">
        <f ca="1"/>
        <v>5.7272727272727275</v>
      </c>
      <c r="D32" s="579">
        <f ca="1"/>
        <v>7.2545454545454557</v>
      </c>
      <c r="E32" s="579">
        <f ca="1"/>
        <v>8.7818181818181813</v>
      </c>
      <c r="F32" s="579">
        <f ca="1"/>
        <v>10.309090909090909</v>
      </c>
      <c r="G32" s="579">
        <f ca="1"/>
        <v>11.836363636363636</v>
      </c>
      <c r="H32" s="579">
        <f ca="1"/>
        <v>13.363636363636363</v>
      </c>
      <c r="I32" s="579">
        <f ca="1"/>
        <v>14.890909090909091</v>
      </c>
      <c r="J32" s="579">
        <f ca="1"/>
        <v>16.418181818181818</v>
      </c>
      <c r="K32" s="579">
        <f ca="1"/>
        <v>17.945454545454545</v>
      </c>
      <c r="L32" s="579">
        <f ca="1"/>
        <v>19.472727272727273</v>
      </c>
      <c r="M32" s="589">
        <f ca="1"/>
        <v>21</v>
      </c>
      <c r="N32" s="571">
        <f t="shared" ca="1" si="1"/>
        <v>151.19999999999999</v>
      </c>
      <c r="O32" s="61"/>
    </row>
    <row r="33" spans="1:16"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6"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6"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6"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6"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6"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6"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6" ht="15.75" customHeight="1" thickBot="1">
      <c r="A40" s="2403" t="str">
        <f>A$28</f>
        <v>Monthly Totals</v>
      </c>
      <c r="B40" s="586">
        <f t="shared" ref="B40:M40" ca="1" si="3">SUM(B32:B39)</f>
        <v>4.2</v>
      </c>
      <c r="C40" s="587">
        <f t="shared" ca="1" si="3"/>
        <v>5.7272727272727275</v>
      </c>
      <c r="D40" s="587">
        <f t="shared" ca="1" si="3"/>
        <v>7.2545454545454557</v>
      </c>
      <c r="E40" s="587">
        <f t="shared" ca="1" si="3"/>
        <v>8.7818181818181813</v>
      </c>
      <c r="F40" s="587">
        <f t="shared" ca="1" si="3"/>
        <v>10.309090909090909</v>
      </c>
      <c r="G40" s="587">
        <f t="shared" ca="1" si="3"/>
        <v>11.836363636363636</v>
      </c>
      <c r="H40" s="587">
        <f t="shared" ca="1" si="3"/>
        <v>13.363636363636363</v>
      </c>
      <c r="I40" s="587">
        <f t="shared" ca="1" si="3"/>
        <v>14.890909090909091</v>
      </c>
      <c r="J40" s="587">
        <f t="shared" ca="1" si="3"/>
        <v>16.418181818181818</v>
      </c>
      <c r="K40" s="587">
        <f t="shared" ca="1" si="3"/>
        <v>17.945454545454545</v>
      </c>
      <c r="L40" s="587">
        <f t="shared" ca="1" si="3"/>
        <v>19.472727272727273</v>
      </c>
      <c r="M40" s="588">
        <f t="shared" ca="1" si="3"/>
        <v>21</v>
      </c>
      <c r="N40" s="585">
        <f ca="1">SUM(B40:M40)</f>
        <v>151.19999999999999</v>
      </c>
      <c r="O40" s="61"/>
    </row>
    <row r="41" spans="1:16" ht="15">
      <c r="A41" s="211"/>
      <c r="B41" s="61" t="str">
        <f>"Input "&amp;'Base Data'!A28  &amp;" must be calculated and considered in the month the purchase or the cost are done; not when the sale takes effect and therefore is imputed."</f>
        <v>Input VAT must be calculated and considered in the month the purchase or the cost are done; not when the sale takes effect and therefore is imputed.</v>
      </c>
    </row>
    <row r="42" spans="1:16" ht="15">
      <c r="A42" s="211"/>
    </row>
    <row r="43" spans="1:16" ht="15">
      <c r="A43" s="211"/>
      <c r="B43" s="2198">
        <v>1</v>
      </c>
      <c r="C43" s="2198">
        <v>2</v>
      </c>
      <c r="D43" s="2198">
        <v>3</v>
      </c>
      <c r="E43" s="2198">
        <v>4</v>
      </c>
      <c r="F43" s="2198">
        <v>5</v>
      </c>
      <c r="G43" s="2198">
        <v>6</v>
      </c>
      <c r="H43" s="2198">
        <v>7</v>
      </c>
      <c r="I43" s="2198">
        <v>8</v>
      </c>
      <c r="J43" s="2198">
        <v>9</v>
      </c>
      <c r="K43" s="2198">
        <v>10</v>
      </c>
      <c r="L43" s="2198">
        <v>11</v>
      </c>
      <c r="M43" s="2198">
        <v>12</v>
      </c>
    </row>
    <row r="44" spans="1:16" ht="18.75" thickBot="1">
      <c r="A44" s="1921" t="s">
        <v>594</v>
      </c>
      <c r="G44" s="2717" t="str">
        <f>$K$1</f>
        <v>Year 0:   2026</v>
      </c>
      <c r="I44" s="1921" t="str">
        <f>I$18</f>
        <v>VAT NOT included</v>
      </c>
    </row>
    <row r="45" spans="1:16"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c r="P45" s="61"/>
    </row>
    <row r="46" spans="1:16" ht="15.75" customHeight="1">
      <c r="A46" s="2399" t="str">
        <f t="array" ref="A46:A53">productos</f>
        <v>product 1</v>
      </c>
      <c r="B46" s="579">
        <f t="array" aca="1" ref="B46:M46" ca="1">IF(B$43:M$43&lt;mes0,0,N124:Y124)</f>
        <v>20</v>
      </c>
      <c r="C46" s="579">
        <f ca="1"/>
        <v>27.272727272727277</v>
      </c>
      <c r="D46" s="579">
        <f ca="1"/>
        <v>34.545454545454554</v>
      </c>
      <c r="E46" s="579">
        <f ca="1"/>
        <v>41.81818181818182</v>
      </c>
      <c r="F46" s="579">
        <f ca="1"/>
        <v>49.090909090909093</v>
      </c>
      <c r="G46" s="579">
        <f ca="1"/>
        <v>56.363636363636367</v>
      </c>
      <c r="H46" s="579">
        <f ca="1"/>
        <v>63.63636363636364</v>
      </c>
      <c r="I46" s="579">
        <f ca="1"/>
        <v>70.909090909090907</v>
      </c>
      <c r="J46" s="579">
        <f ca="1"/>
        <v>78.181818181818187</v>
      </c>
      <c r="K46" s="579">
        <f ca="1"/>
        <v>85.454545454545453</v>
      </c>
      <c r="L46" s="579">
        <f ca="1"/>
        <v>92.727272727272734</v>
      </c>
      <c r="M46" s="589">
        <f ca="1"/>
        <v>100</v>
      </c>
      <c r="N46" s="571">
        <f t="shared" ref="N46:N54" ca="1" si="4">SUM(B46:M46)</f>
        <v>720</v>
      </c>
      <c r="O46" s="61"/>
    </row>
    <row r="47" spans="1:16" ht="15.75" customHeight="1">
      <c r="A47" s="2400" t="str">
        <v/>
      </c>
      <c r="B47" s="580">
        <f t="array" aca="1" ref="B47:M47" ca="1">IF(B$43:M$43&lt;mes0,0,N142:Y142)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6" ht="15.75" customHeight="1">
      <c r="A48" s="2400" t="str">
        <v/>
      </c>
      <c r="B48" s="580">
        <f t="array" aca="1" ref="B48:M48" ca="1">IF(B$43:M$43&lt;mes0,0,N160:Y160)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6" ht="15.75" customHeight="1">
      <c r="A49" s="2400" t="str">
        <v/>
      </c>
      <c r="B49" s="580">
        <f t="array" aca="1" ref="B49:M49" ca="1">IF(B$43:M$43&lt;mes0,0,N178:Y178)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6" ht="15.75" customHeight="1">
      <c r="A50" s="2400" t="str">
        <v/>
      </c>
      <c r="B50" s="580">
        <f t="array" aca="1" ref="B50:M50" ca="1">IF(B$43:M$43&lt;mes0,0,N196:Y196)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6" ht="15.75" customHeight="1">
      <c r="A51" s="2400" t="str">
        <v/>
      </c>
      <c r="B51" s="580">
        <f t="array" aca="1" ref="B51:M51" ca="1">IF(B$43:M$43&lt;mes0,0,N214:Y214)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6" ht="15.75" customHeight="1">
      <c r="A52" s="2400" t="str">
        <v/>
      </c>
      <c r="B52" s="580">
        <f t="array" aca="1" ref="B52:M52" ca="1">IF(B$43:M$43&lt;mes0,0,N232:Y232)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6" ht="15.75" customHeight="1" thickBot="1">
      <c r="A53" s="2402" t="str">
        <v/>
      </c>
      <c r="B53" s="582">
        <f t="array" aca="1" ref="B53:M53" ca="1">IF(B$43:M$43&lt;mes0,0,N250:Y250)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6" ht="15.75" customHeight="1" thickBot="1">
      <c r="A54" s="2403" t="str">
        <f>A$28</f>
        <v>Monthly Totals</v>
      </c>
      <c r="B54" s="586">
        <f t="shared" ref="B54:M54" ca="1" si="5">SUM(B46:B53)</f>
        <v>20</v>
      </c>
      <c r="C54" s="587">
        <f t="shared" ca="1" si="5"/>
        <v>27.272727272727277</v>
      </c>
      <c r="D54" s="587">
        <f t="shared" ca="1" si="5"/>
        <v>34.545454545454554</v>
      </c>
      <c r="E54" s="587">
        <f t="shared" ca="1" si="5"/>
        <v>41.81818181818182</v>
      </c>
      <c r="F54" s="587">
        <f t="shared" ca="1" si="5"/>
        <v>49.090909090909093</v>
      </c>
      <c r="G54" s="587">
        <f t="shared" ca="1" si="5"/>
        <v>56.363636363636367</v>
      </c>
      <c r="H54" s="587">
        <f t="shared" ca="1" si="5"/>
        <v>63.63636363636364</v>
      </c>
      <c r="I54" s="587">
        <f t="shared" ca="1" si="5"/>
        <v>70.909090909090907</v>
      </c>
      <c r="J54" s="587">
        <f t="shared" ca="1" si="5"/>
        <v>78.181818181818187</v>
      </c>
      <c r="K54" s="587">
        <f t="shared" ca="1" si="5"/>
        <v>85.454545454545453</v>
      </c>
      <c r="L54" s="587">
        <f t="shared" ca="1" si="5"/>
        <v>92.727272727272734</v>
      </c>
      <c r="M54" s="588">
        <f t="shared" ca="1" si="5"/>
        <v>100</v>
      </c>
      <c r="N54" s="585">
        <f t="shared" ca="1" si="4"/>
        <v>720</v>
      </c>
      <c r="O54" s="61"/>
    </row>
    <row r="55" spans="1:16">
      <c r="B55" s="61"/>
    </row>
    <row r="57" spans="1:16" ht="18.75" thickBot="1">
      <c r="A57" s="1921" t="str">
        <f>"Input "&amp;'Base Data'!$A$28 &amp;" of production costs for year"</f>
        <v>Input VAT of production costs for year</v>
      </c>
      <c r="G57" s="2717" t="str">
        <f>$K$1</f>
        <v>Year 0:   2026</v>
      </c>
      <c r="I57" s="1921"/>
    </row>
    <row r="58" spans="1:16"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6" ht="15.75" customHeight="1">
      <c r="A59" s="2399" t="str">
        <f t="array" ref="A59:A66">productos</f>
        <v>product 1</v>
      </c>
      <c r="B59" s="579">
        <f t="array" aca="1" ref="B59:M59" ca="1">IF(B$43:M$43&lt;mes0,0,N125:Y125)</f>
        <v>4.2</v>
      </c>
      <c r="C59" s="579">
        <f ca="1"/>
        <v>5.7272727272727275</v>
      </c>
      <c r="D59" s="579">
        <f ca="1"/>
        <v>7.2545454545454557</v>
      </c>
      <c r="E59" s="579">
        <f ca="1"/>
        <v>8.7818181818181813</v>
      </c>
      <c r="F59" s="579">
        <f ca="1"/>
        <v>10.309090909090909</v>
      </c>
      <c r="G59" s="579">
        <f ca="1"/>
        <v>11.836363636363636</v>
      </c>
      <c r="H59" s="579">
        <f ca="1"/>
        <v>13.363636363636363</v>
      </c>
      <c r="I59" s="579">
        <f ca="1"/>
        <v>14.890909090909091</v>
      </c>
      <c r="J59" s="579">
        <f ca="1"/>
        <v>16.418181818181818</v>
      </c>
      <c r="K59" s="579">
        <f ca="1"/>
        <v>17.945454545454545</v>
      </c>
      <c r="L59" s="579">
        <f ca="1"/>
        <v>19.472727272727273</v>
      </c>
      <c r="M59" s="589">
        <f ca="1"/>
        <v>21</v>
      </c>
      <c r="N59" s="571">
        <f t="shared" ref="N59:N67" ca="1" si="6">SUM(B59:M59)</f>
        <v>151.19999999999999</v>
      </c>
      <c r="O59" s="61"/>
      <c r="P59" s="440"/>
    </row>
    <row r="60" spans="1:16" ht="15.75" customHeight="1">
      <c r="A60" s="2400" t="str">
        <v/>
      </c>
      <c r="B60" s="580">
        <f t="array" aca="1" ref="B60:M60" ca="1">IF(B$43:M$43&lt;mes0,0,N143:Y143)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c r="P60" s="440"/>
    </row>
    <row r="61" spans="1:16" ht="15.75" customHeight="1">
      <c r="A61" s="2400" t="str">
        <v/>
      </c>
      <c r="B61" s="580">
        <f t="array" aca="1" ref="B61:M61" ca="1">IF(B$43:M$43&lt;mes0,0,N161:Y161)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c r="P61" s="440"/>
    </row>
    <row r="62" spans="1:16" ht="15.75" customHeight="1">
      <c r="A62" s="2400" t="str">
        <v/>
      </c>
      <c r="B62" s="580">
        <f t="array" aca="1" ref="B62:M62" ca="1">IF(B$43:M$43&lt;mes0,0,N179:Y179)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c r="P62" s="440"/>
    </row>
    <row r="63" spans="1:16" ht="15.75" customHeight="1">
      <c r="A63" s="2400" t="str">
        <v/>
      </c>
      <c r="B63" s="580">
        <f t="array" aca="1" ref="B63:M63" ca="1">IF(B$43:M$43&lt;mes0,0,N197:Y197)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c r="P63" s="440"/>
    </row>
    <row r="64" spans="1:16" ht="15.75" customHeight="1">
      <c r="A64" s="2400" t="str">
        <v/>
      </c>
      <c r="B64" s="580">
        <f t="array" aca="1" ref="B64:M64" ca="1">IF(B$43:M$43&lt;mes0,0,N215:Y215)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c r="P64" s="440"/>
    </row>
    <row r="65" spans="1:26" ht="15.75" customHeight="1">
      <c r="A65" s="2400" t="str">
        <v/>
      </c>
      <c r="B65" s="580">
        <f t="array" aca="1" ref="B65:M65" ca="1">IF(B$43:M$43&lt;mes0,0,N233:Y233)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c r="P65" s="440"/>
    </row>
    <row r="66" spans="1:26" ht="15.75" customHeight="1" thickBot="1">
      <c r="A66" s="2402" t="str">
        <v/>
      </c>
      <c r="B66" s="582">
        <f t="array" aca="1" ref="B66:M66" ca="1">IF(B$43:M$43&lt;mes0,0,N251:Y251)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c r="P66" s="440"/>
    </row>
    <row r="67" spans="1:26" ht="15.75" customHeight="1" thickBot="1">
      <c r="A67" s="2403" t="str">
        <f>A$28</f>
        <v>Monthly Totals</v>
      </c>
      <c r="B67" s="586">
        <f t="shared" ref="B67:M67" ca="1" si="7">SUM(B59:B66)</f>
        <v>4.2</v>
      </c>
      <c r="C67" s="587">
        <f t="shared" ca="1" si="7"/>
        <v>5.7272727272727275</v>
      </c>
      <c r="D67" s="587">
        <f t="shared" ca="1" si="7"/>
        <v>7.2545454545454557</v>
      </c>
      <c r="E67" s="587">
        <f t="shared" ca="1" si="7"/>
        <v>8.7818181818181813</v>
      </c>
      <c r="F67" s="587">
        <f t="shared" ca="1" si="7"/>
        <v>10.309090909090909</v>
      </c>
      <c r="G67" s="587">
        <f t="shared" ca="1" si="7"/>
        <v>11.836363636363636</v>
      </c>
      <c r="H67" s="587">
        <f t="shared" ca="1" si="7"/>
        <v>13.363636363636363</v>
      </c>
      <c r="I67" s="587">
        <f t="shared" ca="1" si="7"/>
        <v>14.890909090909091</v>
      </c>
      <c r="J67" s="587">
        <f t="shared" ca="1" si="7"/>
        <v>16.418181818181818</v>
      </c>
      <c r="K67" s="587">
        <f t="shared" ca="1" si="7"/>
        <v>17.945454545454545</v>
      </c>
      <c r="L67" s="587">
        <f t="shared" ca="1" si="7"/>
        <v>19.472727272727273</v>
      </c>
      <c r="M67" s="588">
        <f t="shared" ca="1" si="7"/>
        <v>21</v>
      </c>
      <c r="N67" s="585">
        <f t="shared" ca="1" si="6"/>
        <v>151.19999999999999</v>
      </c>
      <c r="O67" s="61"/>
    </row>
    <row r="68" spans="1:26">
      <c r="B68" s="61"/>
    </row>
    <row r="69" spans="1:26" ht="15">
      <c r="A69" s="211"/>
    </row>
    <row r="70" spans="1:26" ht="18.75" thickBot="1">
      <c r="A70" s="1921" t="s">
        <v>612</v>
      </c>
    </row>
    <row r="71" spans="1:26" s="440" customFormat="1" ht="31.5" customHeight="1" thickBot="1">
      <c r="A71" s="441" t="s">
        <v>595</v>
      </c>
      <c r="B71" s="1938" t="str">
        <f t="array" ref="B71:M71">CONCATENATE(meses,"
",Parameters!B76:M76-1)</f>
        <v>January
2025</v>
      </c>
      <c r="C71" s="1938" t="str">
        <v>February
2025</v>
      </c>
      <c r="D71" s="1938" t="str">
        <v>March
2025</v>
      </c>
      <c r="E71" s="1938" t="str">
        <v>April
2025</v>
      </c>
      <c r="F71" s="1938" t="str">
        <v>May
2025</v>
      </c>
      <c r="G71" s="1938" t="str">
        <v>June
2025</v>
      </c>
      <c r="H71" s="1938" t="str">
        <v>July
2025</v>
      </c>
      <c r="I71" s="1938" t="str">
        <v>August
2025</v>
      </c>
      <c r="J71" s="1938" t="str">
        <v>September
2025</v>
      </c>
      <c r="K71" s="1938" t="str">
        <v>October
2025</v>
      </c>
      <c r="L71" s="1938" t="str">
        <v>November
2025</v>
      </c>
      <c r="M71" s="1938" t="str">
        <v>December
2025</v>
      </c>
      <c r="N71" s="2718" t="str">
        <f t="array" ref="N71:Y71">'Sales Forecasts'!B5:M5</f>
        <v>January 
2026</v>
      </c>
      <c r="O71" s="2719" t="str">
        <v>February 
2026</v>
      </c>
      <c r="P71" s="2719" t="str">
        <v>March 
2026</v>
      </c>
      <c r="Q71" s="2719" t="str">
        <v>April 
2026</v>
      </c>
      <c r="R71" s="2719" t="str">
        <v>May 
2026</v>
      </c>
      <c r="S71" s="2719" t="str">
        <v>June 
2026</v>
      </c>
      <c r="T71" s="2719" t="str">
        <v>July 
2026</v>
      </c>
      <c r="U71" s="2719" t="str">
        <v>August 
2026</v>
      </c>
      <c r="V71" s="2719" t="str">
        <v>September 
2026</v>
      </c>
      <c r="W71" s="2719" t="str">
        <v>October 
2026</v>
      </c>
      <c r="X71" s="2719" t="str">
        <v>November 
2026</v>
      </c>
      <c r="Y71" s="2720" t="str">
        <v>December 
2026</v>
      </c>
      <c r="Z71" s="61"/>
    </row>
    <row r="72" spans="1:26" ht="15.75" customHeight="1">
      <c r="A72" s="1922" t="s">
        <v>596</v>
      </c>
      <c r="B72" s="1919"/>
      <c r="C72" s="1919"/>
      <c r="D72" s="1919"/>
      <c r="E72" s="1919"/>
      <c r="F72" s="1919"/>
      <c r="G72" s="1919"/>
      <c r="H72" s="1917"/>
      <c r="I72" s="1918"/>
      <c r="J72" s="1918"/>
      <c r="K72" s="1918"/>
      <c r="L72" s="1918"/>
      <c r="M72" s="1918"/>
      <c r="N72" s="579">
        <f t="array" aca="1" ref="N72" ca="1">SUM(B20:B27*Production!$N$8:$N$15)</f>
        <v>20</v>
      </c>
      <c r="O72" s="579">
        <f t="array" aca="1" ref="O72" ca="1">SUM(C20:C27*Production!$N$8:$N$15)</f>
        <v>27.272727272727277</v>
      </c>
      <c r="P72" s="579">
        <f t="array" aca="1" ref="P72" ca="1">SUM(D20:D27*Production!$N$8:$N$15)</f>
        <v>34.545454545454554</v>
      </c>
      <c r="Q72" s="579">
        <f t="array" aca="1" ref="Q72" ca="1">SUM(E20:E27*Production!$N$8:$N$15)</f>
        <v>41.81818181818182</v>
      </c>
      <c r="R72" s="579">
        <f t="array" aca="1" ref="R72" ca="1">SUM(F20:F27*Production!$N$8:$N$15)</f>
        <v>49.090909090909093</v>
      </c>
      <c r="S72" s="579">
        <f t="array" aca="1" ref="S72" ca="1">SUM(G20:G27*Production!$N$8:$N$15)</f>
        <v>56.363636363636367</v>
      </c>
      <c r="T72" s="579">
        <f t="array" aca="1" ref="T72" ca="1">SUM(H20:H27*Production!$N$8:$N$15)</f>
        <v>63.63636363636364</v>
      </c>
      <c r="U72" s="579">
        <f t="array" aca="1" ref="U72" ca="1">SUM(I20:I27*Production!$N$8:$N$15)</f>
        <v>70.909090909090907</v>
      </c>
      <c r="V72" s="579">
        <f t="array" aca="1" ref="V72" ca="1">SUM(J20:J27*Production!$N$8:$N$15)</f>
        <v>78.181818181818187</v>
      </c>
      <c r="W72" s="579">
        <f t="array" aca="1" ref="W72" ca="1">SUM(K20:K27*Production!$N$8:$N$15)</f>
        <v>85.454545454545453</v>
      </c>
      <c r="X72" s="579">
        <f t="array" aca="1" ref="X72" ca="1">SUM(L20:L27*Production!$N$8:$N$15)</f>
        <v>92.727272727272734</v>
      </c>
      <c r="Y72" s="1936">
        <f t="array" aca="1" ref="Y72" ca="1">SUM(M20:M27*Production!$N$8:$N$15)</f>
        <v>100</v>
      </c>
    </row>
    <row r="73" spans="1:26" ht="15.75" customHeight="1">
      <c r="A73" s="1923" t="s">
        <v>597</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f t="array" aca="1" ref="Y73:Y84" ca="1">'DC Distr 1'!M73:M84</f>
        <v>0</v>
      </c>
    </row>
    <row r="74" spans="1:26" ht="15.75" customHeight="1">
      <c r="A74" s="1923" t="s">
        <v>598</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f t="array" aca="1" ref="X74:X84" ca="1">'DC Distr 1'!L74:L84</f>
        <v>0</v>
      </c>
      <c r="Y74" s="1934">
        <f ca="1"/>
        <v>0</v>
      </c>
    </row>
    <row r="75" spans="1:26" ht="15.75" customHeight="1">
      <c r="A75" s="1923" t="s">
        <v>599</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f t="array" aca="1" ref="W75:W84" ca="1">'DC Distr 1'!K75:K84</f>
        <v>0</v>
      </c>
      <c r="X75" s="1916">
        <f ca="1"/>
        <v>0</v>
      </c>
      <c r="Y75" s="1934">
        <f ca="1"/>
        <v>0</v>
      </c>
    </row>
    <row r="76" spans="1:26" ht="15.75" customHeight="1">
      <c r="A76" s="1923" t="s">
        <v>600</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f t="array" aca="1" ref="V76:V84" ca="1">'DC Distr 1'!J76:J84</f>
        <v>0</v>
      </c>
      <c r="W76" s="1916">
        <f ca="1"/>
        <v>0</v>
      </c>
      <c r="X76" s="1916">
        <f ca="1"/>
        <v>0</v>
      </c>
      <c r="Y76" s="1934">
        <f ca="1"/>
        <v>0</v>
      </c>
    </row>
    <row r="77" spans="1:26" ht="15.75" customHeight="1">
      <c r="A77" s="1923" t="s">
        <v>601</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f t="array" aca="1" ref="U77:U84" ca="1">'DC Distr 1'!I77:I84</f>
        <v>0</v>
      </c>
      <c r="V77" s="1916">
        <f ca="1"/>
        <v>0</v>
      </c>
      <c r="W77" s="1916">
        <f ca="1"/>
        <v>0</v>
      </c>
      <c r="X77" s="1916">
        <f ca="1"/>
        <v>0</v>
      </c>
      <c r="Y77" s="1934">
        <f ca="1"/>
        <v>0</v>
      </c>
    </row>
    <row r="78" spans="1:26" ht="15.75" customHeight="1">
      <c r="A78" s="1923" t="s">
        <v>602</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f t="array" aca="1" ref="T78:T84" ca="1">'DC Distr 1'!H78:H84</f>
        <v>0</v>
      </c>
      <c r="U78" s="1916">
        <f ca="1"/>
        <v>0</v>
      </c>
      <c r="V78" s="1916">
        <f ca="1"/>
        <v>0</v>
      </c>
      <c r="W78" s="1916">
        <f ca="1"/>
        <v>0</v>
      </c>
      <c r="X78" s="1916">
        <f ca="1"/>
        <v>0</v>
      </c>
      <c r="Y78" s="1934">
        <f ca="1"/>
        <v>0</v>
      </c>
    </row>
    <row r="79" spans="1:26" ht="15.75" customHeight="1">
      <c r="A79" s="1923" t="s">
        <v>603</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f t="array" aca="1" ref="S79:S84" ca="1">'DC Distr 1'!G79:G84</f>
        <v>0</v>
      </c>
      <c r="T79" s="1920">
        <f ca="1"/>
        <v>0</v>
      </c>
      <c r="U79" s="1920">
        <f ca="1"/>
        <v>0</v>
      </c>
      <c r="V79" s="1920">
        <f ca="1"/>
        <v>0</v>
      </c>
      <c r="W79" s="1920">
        <f ca="1"/>
        <v>0</v>
      </c>
      <c r="X79" s="1920">
        <f ca="1"/>
        <v>0</v>
      </c>
      <c r="Y79" s="1937">
        <f ca="1"/>
        <v>0</v>
      </c>
    </row>
    <row r="80" spans="1:26" ht="15.75" customHeight="1">
      <c r="A80" s="1923" t="s">
        <v>604</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f t="array" aca="1" ref="R80:R84" ca="1">'DC Distr 1'!F80:F84</f>
        <v>0</v>
      </c>
      <c r="S80" s="1920">
        <f ca="1"/>
        <v>0</v>
      </c>
      <c r="T80" s="1920">
        <f ca="1"/>
        <v>0</v>
      </c>
      <c r="U80" s="1920">
        <f ca="1"/>
        <v>0</v>
      </c>
      <c r="V80" s="1920">
        <f ca="1"/>
        <v>0</v>
      </c>
      <c r="W80" s="1920">
        <f ca="1"/>
        <v>0</v>
      </c>
      <c r="X80" s="1920">
        <f ca="1"/>
        <v>0</v>
      </c>
      <c r="Y80" s="1937">
        <f ca="1"/>
        <v>0</v>
      </c>
    </row>
    <row r="81" spans="1:26" ht="15.75" customHeight="1">
      <c r="A81" s="1923" t="s">
        <v>605</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f t="array" aca="1" ref="Q81:Q84" ca="1">'DC Distr 1'!E81:F84</f>
        <v>0</v>
      </c>
      <c r="R81" s="1920">
        <f ca="1"/>
        <v>0</v>
      </c>
      <c r="S81" s="1920">
        <f ca="1"/>
        <v>0</v>
      </c>
      <c r="T81" s="1920">
        <f ca="1"/>
        <v>0</v>
      </c>
      <c r="U81" s="1920">
        <f ca="1"/>
        <v>0</v>
      </c>
      <c r="V81" s="1920">
        <f ca="1"/>
        <v>0</v>
      </c>
      <c r="W81" s="1920">
        <f ca="1"/>
        <v>0</v>
      </c>
      <c r="X81" s="1920">
        <f ca="1"/>
        <v>0</v>
      </c>
      <c r="Y81" s="1937">
        <f ca="1"/>
        <v>0</v>
      </c>
    </row>
    <row r="82" spans="1:26" ht="15.75" customHeight="1">
      <c r="A82" s="1923" t="s">
        <v>606</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f t="array" aca="1" ref="P82:P84" ca="1">'DC Distr 1'!D82:D84</f>
        <v>0</v>
      </c>
      <c r="Q82" s="1920">
        <f ca="1"/>
        <v>0</v>
      </c>
      <c r="R82" s="1920">
        <f ca="1"/>
        <v>0</v>
      </c>
      <c r="S82" s="1920">
        <f ca="1"/>
        <v>0</v>
      </c>
      <c r="T82" s="1920">
        <f ca="1"/>
        <v>0</v>
      </c>
      <c r="U82" s="1920">
        <f ca="1"/>
        <v>0</v>
      </c>
      <c r="V82" s="1920">
        <f ca="1"/>
        <v>0</v>
      </c>
      <c r="W82" s="1920">
        <f ca="1"/>
        <v>0</v>
      </c>
      <c r="X82" s="1920">
        <f ca="1"/>
        <v>0</v>
      </c>
      <c r="Y82" s="1937">
        <f ca="1"/>
        <v>0</v>
      </c>
    </row>
    <row r="83" spans="1:26" ht="15.75" customHeight="1">
      <c r="A83" s="1923" t="s">
        <v>607</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f t="array" aca="1" ref="O83:O84" ca="1">'DC Distr 1'!C83:C84</f>
        <v>0</v>
      </c>
      <c r="P83" s="1920">
        <f ca="1"/>
        <v>0</v>
      </c>
      <c r="Q83" s="1920">
        <f ca="1"/>
        <v>0</v>
      </c>
      <c r="R83" s="1920">
        <f ca="1"/>
        <v>0</v>
      </c>
      <c r="S83" s="1920">
        <f ca="1"/>
        <v>0</v>
      </c>
      <c r="T83" s="1920">
        <f ca="1"/>
        <v>0</v>
      </c>
      <c r="U83" s="1920">
        <f ca="1"/>
        <v>0</v>
      </c>
      <c r="V83" s="1920">
        <f ca="1"/>
        <v>0</v>
      </c>
      <c r="W83" s="1920">
        <f ca="1"/>
        <v>0</v>
      </c>
      <c r="X83" s="1920">
        <f ca="1"/>
        <v>0</v>
      </c>
      <c r="Y83" s="1937">
        <f ca="1"/>
        <v>0</v>
      </c>
    </row>
    <row r="84" spans="1:26" ht="15.75" customHeight="1" thickBot="1">
      <c r="A84" s="1923"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f ca="1">'DC Distr 1'!B84</f>
        <v>0</v>
      </c>
      <c r="O84" s="1920">
        <f ca="1"/>
        <v>0</v>
      </c>
      <c r="P84" s="1920">
        <f ca="1"/>
        <v>0</v>
      </c>
      <c r="Q84" s="1920">
        <f ca="1"/>
        <v>0</v>
      </c>
      <c r="R84" s="1920">
        <f ca="1"/>
        <v>0</v>
      </c>
      <c r="S84" s="1920">
        <f ca="1"/>
        <v>0</v>
      </c>
      <c r="T84" s="1920">
        <f ca="1"/>
        <v>0</v>
      </c>
      <c r="U84" s="1920">
        <f ca="1"/>
        <v>0</v>
      </c>
      <c r="V84" s="1920">
        <f ca="1"/>
        <v>0</v>
      </c>
      <c r="W84" s="1920">
        <f ca="1"/>
        <v>0</v>
      </c>
      <c r="X84" s="1920">
        <f ca="1"/>
        <v>0</v>
      </c>
      <c r="Y84" s="1937">
        <f ca="1"/>
        <v>0</v>
      </c>
    </row>
    <row r="85" spans="1:26" ht="15.75" customHeight="1" thickBot="1">
      <c r="A85" s="2403" t="str">
        <f>A$28</f>
        <v>Monthly Totals</v>
      </c>
      <c r="B85" s="587">
        <f t="shared" ref="B85:Y85" ca="1" si="8">SUM(B72:B84)</f>
        <v>0</v>
      </c>
      <c r="C85" s="587">
        <f t="shared" ca="1" si="8"/>
        <v>0</v>
      </c>
      <c r="D85" s="587">
        <f t="shared" ca="1" si="8"/>
        <v>0</v>
      </c>
      <c r="E85" s="587">
        <f t="shared" ca="1" si="8"/>
        <v>0</v>
      </c>
      <c r="F85" s="587">
        <f t="shared" ca="1" si="8"/>
        <v>0</v>
      </c>
      <c r="G85" s="587">
        <f t="shared" ca="1" si="8"/>
        <v>0</v>
      </c>
      <c r="H85" s="587">
        <f t="shared" ca="1" si="8"/>
        <v>0</v>
      </c>
      <c r="I85" s="587">
        <f t="shared" ca="1" si="8"/>
        <v>0</v>
      </c>
      <c r="J85" s="587">
        <f t="shared" ca="1" si="8"/>
        <v>0</v>
      </c>
      <c r="K85" s="587">
        <f t="shared" ca="1" si="8"/>
        <v>0</v>
      </c>
      <c r="L85" s="587">
        <f t="shared" ca="1" si="8"/>
        <v>0</v>
      </c>
      <c r="M85" s="587">
        <f t="shared" ca="1" si="8"/>
        <v>0</v>
      </c>
      <c r="N85" s="587">
        <f t="shared" ca="1" si="8"/>
        <v>20</v>
      </c>
      <c r="O85" s="587">
        <f t="shared" ca="1" si="8"/>
        <v>27.272727272727277</v>
      </c>
      <c r="P85" s="587">
        <f t="shared" ca="1" si="8"/>
        <v>34.545454545454554</v>
      </c>
      <c r="Q85" s="587">
        <f t="shared" ca="1" si="8"/>
        <v>41.81818181818182</v>
      </c>
      <c r="R85" s="587">
        <f t="shared" ca="1" si="8"/>
        <v>49.090909090909093</v>
      </c>
      <c r="S85" s="587">
        <f t="shared" ca="1" si="8"/>
        <v>56.363636363636367</v>
      </c>
      <c r="T85" s="587">
        <f t="shared" ca="1" si="8"/>
        <v>63.63636363636364</v>
      </c>
      <c r="U85" s="587">
        <f t="shared" ca="1" si="8"/>
        <v>70.909090909090907</v>
      </c>
      <c r="V85" s="587">
        <f t="shared" ca="1" si="8"/>
        <v>78.181818181818187</v>
      </c>
      <c r="W85" s="587">
        <f t="shared" ca="1" si="8"/>
        <v>85.454545454545453</v>
      </c>
      <c r="X85" s="587">
        <f t="shared" ca="1" si="8"/>
        <v>92.727272727272734</v>
      </c>
      <c r="Y85" s="1935">
        <f t="shared" ca="1" si="8"/>
        <v>100</v>
      </c>
    </row>
    <row r="86" spans="1:26">
      <c r="B86" s="61"/>
    </row>
    <row r="87" spans="1:26">
      <c r="A87" s="981" t="s">
        <v>610</v>
      </c>
      <c r="B87" s="61">
        <f ca="1">SUM(OFFSET(B85,0,0,1,12+mes0-1))</f>
        <v>0</v>
      </c>
    </row>
    <row r="88" spans="1:26">
      <c r="B88" s="61"/>
    </row>
    <row r="89" spans="1:26" ht="18.75" thickBot="1">
      <c r="A89" s="1921" t="str">
        <f>"Input "&amp;'Base Data'!$A$28&amp;" of production costs by purchasing (effective) cost months"</f>
        <v>Input VAT of production costs by purchasing (effective) cost months</v>
      </c>
      <c r="I89" s="1921"/>
    </row>
    <row r="90" spans="1:26" s="440" customFormat="1" ht="39" customHeight="1" thickBot="1">
      <c r="A90" s="441" t="str">
        <f>A71&amp;" "&amp;'Base Data'!$A$28</f>
        <v>Production Costs VAT</v>
      </c>
      <c r="B90" s="1938" t="str">
        <f t="array" ref="B90:Y90">B$71:Y$71</f>
        <v>January
2025</v>
      </c>
      <c r="C90" s="1938" t="str">
        <v>February
2025</v>
      </c>
      <c r="D90" s="1938" t="str">
        <v>March
2025</v>
      </c>
      <c r="E90" s="1938" t="str">
        <v>April
2025</v>
      </c>
      <c r="F90" s="1938" t="str">
        <v>May
2025</v>
      </c>
      <c r="G90" s="1938" t="str">
        <v>June
2025</v>
      </c>
      <c r="H90" s="1938" t="str">
        <v>July
2025</v>
      </c>
      <c r="I90" s="1938" t="str">
        <v>August
2025</v>
      </c>
      <c r="J90" s="1938" t="str">
        <v>September
2025</v>
      </c>
      <c r="K90" s="1938" t="str">
        <v>October
2025</v>
      </c>
      <c r="L90" s="1938" t="str">
        <v>November
2025</v>
      </c>
      <c r="M90" s="1938" t="str">
        <v>December
2025</v>
      </c>
      <c r="N90" s="2721" t="str">
        <v>January 
2026</v>
      </c>
      <c r="O90" s="2722" t="str">
        <v>February 
2026</v>
      </c>
      <c r="P90" s="2722" t="str">
        <v>March 
2026</v>
      </c>
      <c r="Q90" s="2722" t="str">
        <v>April 
2026</v>
      </c>
      <c r="R90" s="2722" t="str">
        <v>May 
2026</v>
      </c>
      <c r="S90" s="2722" t="str">
        <v>June 
2026</v>
      </c>
      <c r="T90" s="2722" t="str">
        <v>July 
2026</v>
      </c>
      <c r="U90" s="2722" t="str">
        <v>August 
2026</v>
      </c>
      <c r="V90" s="2722" t="str">
        <v>September 
2026</v>
      </c>
      <c r="W90" s="2722" t="str">
        <v>October 
2026</v>
      </c>
      <c r="X90" s="2722" t="str">
        <v>November 
2026</v>
      </c>
      <c r="Y90" s="2723" t="str">
        <v>December 
2026</v>
      </c>
      <c r="Z90" s="61"/>
    </row>
    <row r="91" spans="1:26" ht="15.75" customHeight="1">
      <c r="A91" s="1922" t="str">
        <f t="array" ref="A91:A103">A$72:A$84</f>
        <v>same month</v>
      </c>
      <c r="B91" s="1919"/>
      <c r="C91" s="1919"/>
      <c r="D91" s="1919"/>
      <c r="E91" s="1919"/>
      <c r="F91" s="1919"/>
      <c r="G91" s="1919"/>
      <c r="H91" s="1917"/>
      <c r="I91" s="1918"/>
      <c r="J91" s="1918"/>
      <c r="K91" s="1918"/>
      <c r="L91" s="1918"/>
      <c r="M91" s="1918"/>
      <c r="N91" s="579">
        <f t="array" aca="1" ref="N91" ca="1">SUM(B32:B39*Production!$N$8:$N$15)</f>
        <v>4.2</v>
      </c>
      <c r="O91" s="579">
        <f t="array" aca="1" ref="O91" ca="1">SUM(C32:C39*Production!$N$8:$N$15)</f>
        <v>5.7272727272727275</v>
      </c>
      <c r="P91" s="579">
        <f t="array" aca="1" ref="P91" ca="1">SUM(D32:D39*Production!$N$8:$N$15)</f>
        <v>7.2545454545454557</v>
      </c>
      <c r="Q91" s="579">
        <f t="array" aca="1" ref="Q91" ca="1">SUM(E32:E39*Production!$N$8:$N$15)</f>
        <v>8.7818181818181813</v>
      </c>
      <c r="R91" s="579">
        <f t="array" aca="1" ref="R91" ca="1">SUM(F32:F39*Production!$N$8:$N$15)</f>
        <v>10.309090909090909</v>
      </c>
      <c r="S91" s="579">
        <f t="array" aca="1" ref="S91" ca="1">SUM(G32:G39*Production!$N$8:$N$15)</f>
        <v>11.836363636363636</v>
      </c>
      <c r="T91" s="579">
        <f t="array" aca="1" ref="T91" ca="1">SUM(H32:H39*Production!$N$8:$N$15)</f>
        <v>13.363636363636363</v>
      </c>
      <c r="U91" s="579">
        <f t="array" aca="1" ref="U91" ca="1">SUM(I32:I39*Production!$N$8:$N$15)</f>
        <v>14.890909090909091</v>
      </c>
      <c r="V91" s="579">
        <f t="array" aca="1" ref="V91" ca="1">SUM(J32:J39*Production!$N$8:$N$15)</f>
        <v>16.418181818181818</v>
      </c>
      <c r="W91" s="579">
        <f t="array" aca="1" ref="W91" ca="1">SUM(K32:K39*Production!$N$8:$N$15)</f>
        <v>17.945454545454545</v>
      </c>
      <c r="X91" s="579">
        <f t="array" aca="1" ref="X91" ca="1">SUM(L32:L39*Production!$N$8:$N$15)</f>
        <v>19.472727272727273</v>
      </c>
      <c r="Y91" s="1936">
        <f t="array" aca="1" ref="Y91" ca="1">SUM(M32:M39*Production!$N$8:$N$15)</f>
        <v>21</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f t="array" aca="1" ref="Y92:Y103" ca="1">'DC Distr 1'!M92:M103</f>
        <v>0</v>
      </c>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f t="array" aca="1" ref="X93:X103" ca="1">'DC Distr 1'!L93:L103</f>
        <v>0</v>
      </c>
      <c r="Y93" s="1934">
        <f ca="1"/>
        <v>0</v>
      </c>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f t="array" aca="1" ref="W94:W103" ca="1">'DC Distr 1'!K94:K103</f>
        <v>0</v>
      </c>
      <c r="X94" s="1916">
        <f ca="1"/>
        <v>0</v>
      </c>
      <c r="Y94" s="1934">
        <f ca="1"/>
        <v>0</v>
      </c>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f t="array" aca="1" ref="V95:V103" ca="1">'DC Distr 1'!J95:J103</f>
        <v>0</v>
      </c>
      <c r="W95" s="1916">
        <f ca="1"/>
        <v>0</v>
      </c>
      <c r="X95" s="1916">
        <f ca="1"/>
        <v>0</v>
      </c>
      <c r="Y95" s="1934">
        <f ca="1"/>
        <v>0</v>
      </c>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f t="array" aca="1" ref="U96:U103" ca="1">'DC Distr 1'!I96:I103</f>
        <v>0</v>
      </c>
      <c r="V96" s="1916">
        <f ca="1"/>
        <v>0</v>
      </c>
      <c r="W96" s="1916">
        <f ca="1"/>
        <v>0</v>
      </c>
      <c r="X96" s="1916">
        <f ca="1"/>
        <v>0</v>
      </c>
      <c r="Y96" s="1934">
        <f ca="1"/>
        <v>0</v>
      </c>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f t="array" aca="1" ref="T97:T103" ca="1">'DC Distr 1'!H97:H103</f>
        <v>0</v>
      </c>
      <c r="U97" s="1916">
        <f ca="1"/>
        <v>0</v>
      </c>
      <c r="V97" s="1916">
        <f ca="1"/>
        <v>0</v>
      </c>
      <c r="W97" s="1916">
        <f ca="1"/>
        <v>0</v>
      </c>
      <c r="X97" s="1916">
        <f ca="1"/>
        <v>0</v>
      </c>
      <c r="Y97" s="1934">
        <f ca="1"/>
        <v>0</v>
      </c>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f t="array" aca="1" ref="S98:S103" ca="1">'DC Distr 1'!G98:G103</f>
        <v>0</v>
      </c>
      <c r="T98" s="1920">
        <f ca="1"/>
        <v>0</v>
      </c>
      <c r="U98" s="1920">
        <f ca="1"/>
        <v>0</v>
      </c>
      <c r="V98" s="1920">
        <f ca="1"/>
        <v>0</v>
      </c>
      <c r="W98" s="1920">
        <f ca="1"/>
        <v>0</v>
      </c>
      <c r="X98" s="1920">
        <f ca="1"/>
        <v>0</v>
      </c>
      <c r="Y98" s="1937">
        <f ca="1"/>
        <v>0</v>
      </c>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f t="array" aca="1" ref="R99:R103" ca="1">'DC Distr 1'!F99:F103</f>
        <v>0</v>
      </c>
      <c r="S99" s="1920">
        <f ca="1"/>
        <v>0</v>
      </c>
      <c r="T99" s="1920">
        <f ca="1"/>
        <v>0</v>
      </c>
      <c r="U99" s="1920">
        <f ca="1"/>
        <v>0</v>
      </c>
      <c r="V99" s="1920">
        <f ca="1"/>
        <v>0</v>
      </c>
      <c r="W99" s="1920">
        <f ca="1"/>
        <v>0</v>
      </c>
      <c r="X99" s="1920">
        <f ca="1"/>
        <v>0</v>
      </c>
      <c r="Y99" s="1937">
        <f ca="1"/>
        <v>0</v>
      </c>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f t="array" aca="1" ref="Q100:Q103" ca="1">'DC Distr 1'!E100:F103</f>
        <v>0</v>
      </c>
      <c r="R100" s="1920">
        <f ca="1"/>
        <v>0</v>
      </c>
      <c r="S100" s="1920">
        <f ca="1"/>
        <v>0</v>
      </c>
      <c r="T100" s="1920">
        <f ca="1"/>
        <v>0</v>
      </c>
      <c r="U100" s="1920">
        <f ca="1"/>
        <v>0</v>
      </c>
      <c r="V100" s="1920">
        <f ca="1"/>
        <v>0</v>
      </c>
      <c r="W100" s="1920">
        <f ca="1"/>
        <v>0</v>
      </c>
      <c r="X100" s="1920">
        <f ca="1"/>
        <v>0</v>
      </c>
      <c r="Y100" s="1937">
        <f ca="1"/>
        <v>0</v>
      </c>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f t="array" aca="1" ref="P101:P103" ca="1">'DC Distr 1'!D101:D103</f>
        <v>0</v>
      </c>
      <c r="Q101" s="1920">
        <f ca="1"/>
        <v>0</v>
      </c>
      <c r="R101" s="1920">
        <f ca="1"/>
        <v>0</v>
      </c>
      <c r="S101" s="1920">
        <f ca="1"/>
        <v>0</v>
      </c>
      <c r="T101" s="1920">
        <f ca="1"/>
        <v>0</v>
      </c>
      <c r="U101" s="1920">
        <f ca="1"/>
        <v>0</v>
      </c>
      <c r="V101" s="1920">
        <f ca="1"/>
        <v>0</v>
      </c>
      <c r="W101" s="1920">
        <f ca="1"/>
        <v>0</v>
      </c>
      <c r="X101" s="1920">
        <f ca="1"/>
        <v>0</v>
      </c>
      <c r="Y101" s="1937">
        <f ca="1"/>
        <v>0</v>
      </c>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f t="array" aca="1" ref="O102:O103" ca="1">'DC Distr 1'!C102:C103</f>
        <v>0</v>
      </c>
      <c r="P102" s="1920">
        <f ca="1"/>
        <v>0</v>
      </c>
      <c r="Q102" s="1920">
        <f ca="1"/>
        <v>0</v>
      </c>
      <c r="R102" s="1920">
        <f ca="1"/>
        <v>0</v>
      </c>
      <c r="S102" s="1920">
        <f ca="1"/>
        <v>0</v>
      </c>
      <c r="T102" s="1920">
        <f ca="1"/>
        <v>0</v>
      </c>
      <c r="U102" s="1920">
        <f ca="1"/>
        <v>0</v>
      </c>
      <c r="V102" s="1920">
        <f ca="1"/>
        <v>0</v>
      </c>
      <c r="W102" s="1920">
        <f ca="1"/>
        <v>0</v>
      </c>
      <c r="X102" s="1920">
        <f ca="1"/>
        <v>0</v>
      </c>
      <c r="Y102" s="1937">
        <f ca="1"/>
        <v>0</v>
      </c>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f ca="1">'DC Distr 1'!B103</f>
        <v>0</v>
      </c>
      <c r="O103" s="1920">
        <f ca="1"/>
        <v>0</v>
      </c>
      <c r="P103" s="1920">
        <f ca="1"/>
        <v>0</v>
      </c>
      <c r="Q103" s="1920">
        <f ca="1"/>
        <v>0</v>
      </c>
      <c r="R103" s="1920">
        <f ca="1"/>
        <v>0</v>
      </c>
      <c r="S103" s="1920">
        <f ca="1"/>
        <v>0</v>
      </c>
      <c r="T103" s="1920">
        <f ca="1"/>
        <v>0</v>
      </c>
      <c r="U103" s="1920">
        <f ca="1"/>
        <v>0</v>
      </c>
      <c r="V103" s="1920">
        <f ca="1"/>
        <v>0</v>
      </c>
      <c r="W103" s="1920">
        <f ca="1"/>
        <v>0</v>
      </c>
      <c r="X103" s="1920">
        <f ca="1"/>
        <v>0</v>
      </c>
      <c r="Y103" s="1937">
        <f ca="1"/>
        <v>0</v>
      </c>
    </row>
    <row r="104" spans="1:26" ht="15.75" customHeight="1" thickBot="1">
      <c r="A104" s="2403" t="str">
        <f>A$28</f>
        <v>Monthly Totals</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4.2</v>
      </c>
      <c r="O104" s="587">
        <f t="shared" ca="1" si="9"/>
        <v>5.7272727272727275</v>
      </c>
      <c r="P104" s="587">
        <f t="shared" ca="1" si="9"/>
        <v>7.2545454545454557</v>
      </c>
      <c r="Q104" s="587">
        <f t="shared" ca="1" si="9"/>
        <v>8.7818181818181813</v>
      </c>
      <c r="R104" s="587">
        <f t="shared" ca="1" si="9"/>
        <v>10.309090909090909</v>
      </c>
      <c r="S104" s="587">
        <f t="shared" ca="1" si="9"/>
        <v>11.836363636363636</v>
      </c>
      <c r="T104" s="587">
        <f t="shared" ca="1" si="9"/>
        <v>13.363636363636363</v>
      </c>
      <c r="U104" s="587">
        <f t="shared" ca="1" si="9"/>
        <v>14.890909090909091</v>
      </c>
      <c r="V104" s="587">
        <f t="shared" ca="1" si="9"/>
        <v>16.418181818181818</v>
      </c>
      <c r="W104" s="587">
        <f t="shared" ca="1" si="9"/>
        <v>17.945454545454545</v>
      </c>
      <c r="X104" s="587">
        <f t="shared" ca="1" si="9"/>
        <v>19.472727272727273</v>
      </c>
      <c r="Y104" s="1935">
        <f t="shared" ca="1" si="9"/>
        <v>21</v>
      </c>
    </row>
    <row r="106" spans="1:26">
      <c r="A106" s="981" t="str">
        <f>"Previous "&amp;'Base Data'!$A$28</f>
        <v>Previous VAT</v>
      </c>
      <c r="B106" s="61">
        <f ca="1">SUM(OFFSET(B104,0,0,1,12+mes0-1))</f>
        <v>0</v>
      </c>
    </row>
    <row r="108" spans="1:26">
      <c r="B108" s="61"/>
      <c r="F108" s="61" t="s">
        <v>614</v>
      </c>
      <c r="L108" s="2404" t="s">
        <v>615</v>
      </c>
    </row>
    <row r="109" spans="1:26" ht="18.75" thickBot="1">
      <c r="A109" s="1921" t="str">
        <f>"Monthly Purchases / Production costs for "&amp;A$8</f>
        <v>Monthly Purchases / Production costs for product 1</v>
      </c>
      <c r="I109" s="1921" t="str">
        <f>I$18</f>
        <v>VAT NOT included</v>
      </c>
      <c r="K109" s="1932">
        <f>Parameters!$F$24</f>
        <v>0.21</v>
      </c>
    </row>
    <row r="110" spans="1:26" s="440" customFormat="1" ht="30" customHeight="1" thickBot="1">
      <c r="A110" s="441" t="s">
        <v>613</v>
      </c>
      <c r="B110" s="1938" t="str">
        <f t="array" ref="B110:Y110">B$71:Y$71</f>
        <v>January
2025</v>
      </c>
      <c r="C110" s="1938" t="str">
        <v>February
2025</v>
      </c>
      <c r="D110" s="1938" t="str">
        <v>March
2025</v>
      </c>
      <c r="E110" s="1938" t="str">
        <v>April
2025</v>
      </c>
      <c r="F110" s="1938" t="str">
        <v>May
2025</v>
      </c>
      <c r="G110" s="1938" t="str">
        <v>June
2025</v>
      </c>
      <c r="H110" s="1938" t="str">
        <v>July
2025</v>
      </c>
      <c r="I110" s="1938" t="str">
        <v>August
2025</v>
      </c>
      <c r="J110" s="1938" t="str">
        <v>September
2025</v>
      </c>
      <c r="K110" s="1938" t="str">
        <v>October
2025</v>
      </c>
      <c r="L110" s="1938" t="str">
        <v>November
2025</v>
      </c>
      <c r="M110" s="1938" t="str">
        <v>December
2025</v>
      </c>
      <c r="N110" s="2721" t="str">
        <v>January 
2026</v>
      </c>
      <c r="O110" s="2722" t="str">
        <v>February 
2026</v>
      </c>
      <c r="P110" s="2722" t="str">
        <v>March 
2026</v>
      </c>
      <c r="Q110" s="2722" t="str">
        <v>April 
2026</v>
      </c>
      <c r="R110" s="2722" t="str">
        <v>May 
2026</v>
      </c>
      <c r="S110" s="2722" t="str">
        <v>June 
2026</v>
      </c>
      <c r="T110" s="2722" t="str">
        <v>July 
2026</v>
      </c>
      <c r="U110" s="2722" t="str">
        <v>August 
2026</v>
      </c>
      <c r="V110" s="2722" t="str">
        <v>September 
2026</v>
      </c>
      <c r="W110" s="2722" t="str">
        <v>October 
2026</v>
      </c>
      <c r="X110" s="2722" t="str">
        <v>November 
2026</v>
      </c>
      <c r="Y110" s="2723" t="str">
        <v>December 
2026</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20</v>
      </c>
      <c r="O111" s="583">
        <f ca="1"/>
        <v>27.272727272727277</v>
      </c>
      <c r="P111" s="583">
        <f ca="1"/>
        <v>34.545454545454554</v>
      </c>
      <c r="Q111" s="583">
        <f ca="1"/>
        <v>41.81818181818182</v>
      </c>
      <c r="R111" s="583">
        <f ca="1"/>
        <v>49.090909090909093</v>
      </c>
      <c r="S111" s="583">
        <f ca="1"/>
        <v>56.363636363636367</v>
      </c>
      <c r="T111" s="583">
        <f ca="1"/>
        <v>63.63636363636364</v>
      </c>
      <c r="U111" s="583">
        <f ca="1"/>
        <v>70.909090909090907</v>
      </c>
      <c r="V111" s="583">
        <f ca="1"/>
        <v>78.181818181818187</v>
      </c>
      <c r="W111" s="583">
        <f ca="1"/>
        <v>85.454545454545453</v>
      </c>
      <c r="X111" s="583">
        <f ca="1"/>
        <v>92.727272727272734</v>
      </c>
      <c r="Y111" s="1933">
        <f ca="1"/>
        <v>100</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f t="array" aca="1" ref="Y112:Y123" ca="1">'DC Distr 1'!M112:M123</f>
        <v>0</v>
      </c>
    </row>
    <row r="113" spans="1:26">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6">
        <f t="array" aca="1" ref="X113:X123" ca="1">'DC Distr 1'!L113:L123</f>
        <v>0</v>
      </c>
      <c r="Y113" s="1934">
        <f ca="1"/>
        <v>0</v>
      </c>
    </row>
    <row r="114" spans="1:26">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6">
        <f t="array" aca="1" ref="W114:W123" ca="1">'DC Distr 1'!K114:K123</f>
        <v>0</v>
      </c>
      <c r="X114" s="1916">
        <f ca="1"/>
        <v>0</v>
      </c>
      <c r="Y114" s="1934">
        <f ca="1"/>
        <v>0</v>
      </c>
    </row>
    <row r="115" spans="1:26">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6">
        <f t="array" aca="1" ref="V115:V123" ca="1">'DC Distr 1'!J115:J123</f>
        <v>0</v>
      </c>
      <c r="W115" s="1916">
        <f ca="1"/>
        <v>0</v>
      </c>
      <c r="X115" s="1916">
        <f ca="1"/>
        <v>0</v>
      </c>
      <c r="Y115" s="1934">
        <f ca="1"/>
        <v>0</v>
      </c>
    </row>
    <row r="116" spans="1:26">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6">
        <f t="array" aca="1" ref="U116:U123" ca="1">'DC Distr 1'!I116:I123</f>
        <v>0</v>
      </c>
      <c r="V116" s="1916">
        <f ca="1"/>
        <v>0</v>
      </c>
      <c r="W116" s="1916">
        <f ca="1"/>
        <v>0</v>
      </c>
      <c r="X116" s="1916">
        <f ca="1"/>
        <v>0</v>
      </c>
      <c r="Y116" s="1934">
        <f ca="1"/>
        <v>0</v>
      </c>
    </row>
    <row r="117" spans="1:26">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6">
        <f t="array" aca="1" ref="T117:T123" ca="1">'DC Distr 1'!H117:H123</f>
        <v>0</v>
      </c>
      <c r="U117" s="1916">
        <f ca="1"/>
        <v>0</v>
      </c>
      <c r="V117" s="1916">
        <f ca="1"/>
        <v>0</v>
      </c>
      <c r="W117" s="1916">
        <f ca="1"/>
        <v>0</v>
      </c>
      <c r="X117" s="1916">
        <f ca="1"/>
        <v>0</v>
      </c>
      <c r="Y117" s="1934">
        <f ca="1"/>
        <v>0</v>
      </c>
    </row>
    <row r="118" spans="1:26">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0">
        <f t="array" aca="1" ref="S118:S123" ca="1">'DC Distr 1'!G118:G123</f>
        <v>0</v>
      </c>
      <c r="T118" s="1920">
        <f ca="1"/>
        <v>0</v>
      </c>
      <c r="U118" s="1920">
        <f ca="1"/>
        <v>0</v>
      </c>
      <c r="V118" s="1920">
        <f ca="1"/>
        <v>0</v>
      </c>
      <c r="W118" s="1920">
        <f ca="1"/>
        <v>0</v>
      </c>
      <c r="X118" s="1920">
        <f ca="1"/>
        <v>0</v>
      </c>
      <c r="Y118" s="1937">
        <f ca="1"/>
        <v>0</v>
      </c>
    </row>
    <row r="119" spans="1:26">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0">
        <f t="array" aca="1" ref="R119:R123" ca="1">'DC Distr 1'!F119:F123</f>
        <v>0</v>
      </c>
      <c r="S119" s="1920">
        <f ca="1"/>
        <v>0</v>
      </c>
      <c r="T119" s="1920">
        <f ca="1"/>
        <v>0</v>
      </c>
      <c r="U119" s="1920">
        <f ca="1"/>
        <v>0</v>
      </c>
      <c r="V119" s="1920">
        <f ca="1"/>
        <v>0</v>
      </c>
      <c r="W119" s="1920">
        <f ca="1"/>
        <v>0</v>
      </c>
      <c r="X119" s="1920">
        <f ca="1"/>
        <v>0</v>
      </c>
      <c r="Y119" s="1937">
        <f ca="1"/>
        <v>0</v>
      </c>
    </row>
    <row r="120" spans="1:26">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0">
        <f t="array" aca="1" ref="Q120:Q123" ca="1">'DC Distr 1'!E120:F123</f>
        <v>0</v>
      </c>
      <c r="R120" s="1920">
        <f ca="1"/>
        <v>0</v>
      </c>
      <c r="S120" s="1920">
        <f ca="1"/>
        <v>0</v>
      </c>
      <c r="T120" s="1920">
        <f ca="1"/>
        <v>0</v>
      </c>
      <c r="U120" s="1920">
        <f ca="1"/>
        <v>0</v>
      </c>
      <c r="V120" s="1920">
        <f ca="1"/>
        <v>0</v>
      </c>
      <c r="W120" s="1920">
        <f ca="1"/>
        <v>0</v>
      </c>
      <c r="X120" s="1920">
        <f ca="1"/>
        <v>0</v>
      </c>
      <c r="Y120" s="1937">
        <f ca="1"/>
        <v>0</v>
      </c>
    </row>
    <row r="121" spans="1:26">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0">
        <f t="array" aca="1" ref="P121:P123" ca="1">'DC Distr 1'!D121:D123</f>
        <v>0</v>
      </c>
      <c r="Q121" s="1920">
        <f ca="1"/>
        <v>0</v>
      </c>
      <c r="R121" s="1920">
        <f ca="1"/>
        <v>0</v>
      </c>
      <c r="S121" s="1920">
        <f ca="1"/>
        <v>0</v>
      </c>
      <c r="T121" s="1920">
        <f ca="1"/>
        <v>0</v>
      </c>
      <c r="U121" s="1920">
        <f ca="1"/>
        <v>0</v>
      </c>
      <c r="V121" s="1920">
        <f ca="1"/>
        <v>0</v>
      </c>
      <c r="W121" s="1920">
        <f ca="1"/>
        <v>0</v>
      </c>
      <c r="X121" s="1920">
        <f ca="1"/>
        <v>0</v>
      </c>
      <c r="Y121" s="1937">
        <f ca="1"/>
        <v>0</v>
      </c>
    </row>
    <row r="122" spans="1:26">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0">
        <f t="array" aca="1" ref="O122:O123" ca="1">'DC Distr 1'!C122:C123</f>
        <v>0</v>
      </c>
      <c r="P122" s="1920">
        <f ca="1"/>
        <v>0</v>
      </c>
      <c r="Q122" s="1920">
        <f ca="1"/>
        <v>0</v>
      </c>
      <c r="R122" s="1920">
        <f ca="1"/>
        <v>0</v>
      </c>
      <c r="S122" s="1920">
        <f ca="1"/>
        <v>0</v>
      </c>
      <c r="T122" s="1920">
        <f ca="1"/>
        <v>0</v>
      </c>
      <c r="U122" s="1920">
        <f ca="1"/>
        <v>0</v>
      </c>
      <c r="V122" s="1920">
        <f ca="1"/>
        <v>0</v>
      </c>
      <c r="W122" s="1920">
        <f ca="1"/>
        <v>0</v>
      </c>
      <c r="X122" s="1920">
        <f ca="1"/>
        <v>0</v>
      </c>
      <c r="Y122" s="1937">
        <f ca="1"/>
        <v>0</v>
      </c>
    </row>
    <row r="123" spans="1:26"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f ca="1">'DC Distr 1'!B123</f>
        <v>0</v>
      </c>
      <c r="O123" s="1920">
        <f ca="1"/>
        <v>0</v>
      </c>
      <c r="P123" s="1920">
        <f ca="1"/>
        <v>0</v>
      </c>
      <c r="Q123" s="1920">
        <f ca="1"/>
        <v>0</v>
      </c>
      <c r="R123" s="1920">
        <f ca="1"/>
        <v>0</v>
      </c>
      <c r="S123" s="1920">
        <f ca="1"/>
        <v>0</v>
      </c>
      <c r="T123" s="1920">
        <f ca="1"/>
        <v>0</v>
      </c>
      <c r="U123" s="1920">
        <f ca="1"/>
        <v>0</v>
      </c>
      <c r="V123" s="1920">
        <f ca="1"/>
        <v>0</v>
      </c>
      <c r="W123" s="1920">
        <f ca="1"/>
        <v>0</v>
      </c>
      <c r="X123" s="1920">
        <f ca="1"/>
        <v>0</v>
      </c>
      <c r="Y123" s="1937">
        <f ca="1"/>
        <v>0</v>
      </c>
    </row>
    <row r="124" spans="1:26"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20</v>
      </c>
      <c r="O124" s="587">
        <f t="shared" ca="1" si="10"/>
        <v>27.272727272727277</v>
      </c>
      <c r="P124" s="587">
        <f t="shared" ca="1" si="10"/>
        <v>34.545454545454554</v>
      </c>
      <c r="Q124" s="587">
        <f t="shared" ca="1" si="10"/>
        <v>41.81818181818182</v>
      </c>
      <c r="R124" s="587">
        <f t="shared" ca="1" si="10"/>
        <v>49.090909090909093</v>
      </c>
      <c r="S124" s="587">
        <f t="shared" ca="1" si="10"/>
        <v>56.363636363636367</v>
      </c>
      <c r="T124" s="587">
        <f t="shared" ca="1" si="10"/>
        <v>63.63636363636364</v>
      </c>
      <c r="U124" s="587">
        <f t="shared" ca="1" si="10"/>
        <v>70.909090909090907</v>
      </c>
      <c r="V124" s="587">
        <f t="shared" ca="1" si="10"/>
        <v>78.181818181818187</v>
      </c>
      <c r="W124" s="587">
        <f t="shared" ca="1" si="10"/>
        <v>85.454545454545453</v>
      </c>
      <c r="X124" s="587">
        <f t="shared" ca="1" si="10"/>
        <v>92.727272727272734</v>
      </c>
      <c r="Y124" s="1935">
        <f t="shared" ca="1" si="10"/>
        <v>100</v>
      </c>
    </row>
    <row r="125" spans="1:26"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4.2</v>
      </c>
      <c r="O125" s="587">
        <f ca="1"/>
        <v>5.7272727272727275</v>
      </c>
      <c r="P125" s="587">
        <f ca="1"/>
        <v>7.2545454545454557</v>
      </c>
      <c r="Q125" s="587">
        <f ca="1"/>
        <v>8.7818181818181813</v>
      </c>
      <c r="R125" s="587">
        <f ca="1"/>
        <v>10.309090909090909</v>
      </c>
      <c r="S125" s="587">
        <f ca="1"/>
        <v>11.836363636363636</v>
      </c>
      <c r="T125" s="587">
        <f ca="1"/>
        <v>13.363636363636363</v>
      </c>
      <c r="U125" s="587">
        <f ca="1"/>
        <v>14.890909090909091</v>
      </c>
      <c r="V125" s="587">
        <f ca="1"/>
        <v>16.418181818181818</v>
      </c>
      <c r="W125" s="587">
        <f ca="1"/>
        <v>17.945454545454545</v>
      </c>
      <c r="X125" s="587">
        <f ca="1"/>
        <v>19.472727272727273</v>
      </c>
      <c r="Y125" s="1935">
        <f ca="1"/>
        <v>21</v>
      </c>
    </row>
    <row r="127" spans="1:26" ht="18.75" thickBot="1">
      <c r="A127" s="1921" t="str">
        <f>"Monthly Purchases / Production costs for "&amp;A$9</f>
        <v xml:space="preserve">Monthly Purchases / Production costs for </v>
      </c>
      <c r="I127" s="1921" t="str">
        <f>I$18</f>
        <v>VAT NOT included</v>
      </c>
      <c r="K127" s="1932">
        <f>Parameters!$F$25</f>
        <v>0.21</v>
      </c>
    </row>
    <row r="128" spans="1:26" s="440" customFormat="1" ht="30" customHeight="1" thickBot="1">
      <c r="A128" s="441" t="str">
        <f t="array" ref="A128:A141">A$110:A$123</f>
        <v>Months before sale</v>
      </c>
      <c r="B128" s="1938" t="str">
        <f t="array" ref="B128:Y128">B$71:Y$71</f>
        <v>January
2025</v>
      </c>
      <c r="C128" s="1938" t="str">
        <v>February
2025</v>
      </c>
      <c r="D128" s="1938" t="str">
        <v>March
2025</v>
      </c>
      <c r="E128" s="1938" t="str">
        <v>April
2025</v>
      </c>
      <c r="F128" s="1938" t="str">
        <v>May
2025</v>
      </c>
      <c r="G128" s="1938" t="str">
        <v>June
2025</v>
      </c>
      <c r="H128" s="1938" t="str">
        <v>July
2025</v>
      </c>
      <c r="I128" s="1938" t="str">
        <v>August
2025</v>
      </c>
      <c r="J128" s="1938" t="str">
        <v>September
2025</v>
      </c>
      <c r="K128" s="1938" t="str">
        <v>October
2025</v>
      </c>
      <c r="L128" s="1938" t="str">
        <v>November
2025</v>
      </c>
      <c r="M128" s="1938" t="str">
        <v>December
2025</v>
      </c>
      <c r="N128" s="2721" t="str">
        <v>January 
2026</v>
      </c>
      <c r="O128" s="2722" t="str">
        <v>February 
2026</v>
      </c>
      <c r="P128" s="2722" t="str">
        <v>March 
2026</v>
      </c>
      <c r="Q128" s="2722" t="str">
        <v>April 
2026</v>
      </c>
      <c r="R128" s="2722" t="str">
        <v>May 
2026</v>
      </c>
      <c r="S128" s="2722" t="str">
        <v>June 
2026</v>
      </c>
      <c r="T128" s="2722" t="str">
        <v>July 
2026</v>
      </c>
      <c r="U128" s="2722" t="str">
        <v>August 
2026</v>
      </c>
      <c r="V128" s="2722" t="str">
        <v>September 
2026</v>
      </c>
      <c r="W128" s="2722" t="str">
        <v>October 
2026</v>
      </c>
      <c r="X128" s="2722" t="str">
        <v>November 
2026</v>
      </c>
      <c r="Y128" s="2723" t="str">
        <v>December 
2026</v>
      </c>
      <c r="Z128" s="61"/>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f t="array" aca="1" ref="Y130:Y141" ca="1">'DC Distr 1'!M130:M141</f>
        <v>0</v>
      </c>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6">
        <f t="array" aca="1" ref="X131:X141" ca="1">'DC Distr 1'!L131:L141</f>
        <v>0</v>
      </c>
      <c r="Y131" s="1934">
        <f ca="1"/>
        <v>0</v>
      </c>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6">
        <f t="array" aca="1" ref="W132:W141" ca="1">'DC Distr 1'!K132:K141</f>
        <v>0</v>
      </c>
      <c r="X132" s="1916">
        <f ca="1"/>
        <v>0</v>
      </c>
      <c r="Y132" s="1934">
        <f ca="1"/>
        <v>0</v>
      </c>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6">
        <f t="array" aca="1" ref="V133:V141" ca="1">'DC Distr 1'!J133:J141</f>
        <v>0</v>
      </c>
      <c r="W133" s="1916">
        <f ca="1"/>
        <v>0</v>
      </c>
      <c r="X133" s="1916">
        <f ca="1"/>
        <v>0</v>
      </c>
      <c r="Y133" s="1934">
        <f ca="1"/>
        <v>0</v>
      </c>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6">
        <f t="array" aca="1" ref="U134:U141" ca="1">'DC Distr 1'!I134:I141</f>
        <v>0</v>
      </c>
      <c r="V134" s="1916">
        <f ca="1"/>
        <v>0</v>
      </c>
      <c r="W134" s="1916">
        <f ca="1"/>
        <v>0</v>
      </c>
      <c r="X134" s="1916">
        <f ca="1"/>
        <v>0</v>
      </c>
      <c r="Y134" s="1934">
        <f ca="1"/>
        <v>0</v>
      </c>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6">
        <f t="array" aca="1" ref="T135:T141" ca="1">'DC Distr 1'!H135:H141</f>
        <v>0</v>
      </c>
      <c r="U135" s="1916">
        <f ca="1"/>
        <v>0</v>
      </c>
      <c r="V135" s="1916">
        <f ca="1"/>
        <v>0</v>
      </c>
      <c r="W135" s="1916">
        <f ca="1"/>
        <v>0</v>
      </c>
      <c r="X135" s="1916">
        <f ca="1"/>
        <v>0</v>
      </c>
      <c r="Y135" s="1934">
        <f ca="1"/>
        <v>0</v>
      </c>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0">
        <f t="array" aca="1" ref="S136:S141" ca="1">'DC Distr 1'!G136:G141</f>
        <v>0</v>
      </c>
      <c r="T136" s="1920">
        <f ca="1"/>
        <v>0</v>
      </c>
      <c r="U136" s="1920">
        <f ca="1"/>
        <v>0</v>
      </c>
      <c r="V136" s="1920">
        <f ca="1"/>
        <v>0</v>
      </c>
      <c r="W136" s="1920">
        <f ca="1"/>
        <v>0</v>
      </c>
      <c r="X136" s="1920">
        <f ca="1"/>
        <v>0</v>
      </c>
      <c r="Y136" s="1937">
        <f ca="1"/>
        <v>0</v>
      </c>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0">
        <f t="array" aca="1" ref="R137:R141" ca="1">'DC Distr 1'!F137:F141</f>
        <v>0</v>
      </c>
      <c r="S137" s="1920">
        <f ca="1"/>
        <v>0</v>
      </c>
      <c r="T137" s="1920">
        <f ca="1"/>
        <v>0</v>
      </c>
      <c r="U137" s="1920">
        <f ca="1"/>
        <v>0</v>
      </c>
      <c r="V137" s="1920">
        <f ca="1"/>
        <v>0</v>
      </c>
      <c r="W137" s="1920">
        <f ca="1"/>
        <v>0</v>
      </c>
      <c r="X137" s="1920">
        <f ca="1"/>
        <v>0</v>
      </c>
      <c r="Y137" s="1937">
        <f ca="1"/>
        <v>0</v>
      </c>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0">
        <f t="array" aca="1" ref="Q138:Q141" ca="1">'DC Distr 1'!E138:F141</f>
        <v>0</v>
      </c>
      <c r="R138" s="1920">
        <f ca="1"/>
        <v>0</v>
      </c>
      <c r="S138" s="1920">
        <f ca="1"/>
        <v>0</v>
      </c>
      <c r="T138" s="1920">
        <f ca="1"/>
        <v>0</v>
      </c>
      <c r="U138" s="1920">
        <f ca="1"/>
        <v>0</v>
      </c>
      <c r="V138" s="1920">
        <f ca="1"/>
        <v>0</v>
      </c>
      <c r="W138" s="1920">
        <f ca="1"/>
        <v>0</v>
      </c>
      <c r="X138" s="1920">
        <f ca="1"/>
        <v>0</v>
      </c>
      <c r="Y138" s="1937">
        <f ca="1"/>
        <v>0</v>
      </c>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0">
        <f t="array" aca="1" ref="P139:P141" ca="1">'DC Distr 1'!D139:D141</f>
        <v>0</v>
      </c>
      <c r="Q139" s="1920">
        <f ca="1"/>
        <v>0</v>
      </c>
      <c r="R139" s="1920">
        <f ca="1"/>
        <v>0</v>
      </c>
      <c r="S139" s="1920">
        <f ca="1"/>
        <v>0</v>
      </c>
      <c r="T139" s="1920">
        <f ca="1"/>
        <v>0</v>
      </c>
      <c r="U139" s="1920">
        <f ca="1"/>
        <v>0</v>
      </c>
      <c r="V139" s="1920">
        <f ca="1"/>
        <v>0</v>
      </c>
      <c r="W139" s="1920">
        <f ca="1"/>
        <v>0</v>
      </c>
      <c r="X139" s="1920">
        <f ca="1"/>
        <v>0</v>
      </c>
      <c r="Y139" s="1937">
        <f ca="1"/>
        <v>0</v>
      </c>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0">
        <f t="array" aca="1" ref="O140:O141" ca="1">'DC Distr 1'!C140:C141</f>
        <v>0</v>
      </c>
      <c r="P140" s="1920">
        <f ca="1"/>
        <v>0</v>
      </c>
      <c r="Q140" s="1920">
        <f ca="1"/>
        <v>0</v>
      </c>
      <c r="R140" s="1920">
        <f ca="1"/>
        <v>0</v>
      </c>
      <c r="S140" s="1920">
        <f ca="1"/>
        <v>0</v>
      </c>
      <c r="T140" s="1920">
        <f ca="1"/>
        <v>0</v>
      </c>
      <c r="U140" s="1920">
        <f ca="1"/>
        <v>0</v>
      </c>
      <c r="V140" s="1920">
        <f ca="1"/>
        <v>0</v>
      </c>
      <c r="W140" s="1920">
        <f ca="1"/>
        <v>0</v>
      </c>
      <c r="X140" s="1920">
        <f ca="1"/>
        <v>0</v>
      </c>
      <c r="Y140" s="1937">
        <f ca="1"/>
        <v>0</v>
      </c>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f ca="1">'DC Distr 1'!B141</f>
        <v>0</v>
      </c>
      <c r="O141" s="1920">
        <f ca="1"/>
        <v>0</v>
      </c>
      <c r="P141" s="1920">
        <f ca="1"/>
        <v>0</v>
      </c>
      <c r="Q141" s="1920">
        <f ca="1"/>
        <v>0</v>
      </c>
      <c r="R141" s="1920">
        <f ca="1"/>
        <v>0</v>
      </c>
      <c r="S141" s="1920">
        <f ca="1"/>
        <v>0</v>
      </c>
      <c r="T141" s="1920">
        <f ca="1"/>
        <v>0</v>
      </c>
      <c r="U141" s="1920">
        <f ca="1"/>
        <v>0</v>
      </c>
      <c r="V141" s="1920">
        <f ca="1"/>
        <v>0</v>
      </c>
      <c r="W141" s="1920">
        <f ca="1"/>
        <v>0</v>
      </c>
      <c r="X141" s="1920">
        <f ca="1"/>
        <v>0</v>
      </c>
      <c r="Y141" s="1937">
        <f ca="1"/>
        <v>0</v>
      </c>
    </row>
    <row r="142" spans="1:25" ht="15.75" customHeight="1"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5">
        <f t="shared" ca="1" si="11"/>
        <v>0</v>
      </c>
    </row>
    <row r="143" spans="1:25" ht="15.75" customHeight="1"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6" ht="18.75" thickBot="1">
      <c r="A145" s="1921" t="str">
        <f>"Monthly Purchases / Production costs for "&amp;A$10</f>
        <v xml:space="preserve">Monthly Purchases / Production costs for </v>
      </c>
      <c r="I145" s="1921" t="str">
        <f>I$18</f>
        <v>VAT NOT included</v>
      </c>
      <c r="K145" s="1932">
        <f>Parameters!$F$26</f>
        <v>0.21</v>
      </c>
    </row>
    <row r="146" spans="1:26" s="440" customFormat="1" ht="30" customHeight="1" thickBot="1">
      <c r="A146" s="441" t="str">
        <f t="array" ref="A146:A159">A$110:A$123</f>
        <v>Months before sale</v>
      </c>
      <c r="B146" s="1938" t="str">
        <f t="array" ref="B146:Y146">B$71:Y$71</f>
        <v>January
2025</v>
      </c>
      <c r="C146" s="1938" t="str">
        <v>February
2025</v>
      </c>
      <c r="D146" s="1938" t="str">
        <v>March
2025</v>
      </c>
      <c r="E146" s="1938" t="str">
        <v>April
2025</v>
      </c>
      <c r="F146" s="1938" t="str">
        <v>May
2025</v>
      </c>
      <c r="G146" s="1938" t="str">
        <v>June
2025</v>
      </c>
      <c r="H146" s="1938" t="str">
        <v>July
2025</v>
      </c>
      <c r="I146" s="1938" t="str">
        <v>August
2025</v>
      </c>
      <c r="J146" s="1938" t="str">
        <v>September
2025</v>
      </c>
      <c r="K146" s="1938" t="str">
        <v>October
2025</v>
      </c>
      <c r="L146" s="1938" t="str">
        <v>November
2025</v>
      </c>
      <c r="M146" s="1938" t="str">
        <v>December
2025</v>
      </c>
      <c r="N146" s="2721" t="str">
        <v>January 
2026</v>
      </c>
      <c r="O146" s="2722" t="str">
        <v>February 
2026</v>
      </c>
      <c r="P146" s="2722" t="str">
        <v>March 
2026</v>
      </c>
      <c r="Q146" s="2722" t="str">
        <v>April 
2026</v>
      </c>
      <c r="R146" s="2722" t="str">
        <v>May 
2026</v>
      </c>
      <c r="S146" s="2722" t="str">
        <v>June 
2026</v>
      </c>
      <c r="T146" s="2722" t="str">
        <v>July 
2026</v>
      </c>
      <c r="U146" s="2722" t="str">
        <v>August 
2026</v>
      </c>
      <c r="V146" s="2722" t="str">
        <v>September 
2026</v>
      </c>
      <c r="W146" s="2722" t="str">
        <v>October 
2026</v>
      </c>
      <c r="X146" s="2722" t="str">
        <v>November 
2026</v>
      </c>
      <c r="Y146" s="2723" t="str">
        <v>December 
2026</v>
      </c>
      <c r="Z146" s="61"/>
    </row>
    <row r="147" spans="1:26">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6">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f t="array" aca="1" ref="Y148:Y159" ca="1">'DC Distr 1'!M148:M159</f>
        <v>0</v>
      </c>
    </row>
    <row r="149" spans="1:26">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6">
        <f t="array" aca="1" ref="X149:X159" ca="1">'DC Distr 1'!L149:L159</f>
        <v>0</v>
      </c>
      <c r="Y149" s="1934">
        <f ca="1"/>
        <v>0</v>
      </c>
    </row>
    <row r="150" spans="1:26">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6">
        <f t="array" aca="1" ref="W150:W159" ca="1">'DC Distr 1'!K150:K159</f>
        <v>0</v>
      </c>
      <c r="X150" s="1916">
        <f ca="1"/>
        <v>0</v>
      </c>
      <c r="Y150" s="1934">
        <f ca="1"/>
        <v>0</v>
      </c>
    </row>
    <row r="151" spans="1:26">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6">
        <f t="array" aca="1" ref="V151:V159" ca="1">'DC Distr 1'!J151:J159</f>
        <v>0</v>
      </c>
      <c r="W151" s="1916">
        <f ca="1"/>
        <v>0</v>
      </c>
      <c r="X151" s="1916">
        <f ca="1"/>
        <v>0</v>
      </c>
      <c r="Y151" s="1934">
        <f ca="1"/>
        <v>0</v>
      </c>
    </row>
    <row r="152" spans="1:26">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6">
        <f t="array" aca="1" ref="U152:U159" ca="1">'DC Distr 1'!I152:I159</f>
        <v>0</v>
      </c>
      <c r="V152" s="1916">
        <f ca="1"/>
        <v>0</v>
      </c>
      <c r="W152" s="1916">
        <f ca="1"/>
        <v>0</v>
      </c>
      <c r="X152" s="1916">
        <f ca="1"/>
        <v>0</v>
      </c>
      <c r="Y152" s="1934">
        <f ca="1"/>
        <v>0</v>
      </c>
    </row>
    <row r="153" spans="1:26">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6">
        <f t="array" aca="1" ref="T153:T159" ca="1">'DC Distr 1'!H153:H159</f>
        <v>0</v>
      </c>
      <c r="U153" s="1916">
        <f ca="1"/>
        <v>0</v>
      </c>
      <c r="V153" s="1916">
        <f ca="1"/>
        <v>0</v>
      </c>
      <c r="W153" s="1916">
        <f ca="1"/>
        <v>0</v>
      </c>
      <c r="X153" s="1916">
        <f ca="1"/>
        <v>0</v>
      </c>
      <c r="Y153" s="1934">
        <f ca="1"/>
        <v>0</v>
      </c>
    </row>
    <row r="154" spans="1:26">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0">
        <f t="array" aca="1" ref="S154:S159" ca="1">'DC Distr 1'!G154:G159</f>
        <v>0</v>
      </c>
      <c r="T154" s="1920">
        <f ca="1"/>
        <v>0</v>
      </c>
      <c r="U154" s="1920">
        <f ca="1"/>
        <v>0</v>
      </c>
      <c r="V154" s="1920">
        <f ca="1"/>
        <v>0</v>
      </c>
      <c r="W154" s="1920">
        <f ca="1"/>
        <v>0</v>
      </c>
      <c r="X154" s="1920">
        <f ca="1"/>
        <v>0</v>
      </c>
      <c r="Y154" s="1937">
        <f ca="1"/>
        <v>0</v>
      </c>
    </row>
    <row r="155" spans="1:26">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0">
        <f t="array" aca="1" ref="R155:R159" ca="1">'DC Distr 1'!F155:F159</f>
        <v>0</v>
      </c>
      <c r="S155" s="1920">
        <f ca="1"/>
        <v>0</v>
      </c>
      <c r="T155" s="1920">
        <f ca="1"/>
        <v>0</v>
      </c>
      <c r="U155" s="1920">
        <f ca="1"/>
        <v>0</v>
      </c>
      <c r="V155" s="1920">
        <f ca="1"/>
        <v>0</v>
      </c>
      <c r="W155" s="1920">
        <f ca="1"/>
        <v>0</v>
      </c>
      <c r="X155" s="1920">
        <f ca="1"/>
        <v>0</v>
      </c>
      <c r="Y155" s="1937">
        <f ca="1"/>
        <v>0</v>
      </c>
    </row>
    <row r="156" spans="1:26">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0">
        <f t="array" aca="1" ref="Q156:Q159" ca="1">'DC Distr 1'!E156:F159</f>
        <v>0</v>
      </c>
      <c r="R156" s="1920">
        <f ca="1"/>
        <v>0</v>
      </c>
      <c r="S156" s="1920">
        <f ca="1"/>
        <v>0</v>
      </c>
      <c r="T156" s="1920">
        <f ca="1"/>
        <v>0</v>
      </c>
      <c r="U156" s="1920">
        <f ca="1"/>
        <v>0</v>
      </c>
      <c r="V156" s="1920">
        <f ca="1"/>
        <v>0</v>
      </c>
      <c r="W156" s="1920">
        <f ca="1"/>
        <v>0</v>
      </c>
      <c r="X156" s="1920">
        <f ca="1"/>
        <v>0</v>
      </c>
      <c r="Y156" s="1937">
        <f ca="1"/>
        <v>0</v>
      </c>
    </row>
    <row r="157" spans="1:26">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0">
        <f t="array" aca="1" ref="P157:P159" ca="1">'DC Distr 1'!D157:D159</f>
        <v>0</v>
      </c>
      <c r="Q157" s="1920">
        <f ca="1"/>
        <v>0</v>
      </c>
      <c r="R157" s="1920">
        <f ca="1"/>
        <v>0</v>
      </c>
      <c r="S157" s="1920">
        <f ca="1"/>
        <v>0</v>
      </c>
      <c r="T157" s="1920">
        <f ca="1"/>
        <v>0</v>
      </c>
      <c r="U157" s="1920">
        <f ca="1"/>
        <v>0</v>
      </c>
      <c r="V157" s="1920">
        <f ca="1"/>
        <v>0</v>
      </c>
      <c r="W157" s="1920">
        <f ca="1"/>
        <v>0</v>
      </c>
      <c r="X157" s="1920">
        <f ca="1"/>
        <v>0</v>
      </c>
      <c r="Y157" s="1937">
        <f ca="1"/>
        <v>0</v>
      </c>
    </row>
    <row r="158" spans="1:26">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0">
        <f t="array" aca="1" ref="O158:O159" ca="1">'DC Distr 1'!C158:C159</f>
        <v>0</v>
      </c>
      <c r="P158" s="1920">
        <f ca="1"/>
        <v>0</v>
      </c>
      <c r="Q158" s="1920">
        <f ca="1"/>
        <v>0</v>
      </c>
      <c r="R158" s="1920">
        <f ca="1"/>
        <v>0</v>
      </c>
      <c r="S158" s="1920">
        <f ca="1"/>
        <v>0</v>
      </c>
      <c r="T158" s="1920">
        <f ca="1"/>
        <v>0</v>
      </c>
      <c r="U158" s="1920">
        <f ca="1"/>
        <v>0</v>
      </c>
      <c r="V158" s="1920">
        <f ca="1"/>
        <v>0</v>
      </c>
      <c r="W158" s="1920">
        <f ca="1"/>
        <v>0</v>
      </c>
      <c r="X158" s="1920">
        <f ca="1"/>
        <v>0</v>
      </c>
      <c r="Y158" s="1937">
        <f ca="1"/>
        <v>0</v>
      </c>
    </row>
    <row r="159" spans="1:26"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f ca="1">'DC Distr 1'!B159</f>
        <v>0</v>
      </c>
      <c r="O159" s="1920">
        <f ca="1"/>
        <v>0</v>
      </c>
      <c r="P159" s="1920">
        <f ca="1"/>
        <v>0</v>
      </c>
      <c r="Q159" s="1920">
        <f ca="1"/>
        <v>0</v>
      </c>
      <c r="R159" s="1920">
        <f ca="1"/>
        <v>0</v>
      </c>
      <c r="S159" s="1920">
        <f ca="1"/>
        <v>0</v>
      </c>
      <c r="T159" s="1920">
        <f ca="1"/>
        <v>0</v>
      </c>
      <c r="U159" s="1920">
        <f ca="1"/>
        <v>0</v>
      </c>
      <c r="V159" s="1920">
        <f ca="1"/>
        <v>0</v>
      </c>
      <c r="W159" s="1920">
        <f ca="1"/>
        <v>0</v>
      </c>
      <c r="X159" s="1920">
        <f ca="1"/>
        <v>0</v>
      </c>
      <c r="Y159" s="1937">
        <f ca="1"/>
        <v>0</v>
      </c>
    </row>
    <row r="160" spans="1:26" ht="15.75" customHeight="1"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5">
        <f t="shared" ca="1" si="12"/>
        <v>0</v>
      </c>
    </row>
    <row r="161" spans="1:26" ht="15.75" customHeight="1"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6" ht="18.75" thickBot="1">
      <c r="A163" s="1921" t="str">
        <f>"Monthly Purchases / Production costs for "&amp;A$11</f>
        <v xml:space="preserve">Monthly Purchases / Production costs for </v>
      </c>
      <c r="I163" s="1921" t="str">
        <f>I$18</f>
        <v>VAT NOT included</v>
      </c>
      <c r="K163" s="1932">
        <f>Parameters!$F$27</f>
        <v>0.21</v>
      </c>
    </row>
    <row r="164" spans="1:26" s="440" customFormat="1" ht="30" customHeight="1" thickBot="1">
      <c r="A164" s="441" t="str">
        <f t="array" ref="A164:A177">A$110:A$123</f>
        <v>Months before sale</v>
      </c>
      <c r="B164" s="1938" t="str">
        <f t="array" ref="B164:Y164">B$71:Y$71</f>
        <v>January
2025</v>
      </c>
      <c r="C164" s="1938" t="str">
        <v>February
2025</v>
      </c>
      <c r="D164" s="1938" t="str">
        <v>March
2025</v>
      </c>
      <c r="E164" s="1938" t="str">
        <v>April
2025</v>
      </c>
      <c r="F164" s="1938" t="str">
        <v>May
2025</v>
      </c>
      <c r="G164" s="1938" t="str">
        <v>June
2025</v>
      </c>
      <c r="H164" s="1938" t="str">
        <v>July
2025</v>
      </c>
      <c r="I164" s="1938" t="str">
        <v>August
2025</v>
      </c>
      <c r="J164" s="1938" t="str">
        <v>September
2025</v>
      </c>
      <c r="K164" s="1938" t="str">
        <v>October
2025</v>
      </c>
      <c r="L164" s="1938" t="str">
        <v>November
2025</v>
      </c>
      <c r="M164" s="1938" t="str">
        <v>December
2025</v>
      </c>
      <c r="N164" s="2721" t="str">
        <v>January 
2026</v>
      </c>
      <c r="O164" s="2722" t="str">
        <v>February 
2026</v>
      </c>
      <c r="P164" s="2722" t="str">
        <v>March 
2026</v>
      </c>
      <c r="Q164" s="2722" t="str">
        <v>April 
2026</v>
      </c>
      <c r="R164" s="2722" t="str">
        <v>May 
2026</v>
      </c>
      <c r="S164" s="2722" t="str">
        <v>June 
2026</v>
      </c>
      <c r="T164" s="2722" t="str">
        <v>July 
2026</v>
      </c>
      <c r="U164" s="2722" t="str">
        <v>August 
2026</v>
      </c>
      <c r="V164" s="2722" t="str">
        <v>September 
2026</v>
      </c>
      <c r="W164" s="2722" t="str">
        <v>October 
2026</v>
      </c>
      <c r="X164" s="2722" t="str">
        <v>November 
2026</v>
      </c>
      <c r="Y164" s="2723" t="str">
        <v>December 
2026</v>
      </c>
      <c r="Z164" s="61"/>
    </row>
    <row r="165" spans="1:26">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6">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f t="array" aca="1" ref="Y166:Y177" ca="1">'DC Distr 1'!M166:M177</f>
        <v>0</v>
      </c>
    </row>
    <row r="167" spans="1:26">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6">
        <f t="array" aca="1" ref="X167:X177" ca="1">'DC Distr 1'!L167:L177</f>
        <v>0</v>
      </c>
      <c r="Y167" s="1934">
        <f ca="1"/>
        <v>0</v>
      </c>
    </row>
    <row r="168" spans="1:26">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6">
        <f t="array" aca="1" ref="W168:W177" ca="1">'DC Distr 1'!K168:K177</f>
        <v>0</v>
      </c>
      <c r="X168" s="1916">
        <f ca="1"/>
        <v>0</v>
      </c>
      <c r="Y168" s="1934">
        <f ca="1"/>
        <v>0</v>
      </c>
    </row>
    <row r="169" spans="1:26">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6">
        <f t="array" aca="1" ref="V169:V177" ca="1">'DC Distr 1'!J169:J177</f>
        <v>0</v>
      </c>
      <c r="W169" s="1916">
        <f ca="1"/>
        <v>0</v>
      </c>
      <c r="X169" s="1916">
        <f ca="1"/>
        <v>0</v>
      </c>
      <c r="Y169" s="1934">
        <f ca="1"/>
        <v>0</v>
      </c>
    </row>
    <row r="170" spans="1:26">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6">
        <f t="array" aca="1" ref="U170:U177" ca="1">'DC Distr 1'!I170:I177</f>
        <v>0</v>
      </c>
      <c r="V170" s="1916">
        <f ca="1"/>
        <v>0</v>
      </c>
      <c r="W170" s="1916">
        <f ca="1"/>
        <v>0</v>
      </c>
      <c r="X170" s="1916">
        <f ca="1"/>
        <v>0</v>
      </c>
      <c r="Y170" s="1934">
        <f ca="1"/>
        <v>0</v>
      </c>
    </row>
    <row r="171" spans="1:26">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6">
        <f t="array" aca="1" ref="T171:T177" ca="1">'DC Distr 1'!H171:H177</f>
        <v>0</v>
      </c>
      <c r="U171" s="1916">
        <f ca="1"/>
        <v>0</v>
      </c>
      <c r="V171" s="1916">
        <f ca="1"/>
        <v>0</v>
      </c>
      <c r="W171" s="1916">
        <f ca="1"/>
        <v>0</v>
      </c>
      <c r="X171" s="1916">
        <f ca="1"/>
        <v>0</v>
      </c>
      <c r="Y171" s="1934">
        <f ca="1"/>
        <v>0</v>
      </c>
    </row>
    <row r="172" spans="1:26">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0">
        <f t="array" aca="1" ref="S172:S177" ca="1">'DC Distr 1'!G172:G177</f>
        <v>0</v>
      </c>
      <c r="T172" s="1920">
        <f ca="1"/>
        <v>0</v>
      </c>
      <c r="U172" s="1920">
        <f ca="1"/>
        <v>0</v>
      </c>
      <c r="V172" s="1920">
        <f ca="1"/>
        <v>0</v>
      </c>
      <c r="W172" s="1920">
        <f ca="1"/>
        <v>0</v>
      </c>
      <c r="X172" s="1920">
        <f ca="1"/>
        <v>0</v>
      </c>
      <c r="Y172" s="1937">
        <f ca="1"/>
        <v>0</v>
      </c>
    </row>
    <row r="173" spans="1:26">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0">
        <f t="array" aca="1" ref="R173:R177" ca="1">'DC Distr 1'!F173:F177</f>
        <v>0</v>
      </c>
      <c r="S173" s="1920">
        <f ca="1"/>
        <v>0</v>
      </c>
      <c r="T173" s="1920">
        <f ca="1"/>
        <v>0</v>
      </c>
      <c r="U173" s="1920">
        <f ca="1"/>
        <v>0</v>
      </c>
      <c r="V173" s="1920">
        <f ca="1"/>
        <v>0</v>
      </c>
      <c r="W173" s="1920">
        <f ca="1"/>
        <v>0</v>
      </c>
      <c r="X173" s="1920">
        <f ca="1"/>
        <v>0</v>
      </c>
      <c r="Y173" s="1937">
        <f ca="1"/>
        <v>0</v>
      </c>
    </row>
    <row r="174" spans="1:26">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0">
        <f t="array" aca="1" ref="Q174:Q177" ca="1">'DC Distr 1'!E174:F177</f>
        <v>0</v>
      </c>
      <c r="R174" s="1920">
        <f ca="1"/>
        <v>0</v>
      </c>
      <c r="S174" s="1920">
        <f ca="1"/>
        <v>0</v>
      </c>
      <c r="T174" s="1920">
        <f ca="1"/>
        <v>0</v>
      </c>
      <c r="U174" s="1920">
        <f ca="1"/>
        <v>0</v>
      </c>
      <c r="V174" s="1920">
        <f ca="1"/>
        <v>0</v>
      </c>
      <c r="W174" s="1920">
        <f ca="1"/>
        <v>0</v>
      </c>
      <c r="X174" s="1920">
        <f ca="1"/>
        <v>0</v>
      </c>
      <c r="Y174" s="1937">
        <f ca="1"/>
        <v>0</v>
      </c>
    </row>
    <row r="175" spans="1:26">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0">
        <f t="array" aca="1" ref="P175:P177" ca="1">'DC Distr 1'!D175:D177</f>
        <v>0</v>
      </c>
      <c r="Q175" s="1920">
        <f ca="1"/>
        <v>0</v>
      </c>
      <c r="R175" s="1920">
        <f ca="1"/>
        <v>0</v>
      </c>
      <c r="S175" s="1920">
        <f ca="1"/>
        <v>0</v>
      </c>
      <c r="T175" s="1920">
        <f ca="1"/>
        <v>0</v>
      </c>
      <c r="U175" s="1920">
        <f ca="1"/>
        <v>0</v>
      </c>
      <c r="V175" s="1920">
        <f ca="1"/>
        <v>0</v>
      </c>
      <c r="W175" s="1920">
        <f ca="1"/>
        <v>0</v>
      </c>
      <c r="X175" s="1920">
        <f ca="1"/>
        <v>0</v>
      </c>
      <c r="Y175" s="1937">
        <f ca="1"/>
        <v>0</v>
      </c>
    </row>
    <row r="176" spans="1:26">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0">
        <f t="array" aca="1" ref="O176:O177" ca="1">'DC Distr 1'!C176:C177</f>
        <v>0</v>
      </c>
      <c r="P176" s="1920">
        <f ca="1"/>
        <v>0</v>
      </c>
      <c r="Q176" s="1920">
        <f ca="1"/>
        <v>0</v>
      </c>
      <c r="R176" s="1920">
        <f ca="1"/>
        <v>0</v>
      </c>
      <c r="S176" s="1920">
        <f ca="1"/>
        <v>0</v>
      </c>
      <c r="T176" s="1920">
        <f ca="1"/>
        <v>0</v>
      </c>
      <c r="U176" s="1920">
        <f ca="1"/>
        <v>0</v>
      </c>
      <c r="V176" s="1920">
        <f ca="1"/>
        <v>0</v>
      </c>
      <c r="W176" s="1920">
        <f ca="1"/>
        <v>0</v>
      </c>
      <c r="X176" s="1920">
        <f ca="1"/>
        <v>0</v>
      </c>
      <c r="Y176" s="1937">
        <f ca="1"/>
        <v>0</v>
      </c>
    </row>
    <row r="177" spans="1:26"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f ca="1">'DC Distr 1'!B177</f>
        <v>0</v>
      </c>
      <c r="O177" s="1920">
        <f ca="1"/>
        <v>0</v>
      </c>
      <c r="P177" s="1920">
        <f ca="1"/>
        <v>0</v>
      </c>
      <c r="Q177" s="1920">
        <f ca="1"/>
        <v>0</v>
      </c>
      <c r="R177" s="1920">
        <f ca="1"/>
        <v>0</v>
      </c>
      <c r="S177" s="1920">
        <f ca="1"/>
        <v>0</v>
      </c>
      <c r="T177" s="1920">
        <f ca="1"/>
        <v>0</v>
      </c>
      <c r="U177" s="1920">
        <f ca="1"/>
        <v>0</v>
      </c>
      <c r="V177" s="1920">
        <f ca="1"/>
        <v>0</v>
      </c>
      <c r="W177" s="1920">
        <f ca="1"/>
        <v>0</v>
      </c>
      <c r="X177" s="1920">
        <f ca="1"/>
        <v>0</v>
      </c>
      <c r="Y177" s="1937">
        <f ca="1"/>
        <v>0</v>
      </c>
    </row>
    <row r="178" spans="1:26" ht="15.75" customHeight="1"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5">
        <f t="shared" ca="1" si="13"/>
        <v>0</v>
      </c>
    </row>
    <row r="179" spans="1:26" ht="15.75" customHeight="1"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6" ht="18.75" thickBot="1">
      <c r="A181" s="1921" t="str">
        <f>"Monthly Purchases / Production costs for "&amp;A$12</f>
        <v xml:space="preserve">Monthly Purchases / Production costs for </v>
      </c>
      <c r="I181" s="1921" t="str">
        <f>I$18</f>
        <v>VAT NOT included</v>
      </c>
      <c r="K181" s="1932">
        <f>Parameters!$F$28</f>
        <v>0.21</v>
      </c>
    </row>
    <row r="182" spans="1:26" s="440" customFormat="1" ht="31.5" customHeight="1" thickBot="1">
      <c r="A182" s="441" t="str">
        <f t="array" ref="A182:A195">A$110:A$123</f>
        <v>Months before sale</v>
      </c>
      <c r="B182" s="1938" t="str">
        <f t="array" ref="B182:Y182">B$71:Y$71</f>
        <v>January
2025</v>
      </c>
      <c r="C182" s="1938" t="str">
        <v>February
2025</v>
      </c>
      <c r="D182" s="1938" t="str">
        <v>March
2025</v>
      </c>
      <c r="E182" s="1938" t="str">
        <v>April
2025</v>
      </c>
      <c r="F182" s="1938" t="str">
        <v>May
2025</v>
      </c>
      <c r="G182" s="1938" t="str">
        <v>June
2025</v>
      </c>
      <c r="H182" s="1938" t="str">
        <v>July
2025</v>
      </c>
      <c r="I182" s="1938" t="str">
        <v>August
2025</v>
      </c>
      <c r="J182" s="1938" t="str">
        <v>September
2025</v>
      </c>
      <c r="K182" s="1938" t="str">
        <v>October
2025</v>
      </c>
      <c r="L182" s="1938" t="str">
        <v>November
2025</v>
      </c>
      <c r="M182" s="1938" t="str">
        <v>December
2025</v>
      </c>
      <c r="N182" s="2721" t="str">
        <v>January 
2026</v>
      </c>
      <c r="O182" s="2722" t="str">
        <v>February 
2026</v>
      </c>
      <c r="P182" s="2722" t="str">
        <v>March 
2026</v>
      </c>
      <c r="Q182" s="2722" t="str">
        <v>April 
2026</v>
      </c>
      <c r="R182" s="2722" t="str">
        <v>May 
2026</v>
      </c>
      <c r="S182" s="2722" t="str">
        <v>June 
2026</v>
      </c>
      <c r="T182" s="2722" t="str">
        <v>July 
2026</v>
      </c>
      <c r="U182" s="2722" t="str">
        <v>August 
2026</v>
      </c>
      <c r="V182" s="2722" t="str">
        <v>September 
2026</v>
      </c>
      <c r="W182" s="2722" t="str">
        <v>October 
2026</v>
      </c>
      <c r="X182" s="2722" t="str">
        <v>November 
2026</v>
      </c>
      <c r="Y182" s="2723" t="str">
        <v>December 
2026</v>
      </c>
      <c r="Z182" s="61"/>
    </row>
    <row r="183" spans="1:26">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6">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f t="array" aca="1" ref="Y184:Y195" ca="1">'DC Distr 1'!M184:M195</f>
        <v>0</v>
      </c>
    </row>
    <row r="185" spans="1:26">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6">
        <f t="array" aca="1" ref="X185:X195" ca="1">'DC Distr 1'!L185:L195</f>
        <v>0</v>
      </c>
      <c r="Y185" s="1934">
        <f ca="1"/>
        <v>0</v>
      </c>
    </row>
    <row r="186" spans="1:26">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6">
        <f t="array" aca="1" ref="W186:W195" ca="1">'DC Distr 1'!K186:K195</f>
        <v>0</v>
      </c>
      <c r="X186" s="1916">
        <f ca="1"/>
        <v>0</v>
      </c>
      <c r="Y186" s="1934">
        <f ca="1"/>
        <v>0</v>
      </c>
    </row>
    <row r="187" spans="1:26">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6">
        <f t="array" aca="1" ref="V187:V195" ca="1">'DC Distr 1'!J187:J195</f>
        <v>0</v>
      </c>
      <c r="W187" s="1916">
        <f ca="1"/>
        <v>0</v>
      </c>
      <c r="X187" s="1916">
        <f ca="1"/>
        <v>0</v>
      </c>
      <c r="Y187" s="1934">
        <f ca="1"/>
        <v>0</v>
      </c>
    </row>
    <row r="188" spans="1:26">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6">
        <f t="array" aca="1" ref="U188:U195" ca="1">'DC Distr 1'!I188:I195</f>
        <v>0</v>
      </c>
      <c r="V188" s="1916">
        <f ca="1"/>
        <v>0</v>
      </c>
      <c r="W188" s="1916">
        <f ca="1"/>
        <v>0</v>
      </c>
      <c r="X188" s="1916">
        <f ca="1"/>
        <v>0</v>
      </c>
      <c r="Y188" s="1934">
        <f ca="1"/>
        <v>0</v>
      </c>
    </row>
    <row r="189" spans="1:26">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6">
        <f t="array" aca="1" ref="T189:T195" ca="1">'DC Distr 1'!H189:H195</f>
        <v>0</v>
      </c>
      <c r="U189" s="1916">
        <f ca="1"/>
        <v>0</v>
      </c>
      <c r="V189" s="1916">
        <f ca="1"/>
        <v>0</v>
      </c>
      <c r="W189" s="1916">
        <f ca="1"/>
        <v>0</v>
      </c>
      <c r="X189" s="1916">
        <f ca="1"/>
        <v>0</v>
      </c>
      <c r="Y189" s="1934">
        <f ca="1"/>
        <v>0</v>
      </c>
    </row>
    <row r="190" spans="1:26">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0">
        <f t="array" aca="1" ref="S190:S195" ca="1">'DC Distr 1'!G190:G195</f>
        <v>0</v>
      </c>
      <c r="T190" s="1920">
        <f ca="1"/>
        <v>0</v>
      </c>
      <c r="U190" s="1920">
        <f ca="1"/>
        <v>0</v>
      </c>
      <c r="V190" s="1920">
        <f ca="1"/>
        <v>0</v>
      </c>
      <c r="W190" s="1920">
        <f ca="1"/>
        <v>0</v>
      </c>
      <c r="X190" s="1920">
        <f ca="1"/>
        <v>0</v>
      </c>
      <c r="Y190" s="1937">
        <f ca="1"/>
        <v>0</v>
      </c>
    </row>
    <row r="191" spans="1:26">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0">
        <f t="array" aca="1" ref="R191:R195" ca="1">'DC Distr 1'!F191:F195</f>
        <v>0</v>
      </c>
      <c r="S191" s="1920">
        <f ca="1"/>
        <v>0</v>
      </c>
      <c r="T191" s="1920">
        <f ca="1"/>
        <v>0</v>
      </c>
      <c r="U191" s="1920">
        <f ca="1"/>
        <v>0</v>
      </c>
      <c r="V191" s="1920">
        <f ca="1"/>
        <v>0</v>
      </c>
      <c r="W191" s="1920">
        <f ca="1"/>
        <v>0</v>
      </c>
      <c r="X191" s="1920">
        <f ca="1"/>
        <v>0</v>
      </c>
      <c r="Y191" s="1937">
        <f ca="1"/>
        <v>0</v>
      </c>
    </row>
    <row r="192" spans="1:26">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0">
        <f t="array" aca="1" ref="Q192:Q195" ca="1">'DC Distr 1'!E192:F195</f>
        <v>0</v>
      </c>
      <c r="R192" s="1920">
        <f ca="1"/>
        <v>0</v>
      </c>
      <c r="S192" s="1920">
        <f ca="1"/>
        <v>0</v>
      </c>
      <c r="T192" s="1920">
        <f ca="1"/>
        <v>0</v>
      </c>
      <c r="U192" s="1920">
        <f ca="1"/>
        <v>0</v>
      </c>
      <c r="V192" s="1920">
        <f ca="1"/>
        <v>0</v>
      </c>
      <c r="W192" s="1920">
        <f ca="1"/>
        <v>0</v>
      </c>
      <c r="X192" s="1920">
        <f ca="1"/>
        <v>0</v>
      </c>
      <c r="Y192" s="1937">
        <f ca="1"/>
        <v>0</v>
      </c>
    </row>
    <row r="193" spans="1:26">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0">
        <f t="array" aca="1" ref="P193:P195" ca="1">'DC Distr 1'!D193:D195</f>
        <v>0</v>
      </c>
      <c r="Q193" s="1920">
        <f ca="1"/>
        <v>0</v>
      </c>
      <c r="R193" s="1920">
        <f ca="1"/>
        <v>0</v>
      </c>
      <c r="S193" s="1920">
        <f ca="1"/>
        <v>0</v>
      </c>
      <c r="T193" s="1920">
        <f ca="1"/>
        <v>0</v>
      </c>
      <c r="U193" s="1920">
        <f ca="1"/>
        <v>0</v>
      </c>
      <c r="V193" s="1920">
        <f ca="1"/>
        <v>0</v>
      </c>
      <c r="W193" s="1920">
        <f ca="1"/>
        <v>0</v>
      </c>
      <c r="X193" s="1920">
        <f ca="1"/>
        <v>0</v>
      </c>
      <c r="Y193" s="1937">
        <f ca="1"/>
        <v>0</v>
      </c>
    </row>
    <row r="194" spans="1:26">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0">
        <f t="array" aca="1" ref="O194:O195" ca="1">'DC Distr 1'!C194:C195</f>
        <v>0</v>
      </c>
      <c r="P194" s="1920">
        <f ca="1"/>
        <v>0</v>
      </c>
      <c r="Q194" s="1920">
        <f ca="1"/>
        <v>0</v>
      </c>
      <c r="R194" s="1920">
        <f ca="1"/>
        <v>0</v>
      </c>
      <c r="S194" s="1920">
        <f ca="1"/>
        <v>0</v>
      </c>
      <c r="T194" s="1920">
        <f ca="1"/>
        <v>0</v>
      </c>
      <c r="U194" s="1920">
        <f ca="1"/>
        <v>0</v>
      </c>
      <c r="V194" s="1920">
        <f ca="1"/>
        <v>0</v>
      </c>
      <c r="W194" s="1920">
        <f ca="1"/>
        <v>0</v>
      </c>
      <c r="X194" s="1920">
        <f ca="1"/>
        <v>0</v>
      </c>
      <c r="Y194" s="1937">
        <f ca="1"/>
        <v>0</v>
      </c>
    </row>
    <row r="195" spans="1:26"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f ca="1">'DC Distr 1'!B195</f>
        <v>0</v>
      </c>
      <c r="O195" s="1920">
        <f ca="1"/>
        <v>0</v>
      </c>
      <c r="P195" s="1920">
        <f ca="1"/>
        <v>0</v>
      </c>
      <c r="Q195" s="1920">
        <f ca="1"/>
        <v>0</v>
      </c>
      <c r="R195" s="1920">
        <f ca="1"/>
        <v>0</v>
      </c>
      <c r="S195" s="1920">
        <f ca="1"/>
        <v>0</v>
      </c>
      <c r="T195" s="1920">
        <f ca="1"/>
        <v>0</v>
      </c>
      <c r="U195" s="1920">
        <f ca="1"/>
        <v>0</v>
      </c>
      <c r="V195" s="1920">
        <f ca="1"/>
        <v>0</v>
      </c>
      <c r="W195" s="1920">
        <f ca="1"/>
        <v>0</v>
      </c>
      <c r="X195" s="1920">
        <f ca="1"/>
        <v>0</v>
      </c>
      <c r="Y195" s="1937">
        <f ca="1"/>
        <v>0</v>
      </c>
    </row>
    <row r="196" spans="1:26" ht="15.75" customHeight="1"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5">
        <f t="shared" ca="1" si="14"/>
        <v>0</v>
      </c>
    </row>
    <row r="197" spans="1:26" ht="15.75" customHeight="1"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6" ht="18.75" thickBot="1">
      <c r="A199" s="1921" t="str">
        <f>"Monthly Purchases / Production costs for "&amp;A$13</f>
        <v xml:space="preserve">Monthly Purchases / Production costs for </v>
      </c>
      <c r="I199" s="1921" t="str">
        <f>I$18</f>
        <v>VAT NOT included</v>
      </c>
      <c r="K199" s="1932">
        <f>Parameters!$F$29</f>
        <v>0.21</v>
      </c>
    </row>
    <row r="200" spans="1:26" s="440" customFormat="1" ht="33" customHeight="1" thickBot="1">
      <c r="A200" s="441" t="str">
        <f t="array" ref="A200:A213">A$110:A$123</f>
        <v>Months before sale</v>
      </c>
      <c r="B200" s="1938" t="str">
        <f t="array" ref="B200:Y200">B$71:Y$71</f>
        <v>January
2025</v>
      </c>
      <c r="C200" s="1938" t="str">
        <v>February
2025</v>
      </c>
      <c r="D200" s="1938" t="str">
        <v>March
2025</v>
      </c>
      <c r="E200" s="1938" t="str">
        <v>April
2025</v>
      </c>
      <c r="F200" s="1938" t="str">
        <v>May
2025</v>
      </c>
      <c r="G200" s="1938" t="str">
        <v>June
2025</v>
      </c>
      <c r="H200" s="1938" t="str">
        <v>July
2025</v>
      </c>
      <c r="I200" s="1938" t="str">
        <v>August
2025</v>
      </c>
      <c r="J200" s="1938" t="str">
        <v>September
2025</v>
      </c>
      <c r="K200" s="1938" t="str">
        <v>October
2025</v>
      </c>
      <c r="L200" s="1938" t="str">
        <v>November
2025</v>
      </c>
      <c r="M200" s="1938" t="str">
        <v>December
2025</v>
      </c>
      <c r="N200" s="2721" t="str">
        <v>January 
2026</v>
      </c>
      <c r="O200" s="2722" t="str">
        <v>February 
2026</v>
      </c>
      <c r="P200" s="2722" t="str">
        <v>March 
2026</v>
      </c>
      <c r="Q200" s="2722" t="str">
        <v>April 
2026</v>
      </c>
      <c r="R200" s="2722" t="str">
        <v>May 
2026</v>
      </c>
      <c r="S200" s="2722" t="str">
        <v>June 
2026</v>
      </c>
      <c r="T200" s="2722" t="str">
        <v>July 
2026</v>
      </c>
      <c r="U200" s="2722" t="str">
        <v>August 
2026</v>
      </c>
      <c r="V200" s="2722" t="str">
        <v>September 
2026</v>
      </c>
      <c r="W200" s="2722" t="str">
        <v>October 
2026</v>
      </c>
      <c r="X200" s="2722" t="str">
        <v>November 
2026</v>
      </c>
      <c r="Y200" s="2723" t="str">
        <v>December 
2026</v>
      </c>
      <c r="Z200" s="61"/>
    </row>
    <row r="201" spans="1:26">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6">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f t="array" aca="1" ref="Y202:Y213" ca="1">'DC Distr 1'!M202:M213</f>
        <v>0</v>
      </c>
    </row>
    <row r="203" spans="1:26">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6">
        <f t="array" aca="1" ref="X203:X213" ca="1">'DC Distr 1'!L203:L213</f>
        <v>0</v>
      </c>
      <c r="Y203" s="1934">
        <f ca="1"/>
        <v>0</v>
      </c>
    </row>
    <row r="204" spans="1:26">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6">
        <f t="array" aca="1" ref="W204:W213" ca="1">'DC Distr 1'!K204:K213</f>
        <v>0</v>
      </c>
      <c r="X204" s="1916">
        <f ca="1"/>
        <v>0</v>
      </c>
      <c r="Y204" s="1934">
        <f ca="1"/>
        <v>0</v>
      </c>
    </row>
    <row r="205" spans="1:26">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6">
        <f t="array" aca="1" ref="V205:V213" ca="1">'DC Distr 1'!J205:J213</f>
        <v>0</v>
      </c>
      <c r="W205" s="1916">
        <f ca="1"/>
        <v>0</v>
      </c>
      <c r="X205" s="1916">
        <f ca="1"/>
        <v>0</v>
      </c>
      <c r="Y205" s="1934">
        <f ca="1"/>
        <v>0</v>
      </c>
    </row>
    <row r="206" spans="1:26">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6">
        <f t="array" aca="1" ref="U206:U213" ca="1">'DC Distr 1'!I206:I213</f>
        <v>0</v>
      </c>
      <c r="V206" s="1916">
        <f ca="1"/>
        <v>0</v>
      </c>
      <c r="W206" s="1916">
        <f ca="1"/>
        <v>0</v>
      </c>
      <c r="X206" s="1916">
        <f ca="1"/>
        <v>0</v>
      </c>
      <c r="Y206" s="1934">
        <f ca="1"/>
        <v>0</v>
      </c>
    </row>
    <row r="207" spans="1:26">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6">
        <f t="array" aca="1" ref="T207:T213" ca="1">'DC Distr 1'!H207:H213</f>
        <v>0</v>
      </c>
      <c r="U207" s="1916">
        <f ca="1"/>
        <v>0</v>
      </c>
      <c r="V207" s="1916">
        <f ca="1"/>
        <v>0</v>
      </c>
      <c r="W207" s="1916">
        <f ca="1"/>
        <v>0</v>
      </c>
      <c r="X207" s="1916">
        <f ca="1"/>
        <v>0</v>
      </c>
      <c r="Y207" s="1934">
        <f ca="1"/>
        <v>0</v>
      </c>
    </row>
    <row r="208" spans="1:26">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0">
        <f t="array" aca="1" ref="S208:S213" ca="1">'DC Distr 1'!G208:G213</f>
        <v>0</v>
      </c>
      <c r="T208" s="1920">
        <f ca="1"/>
        <v>0</v>
      </c>
      <c r="U208" s="1920">
        <f ca="1"/>
        <v>0</v>
      </c>
      <c r="V208" s="1920">
        <f ca="1"/>
        <v>0</v>
      </c>
      <c r="W208" s="1920">
        <f ca="1"/>
        <v>0</v>
      </c>
      <c r="X208" s="1920">
        <f ca="1"/>
        <v>0</v>
      </c>
      <c r="Y208" s="1937">
        <f ca="1"/>
        <v>0</v>
      </c>
    </row>
    <row r="209" spans="1:26">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0">
        <f t="array" aca="1" ref="R209:R213" ca="1">'DC Distr 1'!F209:F213</f>
        <v>0</v>
      </c>
      <c r="S209" s="1920">
        <f ca="1"/>
        <v>0</v>
      </c>
      <c r="T209" s="1920">
        <f ca="1"/>
        <v>0</v>
      </c>
      <c r="U209" s="1920">
        <f ca="1"/>
        <v>0</v>
      </c>
      <c r="V209" s="1920">
        <f ca="1"/>
        <v>0</v>
      </c>
      <c r="W209" s="1920">
        <f ca="1"/>
        <v>0</v>
      </c>
      <c r="X209" s="1920">
        <f ca="1"/>
        <v>0</v>
      </c>
      <c r="Y209" s="1937">
        <f ca="1"/>
        <v>0</v>
      </c>
    </row>
    <row r="210" spans="1:26">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0">
        <f t="array" aca="1" ref="Q210:Q213" ca="1">'DC Distr 1'!E210:F213</f>
        <v>0</v>
      </c>
      <c r="R210" s="1920">
        <f ca="1"/>
        <v>0</v>
      </c>
      <c r="S210" s="1920">
        <f ca="1"/>
        <v>0</v>
      </c>
      <c r="T210" s="1920">
        <f ca="1"/>
        <v>0</v>
      </c>
      <c r="U210" s="1920">
        <f ca="1"/>
        <v>0</v>
      </c>
      <c r="V210" s="1920">
        <f ca="1"/>
        <v>0</v>
      </c>
      <c r="W210" s="1920">
        <f ca="1"/>
        <v>0</v>
      </c>
      <c r="X210" s="1920">
        <f ca="1"/>
        <v>0</v>
      </c>
      <c r="Y210" s="1937">
        <f ca="1"/>
        <v>0</v>
      </c>
    </row>
    <row r="211" spans="1:26">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0">
        <f t="array" aca="1" ref="P211:P213" ca="1">'DC Distr 1'!D211:D213</f>
        <v>0</v>
      </c>
      <c r="Q211" s="1920">
        <f ca="1"/>
        <v>0</v>
      </c>
      <c r="R211" s="1920">
        <f ca="1"/>
        <v>0</v>
      </c>
      <c r="S211" s="1920">
        <f ca="1"/>
        <v>0</v>
      </c>
      <c r="T211" s="1920">
        <f ca="1"/>
        <v>0</v>
      </c>
      <c r="U211" s="1920">
        <f ca="1"/>
        <v>0</v>
      </c>
      <c r="V211" s="1920">
        <f ca="1"/>
        <v>0</v>
      </c>
      <c r="W211" s="1920">
        <f ca="1"/>
        <v>0</v>
      </c>
      <c r="X211" s="1920">
        <f ca="1"/>
        <v>0</v>
      </c>
      <c r="Y211" s="1937">
        <f ca="1"/>
        <v>0</v>
      </c>
    </row>
    <row r="212" spans="1:26">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0">
        <f t="array" aca="1" ref="O212:O213" ca="1">'DC Distr 1'!C212:C213</f>
        <v>0</v>
      </c>
      <c r="P212" s="1920">
        <f ca="1"/>
        <v>0</v>
      </c>
      <c r="Q212" s="1920">
        <f ca="1"/>
        <v>0</v>
      </c>
      <c r="R212" s="1920">
        <f ca="1"/>
        <v>0</v>
      </c>
      <c r="S212" s="1920">
        <f ca="1"/>
        <v>0</v>
      </c>
      <c r="T212" s="1920">
        <f ca="1"/>
        <v>0</v>
      </c>
      <c r="U212" s="1920">
        <f ca="1"/>
        <v>0</v>
      </c>
      <c r="V212" s="1920">
        <f ca="1"/>
        <v>0</v>
      </c>
      <c r="W212" s="1920">
        <f ca="1"/>
        <v>0</v>
      </c>
      <c r="X212" s="1920">
        <f ca="1"/>
        <v>0</v>
      </c>
      <c r="Y212" s="1937">
        <f ca="1"/>
        <v>0</v>
      </c>
    </row>
    <row r="213" spans="1:26"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f ca="1">'DC Distr 1'!B213</f>
        <v>0</v>
      </c>
      <c r="O213" s="1920">
        <f ca="1"/>
        <v>0</v>
      </c>
      <c r="P213" s="1920">
        <f ca="1"/>
        <v>0</v>
      </c>
      <c r="Q213" s="1920">
        <f ca="1"/>
        <v>0</v>
      </c>
      <c r="R213" s="1920">
        <f ca="1"/>
        <v>0</v>
      </c>
      <c r="S213" s="1920">
        <f ca="1"/>
        <v>0</v>
      </c>
      <c r="T213" s="1920">
        <f ca="1"/>
        <v>0</v>
      </c>
      <c r="U213" s="1920">
        <f ca="1"/>
        <v>0</v>
      </c>
      <c r="V213" s="1920">
        <f ca="1"/>
        <v>0</v>
      </c>
      <c r="W213" s="1920">
        <f ca="1"/>
        <v>0</v>
      </c>
      <c r="X213" s="1920">
        <f ca="1"/>
        <v>0</v>
      </c>
      <c r="Y213" s="1937">
        <f ca="1"/>
        <v>0</v>
      </c>
    </row>
    <row r="214" spans="1:26" ht="15.75" customHeight="1"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5">
        <f t="shared" ca="1" si="15"/>
        <v>0</v>
      </c>
    </row>
    <row r="215" spans="1:26" ht="15.75" customHeight="1"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6" ht="18.75" thickBot="1">
      <c r="A217" s="1921" t="str">
        <f>"Monthly Purchases / Production costs for "&amp;A$14</f>
        <v xml:space="preserve">Monthly Purchases / Production costs for </v>
      </c>
      <c r="I217" s="1921" t="str">
        <f>I$18</f>
        <v>VAT NOT included</v>
      </c>
      <c r="K217" s="1932">
        <f>Parameters!$F$30</f>
        <v>0.21</v>
      </c>
    </row>
    <row r="218" spans="1:26" s="440" customFormat="1" ht="33" customHeight="1" thickBot="1">
      <c r="A218" s="441" t="str">
        <f t="array" ref="A218:A231">A$110:A$123</f>
        <v>Months before sale</v>
      </c>
      <c r="B218" s="1938" t="str">
        <f t="array" ref="B218:Y218">B$71:Y$71</f>
        <v>January
2025</v>
      </c>
      <c r="C218" s="1938" t="str">
        <v>February
2025</v>
      </c>
      <c r="D218" s="1938" t="str">
        <v>March
2025</v>
      </c>
      <c r="E218" s="1938" t="str">
        <v>April
2025</v>
      </c>
      <c r="F218" s="1938" t="str">
        <v>May
2025</v>
      </c>
      <c r="G218" s="1938" t="str">
        <v>June
2025</v>
      </c>
      <c r="H218" s="1938" t="str">
        <v>July
2025</v>
      </c>
      <c r="I218" s="1938" t="str">
        <v>August
2025</v>
      </c>
      <c r="J218" s="1938" t="str">
        <v>September
2025</v>
      </c>
      <c r="K218" s="1938" t="str">
        <v>October
2025</v>
      </c>
      <c r="L218" s="1938" t="str">
        <v>November
2025</v>
      </c>
      <c r="M218" s="1938" t="str">
        <v>December
2025</v>
      </c>
      <c r="N218" s="2721" t="str">
        <v>January 
2026</v>
      </c>
      <c r="O218" s="2722" t="str">
        <v>February 
2026</v>
      </c>
      <c r="P218" s="2722" t="str">
        <v>March 
2026</v>
      </c>
      <c r="Q218" s="2722" t="str">
        <v>April 
2026</v>
      </c>
      <c r="R218" s="2722" t="str">
        <v>May 
2026</v>
      </c>
      <c r="S218" s="2722" t="str">
        <v>June 
2026</v>
      </c>
      <c r="T218" s="2722" t="str">
        <v>July 
2026</v>
      </c>
      <c r="U218" s="2722" t="str">
        <v>August 
2026</v>
      </c>
      <c r="V218" s="2722" t="str">
        <v>September 
2026</v>
      </c>
      <c r="W218" s="2722" t="str">
        <v>October 
2026</v>
      </c>
      <c r="X218" s="2722" t="str">
        <v>November 
2026</v>
      </c>
      <c r="Y218" s="2723" t="str">
        <v>December 
2026</v>
      </c>
      <c r="Z218" s="61"/>
    </row>
    <row r="219" spans="1:26">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6">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f t="array" aca="1" ref="Y220:Y231" ca="1">'DC Distr 1'!M220:M231</f>
        <v>0</v>
      </c>
    </row>
    <row r="221" spans="1:26">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6">
        <f t="array" aca="1" ref="X221:X231" ca="1">'DC Distr 1'!L221:L231</f>
        <v>0</v>
      </c>
      <c r="Y221" s="1934">
        <f ca="1"/>
        <v>0</v>
      </c>
    </row>
    <row r="222" spans="1:26">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6">
        <f t="array" aca="1" ref="W222:W231" ca="1">'DC Distr 1'!K222:K231</f>
        <v>0</v>
      </c>
      <c r="X222" s="1916">
        <f ca="1"/>
        <v>0</v>
      </c>
      <c r="Y222" s="1934">
        <f ca="1"/>
        <v>0</v>
      </c>
    </row>
    <row r="223" spans="1:26">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6">
        <f t="array" aca="1" ref="V223:V231" ca="1">'DC Distr 1'!J223:J231</f>
        <v>0</v>
      </c>
      <c r="W223" s="1916">
        <f ca="1"/>
        <v>0</v>
      </c>
      <c r="X223" s="1916">
        <f ca="1"/>
        <v>0</v>
      </c>
      <c r="Y223" s="1934">
        <f ca="1"/>
        <v>0</v>
      </c>
    </row>
    <row r="224" spans="1:26">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6">
        <f t="array" aca="1" ref="U224:U231" ca="1">'DC Distr 1'!I224:I231</f>
        <v>0</v>
      </c>
      <c r="V224" s="1916">
        <f ca="1"/>
        <v>0</v>
      </c>
      <c r="W224" s="1916">
        <f ca="1"/>
        <v>0</v>
      </c>
      <c r="X224" s="1916">
        <f ca="1"/>
        <v>0</v>
      </c>
      <c r="Y224" s="1934">
        <f ca="1"/>
        <v>0</v>
      </c>
    </row>
    <row r="225" spans="1:26">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6">
        <f t="array" aca="1" ref="T225:T231" ca="1">'DC Distr 1'!H225:H231</f>
        <v>0</v>
      </c>
      <c r="U225" s="1916">
        <f ca="1"/>
        <v>0</v>
      </c>
      <c r="V225" s="1916">
        <f ca="1"/>
        <v>0</v>
      </c>
      <c r="W225" s="1916">
        <f ca="1"/>
        <v>0</v>
      </c>
      <c r="X225" s="1916">
        <f ca="1"/>
        <v>0</v>
      </c>
      <c r="Y225" s="1934">
        <f ca="1"/>
        <v>0</v>
      </c>
    </row>
    <row r="226" spans="1:26">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0">
        <f t="array" aca="1" ref="S226:S231" ca="1">'DC Distr 1'!G226:G231</f>
        <v>0</v>
      </c>
      <c r="T226" s="1920">
        <f ca="1"/>
        <v>0</v>
      </c>
      <c r="U226" s="1920">
        <f ca="1"/>
        <v>0</v>
      </c>
      <c r="V226" s="1920">
        <f ca="1"/>
        <v>0</v>
      </c>
      <c r="W226" s="1920">
        <f ca="1"/>
        <v>0</v>
      </c>
      <c r="X226" s="1920">
        <f ca="1"/>
        <v>0</v>
      </c>
      <c r="Y226" s="1937">
        <f ca="1"/>
        <v>0</v>
      </c>
    </row>
    <row r="227" spans="1:26">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0">
        <f t="array" aca="1" ref="R227:R231" ca="1">'DC Distr 1'!F227:F231</f>
        <v>0</v>
      </c>
      <c r="S227" s="1920">
        <f ca="1"/>
        <v>0</v>
      </c>
      <c r="T227" s="1920">
        <f ca="1"/>
        <v>0</v>
      </c>
      <c r="U227" s="1920">
        <f ca="1"/>
        <v>0</v>
      </c>
      <c r="V227" s="1920">
        <f ca="1"/>
        <v>0</v>
      </c>
      <c r="W227" s="1920">
        <f ca="1"/>
        <v>0</v>
      </c>
      <c r="X227" s="1920">
        <f ca="1"/>
        <v>0</v>
      </c>
      <c r="Y227" s="1937">
        <f ca="1"/>
        <v>0</v>
      </c>
    </row>
    <row r="228" spans="1:26">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0">
        <f t="array" aca="1" ref="Q228:Q231" ca="1">'DC Distr 1'!E228:F231</f>
        <v>0</v>
      </c>
      <c r="R228" s="1920">
        <f ca="1"/>
        <v>0</v>
      </c>
      <c r="S228" s="1920">
        <f ca="1"/>
        <v>0</v>
      </c>
      <c r="T228" s="1920">
        <f ca="1"/>
        <v>0</v>
      </c>
      <c r="U228" s="1920">
        <f ca="1"/>
        <v>0</v>
      </c>
      <c r="V228" s="1920">
        <f ca="1"/>
        <v>0</v>
      </c>
      <c r="W228" s="1920">
        <f ca="1"/>
        <v>0</v>
      </c>
      <c r="X228" s="1920">
        <f ca="1"/>
        <v>0</v>
      </c>
      <c r="Y228" s="1937">
        <f ca="1"/>
        <v>0</v>
      </c>
    </row>
    <row r="229" spans="1:26">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0">
        <f t="array" aca="1" ref="P229:P231" ca="1">'DC Distr 1'!D229:D231</f>
        <v>0</v>
      </c>
      <c r="Q229" s="1920">
        <f ca="1"/>
        <v>0</v>
      </c>
      <c r="R229" s="1920">
        <f ca="1"/>
        <v>0</v>
      </c>
      <c r="S229" s="1920">
        <f ca="1"/>
        <v>0</v>
      </c>
      <c r="T229" s="1920">
        <f ca="1"/>
        <v>0</v>
      </c>
      <c r="U229" s="1920">
        <f ca="1"/>
        <v>0</v>
      </c>
      <c r="V229" s="1920">
        <f ca="1"/>
        <v>0</v>
      </c>
      <c r="W229" s="1920">
        <f ca="1"/>
        <v>0</v>
      </c>
      <c r="X229" s="1920">
        <f ca="1"/>
        <v>0</v>
      </c>
      <c r="Y229" s="1937">
        <f ca="1"/>
        <v>0</v>
      </c>
    </row>
    <row r="230" spans="1:26">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0">
        <f t="array" aca="1" ref="O230:O231" ca="1">'DC Distr 1'!C230:C231</f>
        <v>0</v>
      </c>
      <c r="P230" s="1920">
        <f ca="1"/>
        <v>0</v>
      </c>
      <c r="Q230" s="1920">
        <f ca="1"/>
        <v>0</v>
      </c>
      <c r="R230" s="1920">
        <f ca="1"/>
        <v>0</v>
      </c>
      <c r="S230" s="1920">
        <f ca="1"/>
        <v>0</v>
      </c>
      <c r="T230" s="1920">
        <f ca="1"/>
        <v>0</v>
      </c>
      <c r="U230" s="1920">
        <f ca="1"/>
        <v>0</v>
      </c>
      <c r="V230" s="1920">
        <f ca="1"/>
        <v>0</v>
      </c>
      <c r="W230" s="1920">
        <f ca="1"/>
        <v>0</v>
      </c>
      <c r="X230" s="1920">
        <f ca="1"/>
        <v>0</v>
      </c>
      <c r="Y230" s="1937">
        <f ca="1"/>
        <v>0</v>
      </c>
    </row>
    <row r="231" spans="1:26"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f ca="1">'DC Distr 1'!B231</f>
        <v>0</v>
      </c>
      <c r="O231" s="1920">
        <f ca="1"/>
        <v>0</v>
      </c>
      <c r="P231" s="1920">
        <f ca="1"/>
        <v>0</v>
      </c>
      <c r="Q231" s="1920">
        <f ca="1"/>
        <v>0</v>
      </c>
      <c r="R231" s="1920">
        <f ca="1"/>
        <v>0</v>
      </c>
      <c r="S231" s="1920">
        <f ca="1"/>
        <v>0</v>
      </c>
      <c r="T231" s="1920">
        <f ca="1"/>
        <v>0</v>
      </c>
      <c r="U231" s="1920">
        <f ca="1"/>
        <v>0</v>
      </c>
      <c r="V231" s="1920">
        <f ca="1"/>
        <v>0</v>
      </c>
      <c r="W231" s="1920">
        <f ca="1"/>
        <v>0</v>
      </c>
      <c r="X231" s="1920">
        <f ca="1"/>
        <v>0</v>
      </c>
      <c r="Y231" s="1937">
        <f ca="1"/>
        <v>0</v>
      </c>
    </row>
    <row r="232" spans="1:26" ht="15.75" customHeight="1"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5">
        <f t="shared" ca="1" si="16"/>
        <v>0</v>
      </c>
    </row>
    <row r="233" spans="1:26" ht="15.75" customHeight="1"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6" ht="18.75" thickBot="1">
      <c r="A235" s="1921" t="str">
        <f>"Monthly Purchases / Production costs for "&amp;A$15</f>
        <v xml:space="preserve">Monthly Purchases / Production costs for </v>
      </c>
      <c r="I235" s="1921" t="str">
        <f>I$18</f>
        <v>VAT NOT included</v>
      </c>
      <c r="K235" s="1932">
        <f>Parameters!$F$31</f>
        <v>0.21</v>
      </c>
    </row>
    <row r="236" spans="1:26" s="440" customFormat="1" ht="30" customHeight="1" thickBot="1">
      <c r="A236" s="441" t="str">
        <f t="array" ref="A236:A249">A$110:A$123</f>
        <v>Months before sale</v>
      </c>
      <c r="B236" s="1938" t="str">
        <f t="array" ref="B236:Y236">B$71:Y$71</f>
        <v>January
2025</v>
      </c>
      <c r="C236" s="1938" t="str">
        <v>February
2025</v>
      </c>
      <c r="D236" s="1938" t="str">
        <v>March
2025</v>
      </c>
      <c r="E236" s="1938" t="str">
        <v>April
2025</v>
      </c>
      <c r="F236" s="1938" t="str">
        <v>May
2025</v>
      </c>
      <c r="G236" s="1938" t="str">
        <v>June
2025</v>
      </c>
      <c r="H236" s="1938" t="str">
        <v>July
2025</v>
      </c>
      <c r="I236" s="1938" t="str">
        <v>August
2025</v>
      </c>
      <c r="J236" s="1938" t="str">
        <v>September
2025</v>
      </c>
      <c r="K236" s="1938" t="str">
        <v>October
2025</v>
      </c>
      <c r="L236" s="1938" t="str">
        <v>November
2025</v>
      </c>
      <c r="M236" s="1938" t="str">
        <v>December
2025</v>
      </c>
      <c r="N236" s="2721" t="str">
        <v>January 
2026</v>
      </c>
      <c r="O236" s="2722" t="str">
        <v>February 
2026</v>
      </c>
      <c r="P236" s="2722" t="str">
        <v>March 
2026</v>
      </c>
      <c r="Q236" s="2722" t="str">
        <v>April 
2026</v>
      </c>
      <c r="R236" s="2722" t="str">
        <v>May 
2026</v>
      </c>
      <c r="S236" s="2722" t="str">
        <v>June 
2026</v>
      </c>
      <c r="T236" s="2722" t="str">
        <v>July 
2026</v>
      </c>
      <c r="U236" s="2722" t="str">
        <v>August 
2026</v>
      </c>
      <c r="V236" s="2722" t="str">
        <v>September 
2026</v>
      </c>
      <c r="W236" s="2722" t="str">
        <v>October 
2026</v>
      </c>
      <c r="X236" s="2722" t="str">
        <v>November 
2026</v>
      </c>
      <c r="Y236" s="2723" t="str">
        <v>December 
2026</v>
      </c>
      <c r="Z236" s="61"/>
    </row>
    <row r="237" spans="1:26">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6">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f t="array" aca="1" ref="Y238:Y249" ca="1">'DC Distr 1'!M238:M249</f>
        <v>0</v>
      </c>
    </row>
    <row r="239" spans="1:26">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6">
        <f t="array" aca="1" ref="X239:X249" ca="1">'DC Distr 1'!L239:L249</f>
        <v>0</v>
      </c>
      <c r="Y239" s="1934">
        <f ca="1"/>
        <v>0</v>
      </c>
    </row>
    <row r="240" spans="1:26">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6">
        <f t="array" aca="1" ref="W240:W249" ca="1">'DC Distr 1'!K240:K249</f>
        <v>0</v>
      </c>
      <c r="X240" s="1916">
        <f ca="1"/>
        <v>0</v>
      </c>
      <c r="Y240" s="1934">
        <f ca="1"/>
        <v>0</v>
      </c>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6">
        <f t="array" aca="1" ref="V241:V249" ca="1">'DC Distr 1'!J241:J249</f>
        <v>0</v>
      </c>
      <c r="W241" s="1916">
        <f ca="1"/>
        <v>0</v>
      </c>
      <c r="X241" s="1916">
        <f ca="1"/>
        <v>0</v>
      </c>
      <c r="Y241" s="1934">
        <f ca="1"/>
        <v>0</v>
      </c>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6">
        <f t="array" aca="1" ref="U242:U249" ca="1">'DC Distr 1'!I242:I249</f>
        <v>0</v>
      </c>
      <c r="V242" s="1916">
        <f ca="1"/>
        <v>0</v>
      </c>
      <c r="W242" s="1916">
        <f ca="1"/>
        <v>0</v>
      </c>
      <c r="X242" s="1916">
        <f ca="1"/>
        <v>0</v>
      </c>
      <c r="Y242" s="1934">
        <f ca="1"/>
        <v>0</v>
      </c>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6">
        <f t="array" aca="1" ref="T243:T249" ca="1">'DC Distr 1'!H243:H249</f>
        <v>0</v>
      </c>
      <c r="U243" s="1916">
        <f ca="1"/>
        <v>0</v>
      </c>
      <c r="V243" s="1916">
        <f ca="1"/>
        <v>0</v>
      </c>
      <c r="W243" s="1916">
        <f ca="1"/>
        <v>0</v>
      </c>
      <c r="X243" s="1916">
        <f ca="1"/>
        <v>0</v>
      </c>
      <c r="Y243" s="1934">
        <f ca="1"/>
        <v>0</v>
      </c>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0">
        <f t="array" aca="1" ref="S244:S249" ca="1">'DC Distr 1'!G244:G249</f>
        <v>0</v>
      </c>
      <c r="T244" s="1920">
        <f ca="1"/>
        <v>0</v>
      </c>
      <c r="U244" s="1920">
        <f ca="1"/>
        <v>0</v>
      </c>
      <c r="V244" s="1920">
        <f ca="1"/>
        <v>0</v>
      </c>
      <c r="W244" s="1920">
        <f ca="1"/>
        <v>0</v>
      </c>
      <c r="X244" s="1920">
        <f ca="1"/>
        <v>0</v>
      </c>
      <c r="Y244" s="1937">
        <f ca="1"/>
        <v>0</v>
      </c>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0">
        <f t="array" aca="1" ref="R245:R249" ca="1">'DC Distr 1'!F245:F249</f>
        <v>0</v>
      </c>
      <c r="S245" s="1920">
        <f ca="1"/>
        <v>0</v>
      </c>
      <c r="T245" s="1920">
        <f ca="1"/>
        <v>0</v>
      </c>
      <c r="U245" s="1920">
        <f ca="1"/>
        <v>0</v>
      </c>
      <c r="V245" s="1920">
        <f ca="1"/>
        <v>0</v>
      </c>
      <c r="W245" s="1920">
        <f ca="1"/>
        <v>0</v>
      </c>
      <c r="X245" s="1920">
        <f ca="1"/>
        <v>0</v>
      </c>
      <c r="Y245" s="1937">
        <f ca="1"/>
        <v>0</v>
      </c>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0">
        <f t="array" aca="1" ref="Q246:Q249" ca="1">'DC Distr 1'!E246:F249</f>
        <v>0</v>
      </c>
      <c r="R246" s="1920">
        <f ca="1"/>
        <v>0</v>
      </c>
      <c r="S246" s="1920">
        <f ca="1"/>
        <v>0</v>
      </c>
      <c r="T246" s="1920">
        <f ca="1"/>
        <v>0</v>
      </c>
      <c r="U246" s="1920">
        <f ca="1"/>
        <v>0</v>
      </c>
      <c r="V246" s="1920">
        <f ca="1"/>
        <v>0</v>
      </c>
      <c r="W246" s="1920">
        <f ca="1"/>
        <v>0</v>
      </c>
      <c r="X246" s="1920">
        <f ca="1"/>
        <v>0</v>
      </c>
      <c r="Y246" s="1937">
        <f ca="1"/>
        <v>0</v>
      </c>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0">
        <f t="array" aca="1" ref="P247:P249" ca="1">'DC Distr 1'!D247:D249</f>
        <v>0</v>
      </c>
      <c r="Q247" s="1920">
        <f ca="1"/>
        <v>0</v>
      </c>
      <c r="R247" s="1920">
        <f ca="1"/>
        <v>0</v>
      </c>
      <c r="S247" s="1920">
        <f ca="1"/>
        <v>0</v>
      </c>
      <c r="T247" s="1920">
        <f ca="1"/>
        <v>0</v>
      </c>
      <c r="U247" s="1920">
        <f ca="1"/>
        <v>0</v>
      </c>
      <c r="V247" s="1920">
        <f ca="1"/>
        <v>0</v>
      </c>
      <c r="W247" s="1920">
        <f ca="1"/>
        <v>0</v>
      </c>
      <c r="X247" s="1920">
        <f ca="1"/>
        <v>0</v>
      </c>
      <c r="Y247" s="1937">
        <f ca="1"/>
        <v>0</v>
      </c>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0">
        <f t="array" aca="1" ref="O248:O249" ca="1">'DC Distr 1'!C248:C249</f>
        <v>0</v>
      </c>
      <c r="P248" s="1920">
        <f ca="1"/>
        <v>0</v>
      </c>
      <c r="Q248" s="1920">
        <f ca="1"/>
        <v>0</v>
      </c>
      <c r="R248" s="1920">
        <f ca="1"/>
        <v>0</v>
      </c>
      <c r="S248" s="1920">
        <f ca="1"/>
        <v>0</v>
      </c>
      <c r="T248" s="1920">
        <f ca="1"/>
        <v>0</v>
      </c>
      <c r="U248" s="1920">
        <f ca="1"/>
        <v>0</v>
      </c>
      <c r="V248" s="1920">
        <f ca="1"/>
        <v>0</v>
      </c>
      <c r="W248" s="1920">
        <f ca="1"/>
        <v>0</v>
      </c>
      <c r="X248" s="1920">
        <f ca="1"/>
        <v>0</v>
      </c>
      <c r="Y248" s="1937">
        <f ca="1"/>
        <v>0</v>
      </c>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f ca="1">'DC Distr 1'!B249</f>
        <v>0</v>
      </c>
      <c r="O249" s="1920">
        <f ca="1"/>
        <v>0</v>
      </c>
      <c r="P249" s="1920">
        <f ca="1"/>
        <v>0</v>
      </c>
      <c r="Q249" s="1920">
        <f ca="1"/>
        <v>0</v>
      </c>
      <c r="R249" s="1920">
        <f ca="1"/>
        <v>0</v>
      </c>
      <c r="S249" s="1920">
        <f ca="1"/>
        <v>0</v>
      </c>
      <c r="T249" s="1920">
        <f ca="1"/>
        <v>0</v>
      </c>
      <c r="U249" s="1920">
        <f ca="1"/>
        <v>0</v>
      </c>
      <c r="V249" s="1920">
        <f ca="1"/>
        <v>0</v>
      </c>
      <c r="W249" s="1920">
        <f ca="1"/>
        <v>0</v>
      </c>
      <c r="X249" s="1920">
        <f ca="1"/>
        <v>0</v>
      </c>
      <c r="Y249" s="1937">
        <f ca="1"/>
        <v>0</v>
      </c>
    </row>
    <row r="250" spans="1:25" ht="15.75" customHeight="1"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5">
        <f t="shared" ca="1" si="17"/>
        <v>0</v>
      </c>
    </row>
    <row r="251" spans="1:25" ht="15.75" customHeight="1"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O96"/>
  <sheetViews>
    <sheetView showGridLines="0" tabSelected="1" zoomScaleNormal="100" workbookViewId="0">
      <selection activeCell="D15" sqref="D15"/>
    </sheetView>
  </sheetViews>
  <sheetFormatPr baseColWidth="10" defaultColWidth="11" defaultRowHeight="18"/>
  <cols>
    <col min="1" max="1" width="26.5" style="626" customWidth="1"/>
    <col min="2" max="2" width="10.5" style="697" customWidth="1"/>
    <col min="3" max="3" width="10" style="697" customWidth="1"/>
    <col min="4" max="4" width="10.375" style="697" customWidth="1"/>
    <col min="5" max="5" width="10.25" style="697" customWidth="1"/>
    <col min="6" max="6" width="10.625" style="697" customWidth="1"/>
    <col min="7" max="7" width="9.625" style="697" customWidth="1"/>
    <col min="8" max="12" width="8.625" style="697" customWidth="1"/>
    <col min="13" max="13" width="10.25" style="697" customWidth="1"/>
    <col min="14" max="14" width="8" style="697" bestFit="1" customWidth="1"/>
    <col min="15" max="16384" width="11" style="674"/>
  </cols>
  <sheetData>
    <row r="1" spans="1:15" ht="22.5">
      <c r="A1" s="3257" t="s">
        <v>1025</v>
      </c>
      <c r="B1" s="3257"/>
      <c r="C1" s="3257"/>
      <c r="D1" s="3257"/>
      <c r="E1" s="3257"/>
      <c r="F1" s="3257"/>
      <c r="G1" s="3257"/>
      <c r="H1" s="3257"/>
      <c r="I1" s="3257"/>
    </row>
    <row r="2" spans="1:15" ht="22.5">
      <c r="A2" s="725" t="s">
        <v>1266</v>
      </c>
      <c r="B2" s="723"/>
      <c r="C2" s="724"/>
      <c r="D2" s="724"/>
      <c r="E2" s="724"/>
      <c r="F2" s="724"/>
      <c r="G2" s="724"/>
      <c r="H2" s="724"/>
      <c r="I2" s="724"/>
    </row>
    <row r="3" spans="1:15" ht="30">
      <c r="A3" s="754" t="s">
        <v>161</v>
      </c>
      <c r="B3" s="720"/>
      <c r="C3" s="755"/>
      <c r="D3" s="724"/>
      <c r="E3" s="720"/>
      <c r="F3" s="724"/>
      <c r="G3" s="724"/>
      <c r="H3" s="724"/>
      <c r="I3" s="724"/>
      <c r="K3" s="726"/>
      <c r="L3" s="726"/>
      <c r="M3" s="726"/>
      <c r="N3" s="726"/>
      <c r="O3" s="727"/>
    </row>
    <row r="4" spans="1:15" ht="30">
      <c r="A4" s="754" t="s">
        <v>189</v>
      </c>
      <c r="B4" s="720"/>
      <c r="C4" s="1282"/>
      <c r="D4" s="1283"/>
      <c r="E4" s="720"/>
      <c r="F4" s="1283"/>
      <c r="G4" s="1283"/>
      <c r="H4" s="1283"/>
      <c r="I4" s="1283"/>
      <c r="J4" s="726"/>
      <c r="K4" s="728"/>
      <c r="L4" s="728"/>
      <c r="M4" s="728"/>
      <c r="N4" s="726"/>
      <c r="O4" s="727"/>
    </row>
    <row r="5" spans="1:15" ht="18.75" thickBot="1">
      <c r="B5" s="626"/>
      <c r="C5" s="626"/>
      <c r="D5" s="626"/>
      <c r="E5" s="626"/>
      <c r="F5" s="626"/>
      <c r="G5" s="626"/>
      <c r="H5" s="626"/>
      <c r="I5" s="626"/>
      <c r="K5" s="626"/>
      <c r="L5" s="626"/>
      <c r="M5" s="626"/>
    </row>
    <row r="6" spans="1:15" ht="24.75" customHeight="1">
      <c r="A6" s="742" t="s">
        <v>162</v>
      </c>
      <c r="B6" s="3260" t="s">
        <v>1033</v>
      </c>
      <c r="C6" s="3261"/>
      <c r="D6" s="3261"/>
      <c r="E6" s="3261"/>
      <c r="F6" s="3261"/>
      <c r="G6" s="3261"/>
      <c r="H6" s="3261"/>
      <c r="I6" s="3262"/>
      <c r="K6" s="626"/>
      <c r="L6" s="626"/>
      <c r="M6" s="626"/>
    </row>
    <row r="7" spans="1:15" ht="28.5" customHeight="1" thickBot="1">
      <c r="A7" s="251"/>
      <c r="B7" s="3263" t="s">
        <v>1107</v>
      </c>
      <c r="C7" s="3264"/>
      <c r="D7" s="3264"/>
      <c r="E7" s="3264"/>
      <c r="F7" s="3264"/>
      <c r="G7" s="3264"/>
      <c r="H7" s="3264"/>
      <c r="I7" s="3265"/>
      <c r="K7" s="626"/>
      <c r="L7" s="626"/>
      <c r="M7" s="626"/>
    </row>
    <row r="8" spans="1:15" ht="18.75" thickBot="1">
      <c r="A8" s="729"/>
    </row>
    <row r="9" spans="1:15" ht="29.25" customHeight="1" thickBot="1">
      <c r="A9" s="743" t="s">
        <v>163</v>
      </c>
      <c r="B9" s="3266" t="s">
        <v>188</v>
      </c>
      <c r="C9" s="3267"/>
      <c r="D9" s="3267"/>
      <c r="E9" s="3267"/>
      <c r="F9" s="3267"/>
      <c r="G9" s="3267"/>
      <c r="H9" s="3267"/>
      <c r="I9" s="3268"/>
    </row>
    <row r="10" spans="1:15" ht="15.75" thickBot="1">
      <c r="A10" s="730"/>
    </row>
    <row r="11" spans="1:15" ht="24" customHeight="1" thickBot="1">
      <c r="A11" s="744" t="s">
        <v>1067</v>
      </c>
      <c r="B11" s="3266" t="s">
        <v>187</v>
      </c>
      <c r="C11" s="3267"/>
      <c r="D11" s="3267"/>
      <c r="E11" s="3267"/>
      <c r="F11" s="3267"/>
      <c r="G11" s="3267"/>
      <c r="H11" s="3267"/>
      <c r="I11" s="3268"/>
    </row>
    <row r="12" spans="1:15" ht="18.75" thickBot="1"/>
    <row r="13" spans="1:15" ht="20.25" customHeight="1" thickBot="1">
      <c r="A13" s="745" t="s">
        <v>908</v>
      </c>
      <c r="B13" s="3258">
        <v>45965</v>
      </c>
      <c r="C13" s="3259"/>
      <c r="E13" s="731"/>
      <c r="F13" s="2226">
        <f>IF(G13="Existing Company",1,0)</f>
        <v>0</v>
      </c>
      <c r="G13" s="3278" t="s">
        <v>942</v>
      </c>
      <c r="H13" s="3279"/>
      <c r="I13" s="3280"/>
    </row>
    <row r="14" spans="1:15" ht="15.75" thickBot="1">
      <c r="A14" s="732"/>
    </row>
    <row r="15" spans="1:15" ht="22.5" customHeight="1" thickBot="1">
      <c r="A15" s="2010" t="s">
        <v>1068</v>
      </c>
      <c r="B15" s="2749">
        <v>2026</v>
      </c>
      <c r="C15" s="674"/>
      <c r="D15" s="674"/>
      <c r="E15" s="674"/>
      <c r="F15" s="674"/>
      <c r="G15" s="674"/>
      <c r="H15" s="674"/>
      <c r="I15" s="674"/>
    </row>
    <row r="16" spans="1:15" ht="25.5" customHeight="1" thickBot="1">
      <c r="A16" s="2010" t="s">
        <v>1070</v>
      </c>
      <c r="B16" s="2750">
        <v>1</v>
      </c>
      <c r="C16" s="743" t="s">
        <v>1069</v>
      </c>
      <c r="D16" s="1415"/>
      <c r="E16" s="1415"/>
      <c r="F16" s="1415"/>
      <c r="G16" s="1415"/>
      <c r="H16" s="1415"/>
      <c r="I16" s="1416"/>
    </row>
    <row r="17" spans="1:15" ht="18.75" customHeight="1" thickBot="1">
      <c r="D17" s="2"/>
    </row>
    <row r="18" spans="1:15" ht="15">
      <c r="A18" s="746"/>
      <c r="B18" s="747" t="s">
        <v>186</v>
      </c>
      <c r="C18" s="3060">
        <f>IF($B18="Year 0",1,2)</f>
        <v>1</v>
      </c>
      <c r="D18" s="3061">
        <f>C18+1</f>
        <v>2</v>
      </c>
      <c r="E18" s="3060">
        <f>D18+1</f>
        <v>3</v>
      </c>
      <c r="F18" s="3062">
        <f>E18+1</f>
        <v>4</v>
      </c>
      <c r="G18" s="737"/>
      <c r="H18" s="737"/>
    </row>
    <row r="19" spans="1:15" ht="21.75" customHeight="1" thickBot="1">
      <c r="A19" s="1458" t="s">
        <v>185</v>
      </c>
      <c r="B19" s="2746" t="str">
        <f>Parameters!D65</f>
        <v>2026</v>
      </c>
      <c r="C19" s="2746" t="str">
        <f>Parameters!E65</f>
        <v>2027</v>
      </c>
      <c r="D19" s="2747" t="str">
        <f>Parameters!F65</f>
        <v>2028</v>
      </c>
      <c r="E19" s="2746" t="str">
        <f>Parameters!G65</f>
        <v>2029</v>
      </c>
      <c r="F19" s="2748" t="str">
        <f>Parameters!H65</f>
        <v>2030</v>
      </c>
      <c r="G19" s="737"/>
      <c r="H19" s="230"/>
      <c r="K19" s="738"/>
      <c r="O19" s="3037" t="s">
        <v>1196</v>
      </c>
    </row>
    <row r="20" spans="1:15" ht="18.75" thickBot="1">
      <c r="A20" s="739"/>
      <c r="B20" s="739"/>
      <c r="C20" s="739"/>
      <c r="G20" s="737"/>
      <c r="H20" s="230"/>
    </row>
    <row r="21" spans="1:15" ht="19.5" customHeight="1" thickBot="1">
      <c r="A21" s="1485" t="s">
        <v>191</v>
      </c>
      <c r="B21" s="1486" t="s">
        <v>184</v>
      </c>
      <c r="C21" s="1455">
        <v>1</v>
      </c>
      <c r="D21" s="1457" t="str">
        <f>" "&amp;B18</f>
        <v xml:space="preserve"> Year 0</v>
      </c>
      <c r="E21" s="1456"/>
      <c r="F21" s="3269" t="str">
        <f>CONCATENATE("=  ",TEXT(INDEX(Parameters!A61:A72,mes0,1),"[$-409]mmmm  "&amp;aa&amp;aa))</f>
        <v>=  January  2026</v>
      </c>
      <c r="G21" s="3269"/>
      <c r="H21" s="3269"/>
      <c r="I21" s="3270"/>
    </row>
    <row r="22" spans="1:15" ht="15">
      <c r="A22" s="1412"/>
      <c r="B22" s="1413"/>
      <c r="C22" s="3191" t="str">
        <f>IF(mes0&gt;=finTemporada,"No activity months for Year 0: check out initial month and/or season months at Parameters sheet.",IF(AND(mes0&gt;inicioTemporada,mes0&lt;&gt;1),"The season starts before the initial month: just "&amp;finTemporada-mes0&amp;" months of activity the first year ("&amp;B18&amp;")",""))</f>
        <v/>
      </c>
      <c r="D22" s="847"/>
      <c r="E22" s="1414"/>
      <c r="F22" s="876"/>
      <c r="G22" s="737"/>
      <c r="H22" s="230"/>
    </row>
    <row r="23" spans="1:15" ht="18.75" thickBot="1">
      <c r="A23" s="739"/>
      <c r="B23" s="739"/>
      <c r="C23" s="739"/>
      <c r="G23" s="737"/>
      <c r="H23" s="230"/>
    </row>
    <row r="24" spans="1:15" ht="21" customHeight="1" thickBot="1">
      <c r="A24" s="743" t="s">
        <v>190</v>
      </c>
      <c r="B24" s="3271" t="s">
        <v>945</v>
      </c>
      <c r="C24" s="3272"/>
      <c r="D24" s="3272"/>
      <c r="E24" s="3272"/>
      <c r="F24" s="3273"/>
      <c r="G24" s="737"/>
      <c r="H24" s="230"/>
    </row>
    <row r="25" spans="1:15" ht="15">
      <c r="A25" s="753"/>
      <c r="B25" s="2282">
        <f>VLOOKUP(B24,$A$58:$I$74,9,0)</f>
        <v>3000</v>
      </c>
      <c r="C25" s="753"/>
      <c r="D25" s="753"/>
      <c r="E25" s="753"/>
      <c r="F25" s="753"/>
      <c r="G25" s="737"/>
      <c r="H25" s="230"/>
    </row>
    <row r="26" spans="1:15" ht="18.75" thickBot="1"/>
    <row r="27" spans="1:15" ht="15.75" thickBot="1">
      <c r="A27" s="3281" t="str">
        <f>CONCATENATE("Indirect Tax: ",$B$43)</f>
        <v>Indirect Tax: VAT</v>
      </c>
      <c r="B27" s="3282"/>
      <c r="C27" s="3283"/>
      <c r="E27" s="674"/>
      <c r="F27" s="1312" t="str">
        <f>H43&amp;" ( " &amp;I43&amp; " )"</f>
        <v>Personal Income Tax ( P.I.T. )</v>
      </c>
      <c r="G27" s="705"/>
      <c r="H27" s="705"/>
      <c r="I27" s="706"/>
    </row>
    <row r="28" spans="1:15" ht="18.75" thickBot="1">
      <c r="A28" s="2405" t="s">
        <v>164</v>
      </c>
      <c r="B28" s="1483"/>
      <c r="C28" s="1482">
        <v>0.21</v>
      </c>
      <c r="E28" s="740"/>
      <c r="F28" s="751" t="s">
        <v>192</v>
      </c>
      <c r="G28" s="752"/>
      <c r="H28" s="752"/>
      <c r="I28" s="748">
        <f>VLOOKUP(B24,$A$58:$G$74,6,0)</f>
        <v>0</v>
      </c>
    </row>
    <row r="29" spans="1:15" ht="19.5" customHeight="1" thickBot="1">
      <c r="A29" s="2364" t="str">
        <f>CONCATENATE("Input / Purchases  ",A28," rate")</f>
        <v>Input / Purchases  VAT rate</v>
      </c>
      <c r="B29" s="1484"/>
      <c r="C29" s="1482">
        <v>0.21</v>
      </c>
      <c r="F29" s="1503" t="s">
        <v>193</v>
      </c>
      <c r="G29" s="1504"/>
      <c r="H29" s="1504"/>
      <c r="I29" s="1505">
        <f>VLOOKUP(B24,$A$58:$G$74,7,0)</f>
        <v>0</v>
      </c>
    </row>
    <row r="30" spans="1:15" ht="23.25" customHeight="1" thickBot="1">
      <c r="A30" s="2514" t="s">
        <v>1024</v>
      </c>
      <c r="B30" s="3274" t="s">
        <v>1023</v>
      </c>
      <c r="C30" s="3275"/>
      <c r="D30" s="2519">
        <f>IF(B30="Monthly",1,0)+'VAT 0'!D16*0</f>
        <v>1</v>
      </c>
      <c r="F30" s="1506" t="s">
        <v>194</v>
      </c>
      <c r="G30" s="1507"/>
      <c r="H30" s="1507"/>
      <c r="I30" s="3034">
        <v>0.75</v>
      </c>
      <c r="J30" s="1529">
        <f>I30*I29</f>
        <v>0</v>
      </c>
    </row>
    <row r="31" spans="1:15" ht="23.25" customHeight="1" thickBot="1">
      <c r="A31" s="2542" t="str">
        <f>"Yearly "&amp;A28&amp;" refund"</f>
        <v>Yearly VAT refund</v>
      </c>
      <c r="B31" s="3274" t="s">
        <v>1051</v>
      </c>
      <c r="C31" s="3275"/>
      <c r="D31" s="2540">
        <f>IF(B31="Refund",1,0)</f>
        <v>1</v>
      </c>
      <c r="F31" s="2513"/>
      <c r="G31" s="1282"/>
      <c r="H31" s="1282"/>
      <c r="J31" s="1529"/>
    </row>
    <row r="32" spans="1:15" ht="23.25" customHeight="1" thickBot="1">
      <c r="A32" s="2542" t="str">
        <f>A28&amp;" current acc. "</f>
        <v xml:space="preserve">VAT current acc. </v>
      </c>
      <c r="B32" s="3274" t="s">
        <v>25</v>
      </c>
      <c r="C32" s="3275"/>
      <c r="D32" s="2541">
        <f>IF(B32="No",0,1)</f>
        <v>0</v>
      </c>
      <c r="F32" s="2513"/>
      <c r="G32" s="1282"/>
      <c r="H32" s="1282"/>
      <c r="J32" s="1529"/>
    </row>
    <row r="33" spans="1:14" ht="23.25" customHeight="1">
      <c r="F33" s="2513"/>
      <c r="G33" s="1282"/>
      <c r="H33" s="1282"/>
      <c r="J33" s="1529"/>
    </row>
    <row r="34" spans="1:14" ht="23.25" customHeight="1" thickBot="1">
      <c r="F34" s="2513"/>
      <c r="G34" s="1282"/>
      <c r="H34" s="1282"/>
      <c r="J34" s="1529"/>
    </row>
    <row r="35" spans="1:14" ht="21" customHeight="1" thickBot="1">
      <c r="A35" s="1312" t="str">
        <f>$J$44&amp;" ( "&amp;$I$44&amp;" )"</f>
        <v>Corporate Income Tax ( C.I.T )</v>
      </c>
      <c r="B35" s="1312"/>
      <c r="C35" s="706"/>
      <c r="D35" s="35"/>
      <c r="E35" s="674"/>
      <c r="J35" s="674"/>
    </row>
    <row r="36" spans="1:14" ht="24" customHeight="1">
      <c r="A36" s="3041" t="s">
        <v>172</v>
      </c>
      <c r="B36" s="2000"/>
      <c r="C36" s="2001">
        <f>VLOOKUP(B24,$A$58:$G$74,3,0)</f>
        <v>0.25</v>
      </c>
      <c r="D36" s="35"/>
      <c r="G36" s="674"/>
      <c r="H36" s="674"/>
      <c r="I36" s="674"/>
      <c r="J36" s="674"/>
    </row>
    <row r="37" spans="1:14">
      <c r="A37" s="3042" t="s">
        <v>173</v>
      </c>
      <c r="B37" s="3043"/>
      <c r="C37" s="3044">
        <f>VLOOKUP(B24,$A$58:$G$74,4,0)</f>
        <v>0.25</v>
      </c>
      <c r="D37" s="35"/>
      <c r="G37" s="674"/>
      <c r="H37" s="674"/>
      <c r="I37" s="674"/>
      <c r="J37" s="674"/>
    </row>
    <row r="38" spans="1:14" ht="24" customHeight="1">
      <c r="A38" s="3042" t="s">
        <v>181</v>
      </c>
      <c r="B38" s="3276" t="s">
        <v>182</v>
      </c>
      <c r="C38" s="3277"/>
      <c r="D38" s="2008">
        <f>IF(B38="Previous year",-1,1)</f>
        <v>1</v>
      </c>
      <c r="G38" s="674"/>
      <c r="H38" s="674"/>
      <c r="I38" s="674"/>
      <c r="J38" s="674"/>
    </row>
    <row r="39" spans="1:14" ht="29.25" thickBot="1">
      <c r="A39" s="3045" t="s">
        <v>183</v>
      </c>
      <c r="B39" s="2002"/>
      <c r="C39" s="2003">
        <f>VLOOKUP(B24,$A$58:$M$74,IF($B$38="Current year",13,5),0)</f>
        <v>0.21</v>
      </c>
      <c r="D39" s="35"/>
      <c r="G39" s="674"/>
      <c r="H39" s="674"/>
      <c r="I39" s="674"/>
      <c r="J39" s="674"/>
    </row>
    <row r="40" spans="1:14">
      <c r="A40" s="3233" t="s">
        <v>1255</v>
      </c>
      <c r="B40" s="3234">
        <f ca="1">YEAR(TODAY())</f>
        <v>2025</v>
      </c>
      <c r="C40" s="3234">
        <f t="shared" ref="C40:F40" ca="1" si="0">B40+1</f>
        <v>2026</v>
      </c>
      <c r="D40" s="2228">
        <f t="shared" ca="1" si="0"/>
        <v>2027</v>
      </c>
      <c r="E40" s="3234">
        <f t="shared" ca="1" si="0"/>
        <v>2028</v>
      </c>
      <c r="F40" s="3234">
        <f t="shared" ca="1" si="0"/>
        <v>2029</v>
      </c>
      <c r="G40" s="3235"/>
      <c r="H40" s="3236"/>
      <c r="I40" s="3236"/>
      <c r="J40" s="3237"/>
      <c r="K40" s="3234"/>
    </row>
    <row r="41" spans="1:14" ht="19.5" customHeight="1">
      <c r="D41" s="35"/>
      <c r="G41" s="3238"/>
      <c r="H41" s="720"/>
      <c r="I41" s="720"/>
      <c r="J41" s="3239"/>
    </row>
    <row r="42" spans="1:14" s="707" customFormat="1">
      <c r="A42" s="2511" t="s">
        <v>167</v>
      </c>
      <c r="B42" s="3240"/>
      <c r="C42" s="763"/>
      <c r="D42" s="763"/>
      <c r="E42" s="763"/>
      <c r="F42" s="763"/>
      <c r="G42" s="763"/>
      <c r="H42" s="763"/>
      <c r="I42" s="763"/>
      <c r="J42" s="763"/>
      <c r="K42" s="763"/>
      <c r="L42" s="763"/>
      <c r="M42" s="763"/>
      <c r="N42" s="763"/>
    </row>
    <row r="43" spans="1:14" s="707" customFormat="1">
      <c r="B43" s="2511" t="s">
        <v>164</v>
      </c>
      <c r="C43" s="763" t="s">
        <v>180</v>
      </c>
      <c r="D43" s="763"/>
      <c r="E43" s="763"/>
      <c r="F43" s="763"/>
      <c r="G43" s="763"/>
      <c r="H43" s="3241" t="s">
        <v>994</v>
      </c>
      <c r="I43" s="763" t="s">
        <v>1079</v>
      </c>
      <c r="J43" s="763" t="s">
        <v>994</v>
      </c>
      <c r="K43" s="763"/>
      <c r="L43" s="763"/>
      <c r="M43" s="763"/>
      <c r="N43" s="763"/>
    </row>
    <row r="44" spans="1:14" s="707" customFormat="1">
      <c r="B44" s="2511" t="s">
        <v>33</v>
      </c>
      <c r="C44" s="763" t="s">
        <v>165</v>
      </c>
      <c r="D44" s="763"/>
      <c r="E44" s="763"/>
      <c r="F44" s="763"/>
      <c r="G44" s="763"/>
      <c r="H44" s="3241" t="s">
        <v>419</v>
      </c>
      <c r="I44" s="763" t="s">
        <v>1080</v>
      </c>
      <c r="J44" s="763" t="s">
        <v>419</v>
      </c>
      <c r="K44" s="763"/>
      <c r="L44" s="763"/>
      <c r="M44" s="763"/>
      <c r="N44" s="763"/>
    </row>
    <row r="45" spans="1:14" s="707" customFormat="1">
      <c r="B45" s="2511" t="s">
        <v>32</v>
      </c>
      <c r="C45" s="763" t="s">
        <v>166</v>
      </c>
      <c r="D45" s="763"/>
      <c r="E45" s="763"/>
      <c r="F45" s="763"/>
      <c r="G45" s="763"/>
      <c r="H45" s="763"/>
      <c r="I45" s="763"/>
      <c r="J45" s="763"/>
      <c r="K45" s="763"/>
      <c r="L45" s="763"/>
      <c r="M45" s="763"/>
      <c r="N45" s="763"/>
    </row>
    <row r="46" spans="1:14" s="707" customFormat="1">
      <c r="B46" s="2511" t="s">
        <v>1034</v>
      </c>
      <c r="C46" s="763" t="s">
        <v>1035</v>
      </c>
      <c r="D46" s="763"/>
      <c r="E46" s="763"/>
      <c r="F46" s="763"/>
      <c r="G46" s="763"/>
      <c r="H46" s="763"/>
      <c r="I46" s="763"/>
      <c r="J46" s="763"/>
      <c r="K46" s="763"/>
      <c r="L46" s="763"/>
      <c r="M46" s="763"/>
      <c r="N46" s="763"/>
    </row>
    <row r="47" spans="1:14" s="707" customFormat="1">
      <c r="A47" s="2511"/>
      <c r="B47" s="763" t="s">
        <v>34</v>
      </c>
      <c r="C47" s="763"/>
      <c r="D47" s="763"/>
      <c r="E47" s="763"/>
      <c r="F47" s="763"/>
      <c r="G47" s="763"/>
      <c r="H47" s="763"/>
      <c r="I47" s="763"/>
      <c r="J47" s="763"/>
      <c r="K47" s="763"/>
      <c r="L47" s="763"/>
      <c r="M47" s="763"/>
      <c r="N47" s="763"/>
    </row>
    <row r="48" spans="1:14" s="707" customFormat="1">
      <c r="A48" s="2511"/>
      <c r="B48" s="763"/>
      <c r="C48" s="763"/>
      <c r="D48" s="763"/>
      <c r="E48" s="763"/>
      <c r="F48" s="763"/>
      <c r="G48" s="763"/>
      <c r="H48" s="763"/>
      <c r="I48" s="763"/>
      <c r="J48" s="763"/>
      <c r="K48" s="763"/>
      <c r="L48" s="763"/>
      <c r="M48" s="763"/>
      <c r="N48" s="763"/>
    </row>
    <row r="49" spans="1:14" s="707" customFormat="1">
      <c r="A49" s="2511"/>
      <c r="B49" s="763" t="s">
        <v>195</v>
      </c>
      <c r="C49" s="725" t="s">
        <v>196</v>
      </c>
      <c r="D49" s="763"/>
      <c r="E49" s="763"/>
      <c r="F49" s="763"/>
      <c r="G49" s="763"/>
      <c r="H49" s="3242">
        <f>+B15</f>
        <v>2026</v>
      </c>
      <c r="I49" s="3243">
        <f>H49+1</f>
        <v>2027</v>
      </c>
      <c r="J49" s="3243">
        <f t="shared" ref="J49:L49" si="1">I49+1</f>
        <v>2028</v>
      </c>
      <c r="K49" s="3243">
        <f t="shared" si="1"/>
        <v>2029</v>
      </c>
      <c r="L49" s="3243">
        <f t="shared" si="1"/>
        <v>2030</v>
      </c>
      <c r="M49" s="763"/>
      <c r="N49" s="763"/>
    </row>
    <row r="50" spans="1:14">
      <c r="A50" s="3244" t="s">
        <v>168</v>
      </c>
      <c r="B50" s="2512">
        <v>0.21</v>
      </c>
      <c r="C50" s="3189">
        <v>5.1999999999999998E-2</v>
      </c>
      <c r="G50" s="3241" t="s">
        <v>1053</v>
      </c>
      <c r="H50" s="3245">
        <f>1214.08*30%</f>
        <v>364.22399999999999</v>
      </c>
      <c r="I50" s="3245">
        <f t="shared" ref="I50:K50" si="2">H50*1.0125</f>
        <v>368.77679999999998</v>
      </c>
      <c r="J50" s="3245">
        <f t="shared" si="2"/>
        <v>373.38650999999999</v>
      </c>
      <c r="K50" s="3245">
        <f t="shared" si="2"/>
        <v>378.05384137499999</v>
      </c>
    </row>
    <row r="51" spans="1:14">
      <c r="A51" s="3244" t="s">
        <v>169</v>
      </c>
      <c r="B51" s="2512">
        <v>0.1</v>
      </c>
      <c r="C51" s="3189">
        <v>1.4E-2</v>
      </c>
      <c r="G51" s="3241" t="s">
        <v>1207</v>
      </c>
      <c r="H51" s="3245">
        <v>86</v>
      </c>
      <c r="I51" s="3245">
        <v>80</v>
      </c>
      <c r="J51" s="3245">
        <v>80</v>
      </c>
      <c r="K51" s="3245">
        <v>80</v>
      </c>
      <c r="L51" s="3234">
        <v>80</v>
      </c>
    </row>
    <row r="52" spans="1:14">
      <c r="A52" s="3244" t="s">
        <v>170</v>
      </c>
      <c r="B52" s="2512">
        <v>0.04</v>
      </c>
      <c r="C52" s="3189">
        <v>5.0000000000000001E-3</v>
      </c>
      <c r="G52" s="3241" t="s">
        <v>1054</v>
      </c>
      <c r="H52" s="3245">
        <f>1300*30%</f>
        <v>390</v>
      </c>
      <c r="I52" s="3245">
        <f t="shared" ref="I52:K52" si="3">H52*1.0125</f>
        <v>394.875</v>
      </c>
      <c r="J52" s="3245">
        <f t="shared" si="3"/>
        <v>399.81093749999997</v>
      </c>
      <c r="K52" s="3245">
        <f t="shared" si="3"/>
        <v>404.80857421874992</v>
      </c>
    </row>
    <row r="53" spans="1:14">
      <c r="A53" s="3244" t="s">
        <v>171</v>
      </c>
      <c r="B53" s="2512">
        <v>0</v>
      </c>
      <c r="C53" s="2512"/>
      <c r="G53" s="3241" t="s">
        <v>1198</v>
      </c>
      <c r="H53" s="3245">
        <v>60</v>
      </c>
      <c r="I53" s="3245">
        <f>I52*(50%+70%)/2*0+H53</f>
        <v>60</v>
      </c>
      <c r="J53" s="3245">
        <f>J52*(70%)</f>
        <v>279.86765624999998</v>
      </c>
      <c r="K53" s="3245">
        <f>+K52</f>
        <v>404.80857421874992</v>
      </c>
    </row>
    <row r="56" spans="1:14" s="707" customFormat="1">
      <c r="A56" s="2511" t="s">
        <v>205</v>
      </c>
      <c r="B56" s="763"/>
      <c r="C56" s="763"/>
      <c r="D56" s="763"/>
      <c r="E56" s="763"/>
      <c r="F56" s="763"/>
      <c r="G56" s="3246"/>
      <c r="H56" s="763"/>
      <c r="I56" s="763"/>
      <c r="J56" s="763"/>
      <c r="K56" s="763"/>
      <c r="L56" s="763"/>
      <c r="M56" s="763"/>
      <c r="N56" s="763"/>
    </row>
    <row r="57" spans="1:14" s="707" customFormat="1" ht="51">
      <c r="A57" s="2511"/>
      <c r="C57" s="3232" t="s">
        <v>197</v>
      </c>
      <c r="D57" s="3232" t="s">
        <v>198</v>
      </c>
      <c r="E57" s="3232" t="s">
        <v>1109</v>
      </c>
      <c r="F57" s="3232" t="s">
        <v>28</v>
      </c>
      <c r="G57" s="3232" t="s">
        <v>199</v>
      </c>
      <c r="H57" s="3232" t="s">
        <v>200</v>
      </c>
      <c r="I57" s="3247" t="s">
        <v>201</v>
      </c>
      <c r="J57" s="3247" t="s">
        <v>202</v>
      </c>
      <c r="K57" s="3247" t="s">
        <v>203</v>
      </c>
      <c r="L57" s="3232" t="s">
        <v>206</v>
      </c>
      <c r="M57" s="3232" t="s">
        <v>204</v>
      </c>
      <c r="N57" s="763"/>
    </row>
    <row r="58" spans="1:14" s="707" customFormat="1" ht="15">
      <c r="A58" s="3248" t="s">
        <v>954</v>
      </c>
      <c r="C58" s="1529">
        <v>0.25</v>
      </c>
      <c r="D58" s="1529">
        <v>0.25</v>
      </c>
      <c r="E58" s="1529">
        <v>0.18</v>
      </c>
      <c r="F58" s="1529">
        <v>0</v>
      </c>
      <c r="G58" s="1529">
        <v>0</v>
      </c>
      <c r="H58" s="763" t="s">
        <v>958</v>
      </c>
      <c r="I58" s="3249">
        <v>3000</v>
      </c>
      <c r="J58" s="763">
        <v>350</v>
      </c>
      <c r="K58" s="763">
        <v>250</v>
      </c>
      <c r="L58" s="1529">
        <v>0.01</v>
      </c>
      <c r="M58" s="1529">
        <v>0.21</v>
      </c>
      <c r="N58" s="763"/>
    </row>
    <row r="59" spans="1:14" s="707" customFormat="1" ht="15">
      <c r="A59" s="3248" t="s">
        <v>945</v>
      </c>
      <c r="C59" s="1529">
        <v>0.25</v>
      </c>
      <c r="D59" s="1529">
        <v>0.25</v>
      </c>
      <c r="E59" s="1529">
        <v>0.18</v>
      </c>
      <c r="F59" s="1529">
        <v>0</v>
      </c>
      <c r="G59" s="1529">
        <v>0</v>
      </c>
      <c r="H59" s="763" t="s">
        <v>962</v>
      </c>
      <c r="I59" s="3249">
        <v>3000</v>
      </c>
      <c r="J59" s="763">
        <v>350</v>
      </c>
      <c r="K59" s="763">
        <v>250</v>
      </c>
      <c r="L59" s="1529">
        <v>0.01</v>
      </c>
      <c r="M59" s="1529">
        <v>0.21</v>
      </c>
      <c r="N59" s="763"/>
    </row>
    <row r="60" spans="1:14" s="707" customFormat="1" ht="15">
      <c r="A60" s="3248" t="s">
        <v>944</v>
      </c>
      <c r="B60" s="763"/>
      <c r="C60" s="1529">
        <v>0</v>
      </c>
      <c r="D60" s="1529">
        <v>0</v>
      </c>
      <c r="E60" s="1529">
        <v>0</v>
      </c>
      <c r="F60" s="1529">
        <v>0.2</v>
      </c>
      <c r="G60" s="1529">
        <v>0</v>
      </c>
      <c r="H60" s="763"/>
      <c r="I60" s="3249">
        <v>0</v>
      </c>
      <c r="J60" s="763">
        <v>0</v>
      </c>
      <c r="K60" s="763">
        <v>0</v>
      </c>
      <c r="L60" s="1529">
        <v>0</v>
      </c>
      <c r="M60" s="1529">
        <v>0</v>
      </c>
      <c r="N60" s="763"/>
    </row>
    <row r="61" spans="1:14" s="707" customFormat="1" ht="15">
      <c r="A61" s="3248" t="s">
        <v>943</v>
      </c>
      <c r="B61" s="763"/>
      <c r="C61" s="1529">
        <v>0</v>
      </c>
      <c r="D61" s="1529">
        <v>0</v>
      </c>
      <c r="E61" s="1529">
        <v>0</v>
      </c>
      <c r="F61" s="1529">
        <v>0.2</v>
      </c>
      <c r="G61" s="1529">
        <v>0</v>
      </c>
      <c r="H61" s="763"/>
      <c r="I61" s="3249">
        <v>0</v>
      </c>
      <c r="J61" s="763">
        <v>0</v>
      </c>
      <c r="K61" s="763">
        <v>0</v>
      </c>
      <c r="L61" s="1529">
        <v>0</v>
      </c>
      <c r="M61" s="1529">
        <v>0</v>
      </c>
      <c r="N61" s="763"/>
    </row>
    <row r="62" spans="1:14" s="707" customFormat="1" ht="15">
      <c r="A62" s="3248" t="s">
        <v>946</v>
      </c>
      <c r="B62" s="763"/>
      <c r="C62" s="1529">
        <v>0</v>
      </c>
      <c r="D62" s="1529">
        <v>0</v>
      </c>
      <c r="E62" s="1529">
        <v>0</v>
      </c>
      <c r="F62" s="1529">
        <v>0.2</v>
      </c>
      <c r="G62" s="1529">
        <v>0</v>
      </c>
      <c r="H62" s="763" t="s">
        <v>35</v>
      </c>
      <c r="I62" s="3249">
        <v>0</v>
      </c>
      <c r="J62" s="763">
        <v>0</v>
      </c>
      <c r="K62" s="763">
        <v>0</v>
      </c>
      <c r="L62" s="1529">
        <v>0</v>
      </c>
      <c r="M62" s="1529">
        <v>0</v>
      </c>
      <c r="N62" s="763"/>
    </row>
    <row r="63" spans="1:14" s="707" customFormat="1" ht="15">
      <c r="A63" s="3248" t="s">
        <v>212</v>
      </c>
      <c r="B63" s="763"/>
      <c r="C63" s="1529">
        <v>0</v>
      </c>
      <c r="D63" s="1529">
        <v>0</v>
      </c>
      <c r="E63" s="1529">
        <v>0</v>
      </c>
      <c r="F63" s="1529">
        <v>0.2</v>
      </c>
      <c r="G63" s="1529">
        <v>0.15</v>
      </c>
      <c r="H63" s="763"/>
      <c r="I63" s="3249">
        <v>0</v>
      </c>
      <c r="J63" s="763">
        <v>0</v>
      </c>
      <c r="K63" s="763">
        <v>0</v>
      </c>
      <c r="L63" s="1529">
        <v>0</v>
      </c>
      <c r="M63" s="1529">
        <v>0</v>
      </c>
      <c r="N63" s="763"/>
    </row>
    <row r="64" spans="1:14" s="707" customFormat="1" ht="15">
      <c r="A64" s="3248" t="s">
        <v>953</v>
      </c>
      <c r="B64" s="763"/>
      <c r="C64" s="1529">
        <v>0.2</v>
      </c>
      <c r="D64" s="1529">
        <v>0</v>
      </c>
      <c r="E64" s="1529">
        <v>0</v>
      </c>
      <c r="F64" s="1529">
        <v>0</v>
      </c>
      <c r="G64" s="1529">
        <v>0</v>
      </c>
      <c r="H64" s="763" t="s">
        <v>959</v>
      </c>
      <c r="I64" s="3249">
        <v>0</v>
      </c>
      <c r="J64" s="763">
        <v>0</v>
      </c>
      <c r="K64" s="763">
        <v>0</v>
      </c>
      <c r="L64" s="1529">
        <v>0</v>
      </c>
      <c r="M64" s="1529">
        <v>0</v>
      </c>
      <c r="N64" s="763"/>
    </row>
    <row r="65" spans="1:14" s="707" customFormat="1" ht="15">
      <c r="A65" s="3248" t="s">
        <v>947</v>
      </c>
      <c r="B65" s="763"/>
      <c r="C65" s="1529">
        <v>0.2</v>
      </c>
      <c r="D65" s="1529">
        <v>0</v>
      </c>
      <c r="E65" s="1529">
        <v>0</v>
      </c>
      <c r="F65" s="1529">
        <v>0</v>
      </c>
      <c r="G65" s="1529">
        <v>0</v>
      </c>
      <c r="H65" s="763" t="s">
        <v>36</v>
      </c>
      <c r="I65" s="3249">
        <v>0</v>
      </c>
      <c r="J65" s="763">
        <v>0</v>
      </c>
      <c r="K65" s="763">
        <v>0</v>
      </c>
      <c r="L65" s="1529">
        <v>0</v>
      </c>
      <c r="M65" s="1529">
        <v>0</v>
      </c>
      <c r="N65" s="763"/>
    </row>
    <row r="66" spans="1:14" s="707" customFormat="1" ht="15">
      <c r="A66" s="3248" t="s">
        <v>951</v>
      </c>
      <c r="B66" s="763"/>
      <c r="C66" s="1529">
        <v>0.2</v>
      </c>
      <c r="D66" s="1529">
        <v>0.25</v>
      </c>
      <c r="E66" s="1529">
        <v>0.18</v>
      </c>
      <c r="F66" s="1529">
        <v>0</v>
      </c>
      <c r="G66" s="1529">
        <v>0</v>
      </c>
      <c r="H66" s="763" t="s">
        <v>960</v>
      </c>
      <c r="I66" s="3249">
        <v>0</v>
      </c>
      <c r="J66" s="763">
        <v>350</v>
      </c>
      <c r="K66" s="763">
        <v>250</v>
      </c>
      <c r="L66" s="1529">
        <v>0</v>
      </c>
      <c r="M66" s="1529">
        <v>0.21</v>
      </c>
      <c r="N66" s="763"/>
    </row>
    <row r="67" spans="1:14" s="707" customFormat="1" ht="15">
      <c r="A67" s="3248" t="s">
        <v>952</v>
      </c>
      <c r="B67" s="763"/>
      <c r="C67" s="1529">
        <v>0.2</v>
      </c>
      <c r="D67" s="1529">
        <v>0.25</v>
      </c>
      <c r="E67" s="1529">
        <v>0.18</v>
      </c>
      <c r="F67" s="1529">
        <v>0</v>
      </c>
      <c r="G67" s="1529">
        <v>0</v>
      </c>
      <c r="H67" s="763" t="s">
        <v>37</v>
      </c>
      <c r="I67" s="3249">
        <v>3000</v>
      </c>
      <c r="J67" s="763">
        <v>350</v>
      </c>
      <c r="K67" s="763">
        <v>250</v>
      </c>
      <c r="L67" s="1529">
        <v>0</v>
      </c>
      <c r="M67" s="1529">
        <v>0.21</v>
      </c>
      <c r="N67" s="763"/>
    </row>
    <row r="68" spans="1:14" s="707" customFormat="1" ht="15">
      <c r="A68" s="3248" t="s">
        <v>950</v>
      </c>
      <c r="B68" s="763"/>
      <c r="C68" s="1529">
        <v>0.1</v>
      </c>
      <c r="D68" s="1529">
        <v>0.1</v>
      </c>
      <c r="E68" s="1529">
        <v>0.09</v>
      </c>
      <c r="F68" s="1529">
        <v>0</v>
      </c>
      <c r="G68" s="1529">
        <v>0</v>
      </c>
      <c r="H68" s="763" t="s">
        <v>37</v>
      </c>
      <c r="I68" s="3249">
        <v>0</v>
      </c>
      <c r="J68" s="763">
        <v>0</v>
      </c>
      <c r="K68" s="763">
        <v>0</v>
      </c>
      <c r="L68" s="1529">
        <v>0</v>
      </c>
      <c r="M68" s="1529">
        <v>0.05</v>
      </c>
      <c r="N68" s="763"/>
    </row>
    <row r="69" spans="1:14" s="707" customFormat="1" ht="15">
      <c r="A69" s="3248" t="s">
        <v>956</v>
      </c>
      <c r="B69" s="763"/>
      <c r="C69" s="1529">
        <v>0.25</v>
      </c>
      <c r="D69" s="1529">
        <v>0.25</v>
      </c>
      <c r="E69" s="1529">
        <v>0.18</v>
      </c>
      <c r="F69" s="1529">
        <v>0</v>
      </c>
      <c r="G69" s="1529">
        <v>0</v>
      </c>
      <c r="H69" s="763" t="s">
        <v>26</v>
      </c>
      <c r="I69" s="3249">
        <v>3000</v>
      </c>
      <c r="J69" s="763">
        <v>300</v>
      </c>
      <c r="K69" s="763">
        <v>250</v>
      </c>
      <c r="L69" s="1529">
        <v>0</v>
      </c>
      <c r="M69" s="1529">
        <v>0.21</v>
      </c>
      <c r="N69" s="763"/>
    </row>
    <row r="70" spans="1:14" s="707" customFormat="1" ht="15">
      <c r="A70" s="3248" t="s">
        <v>955</v>
      </c>
      <c r="B70" s="763"/>
      <c r="C70" s="1529">
        <v>0.25</v>
      </c>
      <c r="D70" s="1529">
        <v>0.25</v>
      </c>
      <c r="E70" s="1529">
        <v>0.18</v>
      </c>
      <c r="F70" s="1529">
        <v>0</v>
      </c>
      <c r="G70" s="1529">
        <v>0</v>
      </c>
      <c r="H70" s="763" t="s">
        <v>27</v>
      </c>
      <c r="I70" s="3249">
        <v>60000</v>
      </c>
      <c r="J70" s="763">
        <v>600</v>
      </c>
      <c r="K70" s="763">
        <v>500</v>
      </c>
      <c r="L70" s="1529">
        <v>0</v>
      </c>
      <c r="M70" s="1529">
        <v>0.21</v>
      </c>
      <c r="N70" s="763"/>
    </row>
    <row r="71" spans="1:14" s="707" customFormat="1" ht="15">
      <c r="A71" s="3248" t="s">
        <v>957</v>
      </c>
      <c r="B71" s="763"/>
      <c r="C71" s="1529">
        <v>0.25</v>
      </c>
      <c r="D71" s="1529">
        <v>0.25</v>
      </c>
      <c r="E71" s="1529">
        <v>0.18</v>
      </c>
      <c r="F71" s="1529">
        <v>0</v>
      </c>
      <c r="G71" s="1529">
        <v>0</v>
      </c>
      <c r="H71" s="763" t="s">
        <v>961</v>
      </c>
      <c r="I71" s="3249">
        <v>60000</v>
      </c>
      <c r="J71" s="763">
        <v>600</v>
      </c>
      <c r="K71" s="763">
        <v>500</v>
      </c>
      <c r="L71" s="1529">
        <v>0.01</v>
      </c>
      <c r="M71" s="1529">
        <v>0.21</v>
      </c>
      <c r="N71" s="763"/>
    </row>
    <row r="72" spans="1:14" s="707" customFormat="1" ht="15">
      <c r="A72" s="3248" t="s">
        <v>949</v>
      </c>
      <c r="B72" s="763"/>
      <c r="C72" s="1529">
        <v>0.1</v>
      </c>
      <c r="D72" s="1529">
        <v>0.1</v>
      </c>
      <c r="E72" s="1529">
        <v>0.18</v>
      </c>
      <c r="F72" s="1529">
        <v>0</v>
      </c>
      <c r="G72" s="1529">
        <v>0</v>
      </c>
      <c r="H72" s="763"/>
      <c r="I72" s="3249">
        <v>30000</v>
      </c>
      <c r="J72" s="763">
        <v>600</v>
      </c>
      <c r="K72" s="763">
        <v>300</v>
      </c>
      <c r="L72" s="1529">
        <v>0.01</v>
      </c>
      <c r="M72" s="1529">
        <v>0.21</v>
      </c>
      <c r="N72" s="763"/>
    </row>
    <row r="73" spans="1:14" s="707" customFormat="1" ht="15">
      <c r="A73" s="3248" t="s">
        <v>948</v>
      </c>
      <c r="B73" s="763"/>
      <c r="C73" s="1529">
        <v>0</v>
      </c>
      <c r="D73" s="1529">
        <v>0</v>
      </c>
      <c r="E73" s="1529">
        <v>0</v>
      </c>
      <c r="F73" s="1529">
        <v>0</v>
      </c>
      <c r="G73" s="1529">
        <v>0</v>
      </c>
      <c r="H73" s="763"/>
      <c r="I73" s="3249">
        <v>0</v>
      </c>
      <c r="J73" s="763">
        <v>0</v>
      </c>
      <c r="K73" s="763">
        <v>0</v>
      </c>
      <c r="L73" s="1529">
        <v>0</v>
      </c>
      <c r="M73" s="1529">
        <v>0</v>
      </c>
      <c r="N73" s="763"/>
    </row>
    <row r="74" spans="1:14" s="707" customFormat="1" ht="15">
      <c r="A74" s="3248" t="s">
        <v>29</v>
      </c>
      <c r="B74" s="763"/>
      <c r="C74" s="1529">
        <v>0.15</v>
      </c>
      <c r="D74" s="1529">
        <v>0.2</v>
      </c>
      <c r="E74" s="1529">
        <v>0.18</v>
      </c>
      <c r="F74" s="1529">
        <v>0</v>
      </c>
      <c r="G74" s="1529">
        <v>0</v>
      </c>
      <c r="H74" s="763" t="s">
        <v>38</v>
      </c>
      <c r="I74" s="3249">
        <v>3000</v>
      </c>
      <c r="J74" s="763">
        <v>0</v>
      </c>
      <c r="K74" s="763">
        <v>0</v>
      </c>
      <c r="L74" s="1529">
        <v>0.01</v>
      </c>
      <c r="M74" s="1529">
        <v>0.21</v>
      </c>
      <c r="N74" s="763"/>
    </row>
    <row r="75" spans="1:14" s="707" customFormat="1" ht="15">
      <c r="B75" s="763"/>
      <c r="C75" s="763"/>
      <c r="D75" s="763"/>
      <c r="E75" s="1529"/>
      <c r="F75" s="1529"/>
      <c r="G75" s="763"/>
      <c r="H75" s="763"/>
      <c r="I75" s="763"/>
      <c r="J75" s="763"/>
      <c r="K75" s="763"/>
      <c r="L75" s="763"/>
      <c r="M75" s="763"/>
      <c r="N75" s="763"/>
    </row>
    <row r="76" spans="1:14" s="707" customFormat="1" ht="15">
      <c r="B76" s="763"/>
      <c r="C76" s="763"/>
      <c r="D76" s="763"/>
      <c r="E76" s="1529"/>
      <c r="F76" s="1529"/>
      <c r="G76" s="763"/>
      <c r="H76" s="763"/>
      <c r="I76" s="763"/>
      <c r="J76" s="763"/>
      <c r="K76" s="763"/>
      <c r="L76" s="763"/>
      <c r="M76" s="763"/>
      <c r="N76" s="763"/>
    </row>
    <row r="77" spans="1:14" s="707" customFormat="1" ht="15">
      <c r="A77" s="707" t="s">
        <v>174</v>
      </c>
      <c r="B77" s="763" t="s">
        <v>175</v>
      </c>
      <c r="C77" s="763">
        <f>VLOOKUP(B24,$A$58:$K$74,10,0)</f>
        <v>350</v>
      </c>
      <c r="D77" s="763"/>
      <c r="E77" s="1529"/>
      <c r="F77" s="1529"/>
      <c r="G77" s="763"/>
      <c r="H77" s="763"/>
      <c r="I77" s="763"/>
      <c r="J77" s="763"/>
      <c r="K77" s="763"/>
      <c r="L77" s="763"/>
      <c r="M77" s="763"/>
      <c r="N77" s="763"/>
    </row>
    <row r="78" spans="1:14" s="707" customFormat="1" ht="15">
      <c r="B78" s="3241" t="s">
        <v>179</v>
      </c>
      <c r="C78" s="763">
        <v>35</v>
      </c>
      <c r="D78" s="763"/>
      <c r="E78" s="1529"/>
      <c r="F78" s="1529"/>
      <c r="G78" s="763"/>
      <c r="H78" s="763"/>
      <c r="I78" s="763"/>
      <c r="J78" s="763"/>
      <c r="K78" s="763"/>
      <c r="L78" s="763"/>
      <c r="M78" s="763"/>
      <c r="N78" s="763"/>
    </row>
    <row r="79" spans="1:14" s="707" customFormat="1" ht="15">
      <c r="B79" s="3241" t="s">
        <v>178</v>
      </c>
      <c r="C79" s="763">
        <f>VLOOKUP(B24,$A$58:$K$74,11,0)</f>
        <v>250</v>
      </c>
      <c r="D79" s="763"/>
      <c r="E79" s="1529"/>
      <c r="F79" s="1529"/>
      <c r="G79" s="763"/>
      <c r="H79" s="763"/>
      <c r="I79" s="763"/>
      <c r="J79" s="763"/>
      <c r="K79" s="763"/>
      <c r="L79" s="763"/>
      <c r="M79" s="763"/>
      <c r="N79" s="763"/>
    </row>
    <row r="80" spans="1:14" s="707" customFormat="1" ht="15">
      <c r="B80" s="3250" t="s">
        <v>177</v>
      </c>
      <c r="C80" s="3190">
        <f>VLOOKUP(B24,$A$58:$L$74,12,0)</f>
        <v>0.01</v>
      </c>
      <c r="D80" s="763"/>
      <c r="E80" s="1529"/>
      <c r="F80" s="1529"/>
      <c r="G80" s="763"/>
      <c r="H80" s="763"/>
      <c r="I80" s="763"/>
      <c r="J80" s="763"/>
      <c r="K80" s="763"/>
      <c r="L80" s="763"/>
      <c r="M80" s="763"/>
      <c r="N80" s="763"/>
    </row>
    <row r="81" spans="1:14" s="707" customFormat="1" ht="15">
      <c r="B81" s="3241"/>
      <c r="C81" s="763"/>
      <c r="D81" s="763"/>
      <c r="E81" s="1529"/>
      <c r="F81" s="1529"/>
      <c r="G81" s="763"/>
      <c r="H81" s="763"/>
      <c r="I81" s="763"/>
      <c r="J81" s="763"/>
      <c r="K81" s="763"/>
      <c r="L81" s="763"/>
      <c r="M81" s="763"/>
      <c r="N81" s="763"/>
    </row>
    <row r="82" spans="1:14" s="707" customFormat="1" ht="15">
      <c r="B82" s="763"/>
      <c r="C82" s="763"/>
      <c r="D82" s="763"/>
      <c r="E82" s="1529"/>
      <c r="F82" s="1529"/>
      <c r="G82" s="763"/>
      <c r="H82" s="763"/>
      <c r="I82" s="763"/>
      <c r="J82" s="763"/>
      <c r="K82" s="763"/>
      <c r="L82" s="763"/>
      <c r="M82" s="763"/>
      <c r="N82" s="763"/>
    </row>
    <row r="83" spans="1:14" s="707" customFormat="1" ht="15">
      <c r="A83" s="707" t="s">
        <v>176</v>
      </c>
      <c r="B83" s="763"/>
      <c r="C83" s="3249">
        <v>120202</v>
      </c>
      <c r="D83" s="763"/>
      <c r="E83" s="763"/>
      <c r="F83" s="763"/>
      <c r="G83" s="763"/>
      <c r="H83" s="763"/>
      <c r="I83" s="763"/>
      <c r="J83" s="763"/>
      <c r="K83" s="763"/>
      <c r="L83" s="763"/>
      <c r="M83" s="763"/>
      <c r="N83" s="763"/>
    </row>
    <row r="84" spans="1:14" s="707" customFormat="1" ht="15">
      <c r="B84" s="763"/>
      <c r="C84" s="763"/>
      <c r="D84" s="763"/>
      <c r="E84" s="763"/>
      <c r="F84" s="763"/>
      <c r="G84" s="763"/>
      <c r="H84" s="763"/>
      <c r="I84" s="763"/>
      <c r="J84" s="763"/>
      <c r="K84" s="763"/>
      <c r="L84" s="763"/>
      <c r="M84" s="763"/>
      <c r="N84" s="763"/>
    </row>
    <row r="88" spans="1:14">
      <c r="A88" s="2511" t="s">
        <v>154</v>
      </c>
    </row>
    <row r="89" spans="1:14">
      <c r="A89" s="2511" t="s">
        <v>1025</v>
      </c>
    </row>
    <row r="90" spans="1:14">
      <c r="A90" s="2511" t="s">
        <v>1108</v>
      </c>
    </row>
    <row r="91" spans="1:14">
      <c r="A91" s="2511" t="s">
        <v>1026</v>
      </c>
    </row>
    <row r="92" spans="1:14">
      <c r="A92" s="2511" t="s">
        <v>1029</v>
      </c>
    </row>
    <row r="93" spans="1:14">
      <c r="A93" s="2511" t="s">
        <v>1028</v>
      </c>
    </row>
    <row r="94" spans="1:14">
      <c r="A94" s="2511" t="s">
        <v>1027</v>
      </c>
    </row>
    <row r="95" spans="1:14">
      <c r="A95" s="2511"/>
    </row>
    <row r="96" spans="1:14">
      <c r="A96" s="2511"/>
    </row>
  </sheetData>
  <sheetProtection sheet="1" objects="1" scenarios="1"/>
  <dataConsolidate/>
  <mergeCells count="14">
    <mergeCell ref="F21:I21"/>
    <mergeCell ref="B24:F24"/>
    <mergeCell ref="B30:C30"/>
    <mergeCell ref="B38:C38"/>
    <mergeCell ref="G13:I13"/>
    <mergeCell ref="A27:C27"/>
    <mergeCell ref="B31:C31"/>
    <mergeCell ref="B32:C32"/>
    <mergeCell ref="A1:I1"/>
    <mergeCell ref="B13:C13"/>
    <mergeCell ref="B6:I6"/>
    <mergeCell ref="B7:I7"/>
    <mergeCell ref="B9:I9"/>
    <mergeCell ref="B11:I11"/>
  </mergeCells>
  <phoneticPr fontId="7" type="noConversion"/>
  <conditionalFormatting sqref="A35:C39">
    <cfRule type="expression" dxfId="52" priority="3" stopIfTrue="1">
      <formula>$C$36=0</formula>
    </cfRule>
  </conditionalFormatting>
  <conditionalFormatting sqref="F32:H34">
    <cfRule type="expression" dxfId="51" priority="12" stopIfTrue="1">
      <formula>$I$29=0</formula>
    </cfRule>
  </conditionalFormatting>
  <conditionalFormatting sqref="F27:I28">
    <cfRule type="expression" dxfId="50" priority="2" stopIfTrue="1">
      <formula>$I$28=0</formula>
    </cfRule>
  </conditionalFormatting>
  <conditionalFormatting sqref="F29:I30">
    <cfRule type="expression" dxfId="49" priority="5" stopIfTrue="1">
      <formula>$I$29=0</formula>
    </cfRule>
  </conditionalFormatting>
  <conditionalFormatting sqref="G40:J41">
    <cfRule type="expression" dxfId="48" priority="11" stopIfTrue="1">
      <formula>$B$24&lt;&gt;"Soc. Civil de profesionales"</formula>
    </cfRule>
  </conditionalFormatting>
  <conditionalFormatting sqref="I30">
    <cfRule type="expression" dxfId="47" priority="1">
      <formula>$I$29&lt;&gt;0</formula>
    </cfRule>
  </conditionalFormatting>
  <dataValidations xWindow="217" yWindow="401" count="21">
    <dataValidation type="decimal" allowBlank="1" showInputMessage="1" showErrorMessage="1" prompt="Tipo (%) de retenciones a cuenta (entre 0% y 40%) Debe ser el 18% normalmente para la mayoría de los casos." sqref="C39" xr:uid="{00000000-0002-0000-0200-000000000000}">
      <formula1>0</formula1>
      <formula2>0.4</formula2>
    </dataValidation>
    <dataValidation type="decimal" allowBlank="1" showInputMessage="1" showErrorMessage="1" sqref="C36" xr:uid="{00000000-0002-0000-0200-000001000000}">
      <formula1>0</formula1>
      <formula2>0.4</formula2>
    </dataValidation>
    <dataValidation type="list" allowBlank="1" showInputMessage="1" showErrorMessage="1" sqref="B42" xr:uid="{00000000-0002-0000-0200-000002000000}">
      <formula1>"IVA,IGIC,IPSI"</formula1>
    </dataValidation>
    <dataValidation type="list" allowBlank="1" showInputMessage="1" showErrorMessage="1" sqref="B24" xr:uid="{00000000-0002-0000-0200-000003000000}">
      <formula1>$A$58:$A$74</formula1>
    </dataValidation>
    <dataValidation type="list" allowBlank="1" showInputMessage="1" showErrorMessage="1" sqref="C21" xr:uid="{00000000-0002-0000-0200-000004000000}">
      <formula1>"1,2,3,4,5,6,7,8,9,10,11,12"</formula1>
    </dataValidation>
    <dataValidation type="list" allowBlank="1" showInputMessage="1" showErrorMessage="1" sqref="B15" xr:uid="{00000000-0002-0000-0200-000005000000}">
      <formula1>$B$40:$F$40</formula1>
    </dataValidation>
    <dataValidation type="list" allowBlank="1" showInputMessage="1" showErrorMessage="1" sqref="B18" xr:uid="{00000000-0002-0000-0200-000006000000}">
      <formula1>"Year 0,Year 1"</formula1>
    </dataValidation>
    <dataValidation type="textLength" allowBlank="1" showInputMessage="1" showErrorMessage="1" sqref="B6:B7" xr:uid="{00000000-0002-0000-0200-000007000000}">
      <formula1>0</formula1>
      <formula2>50</formula2>
    </dataValidation>
    <dataValidation type="date" allowBlank="1" showInputMessage="1" showErrorMessage="1" sqref="B13:C13" xr:uid="{00000000-0002-0000-0200-000008000000}">
      <formula1>36161</formula1>
      <formula2>73415</formula2>
    </dataValidation>
    <dataValidation type="list" allowBlank="1" showInputMessage="1" showErrorMessage="1" sqref="A11" xr:uid="{00000000-0002-0000-0200-000009000000}">
      <formula1>"Promoter:,Developer:,Promotors:,Developers:"</formula1>
    </dataValidation>
    <dataValidation type="list" allowBlank="1" showInputMessage="1" showErrorMessage="1" sqref="A1:I1" xr:uid="{00000000-0002-0000-0200-00000A000000}">
      <formula1>$A$88:$A$96</formula1>
    </dataValidation>
    <dataValidation type="list" allowBlank="1" showInputMessage="1" showErrorMessage="1" sqref="B38" xr:uid="{00000000-0002-0000-0200-00000B000000}">
      <formula1>"Previous year,Current year"</formula1>
    </dataValidation>
    <dataValidation type="list" allowBlank="1" showInputMessage="1" showErrorMessage="1" sqref="G13:I13" xr:uid="{00000000-0002-0000-0200-00000C000000}">
      <formula1>"Existing Company,Project / New Company"</formula1>
    </dataValidation>
    <dataValidation type="list" allowBlank="1" showInputMessage="1" showErrorMessage="1" prompt="Normalmente será el 21%, excepto que se esté exento, en recargo de equivalencia o IVA en módulos._x000a_En estos casos se debe incluir el IVA dentro de los precios de coste y de venta como inversión o gasto." sqref="C28:C29" xr:uid="{00000000-0002-0000-0200-00000D000000}">
      <formula1>$B$50:$B$53</formula1>
    </dataValidation>
    <dataValidation allowBlank="1" showInputMessage="1" showErrorMessage="1" prompt="Starting month of activity._x000a__x000a_Must match month 0 of mortgages if any._x000a_" sqref="F21:I21" xr:uid="{00000000-0002-0000-0200-00000E000000}"/>
    <dataValidation type="list" allowBlank="1" showInputMessage="1" showErrorMessage="1" sqref="A28" xr:uid="{00000000-0002-0000-0200-00000F000000}">
      <formula1>$B$43:$B$47</formula1>
    </dataValidation>
    <dataValidation type="list" allowBlank="1" showInputMessage="1" showErrorMessage="1" sqref="B30" xr:uid="{00000000-0002-0000-0200-000010000000}">
      <formula1>"Quarterly,Monthly"</formula1>
    </dataValidation>
    <dataValidation type="list" allowBlank="1" showInputMessage="1" showErrorMessage="1" sqref="B31:C31" xr:uid="{00000000-0002-0000-0200-000011000000}">
      <formula1>"Refund,Compensation"</formula1>
    </dataValidation>
    <dataValidation type="list" allowBlank="1" showInputMessage="1" showErrorMessage="1" sqref="B32:C32" xr:uid="{00000000-0002-0000-0200-000012000000}">
      <formula1>"Yes,No"</formula1>
    </dataValidation>
    <dataValidation type="list" allowBlank="1" showInputMessage="1" showErrorMessage="1" sqref="B16" xr:uid="{00000000-0002-0000-0200-000013000000}">
      <formula1>"1,4,7,10"</formula1>
    </dataValidation>
    <dataValidation type="list" allowBlank="1" showInputMessage="1" showErrorMessage="1" sqref="O19" xr:uid="{00000000-0002-0000-0200-000014000000}">
      <formula1>"aa,yy"</formula1>
    </dataValidation>
  </dataValidations>
  <pageMargins left="0.61" right="0.61" top="0.78740157480314965" bottom="0.95" header="0" footer="0.19685039370078741"/>
  <pageSetup paperSize="9" scale="80" orientation="portrait" horizontalDpi="300" verticalDpi="300" r:id="rId1"/>
  <headerFooter alignWithMargins="0">
    <oddFooter>&amp;C&amp;"Tahoma,Normal"&amp;10&amp;A</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9">
    <tabColor indexed="10"/>
    <pageSetUpPr fitToPage="1"/>
  </sheetPr>
  <dimension ref="A1:Z251"/>
  <sheetViews>
    <sheetView topLeftCell="A78"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6384" width="11" style="61"/>
  </cols>
  <sheetData>
    <row r="1" spans="1:15" ht="22.5">
      <c r="A1" s="66" t="s">
        <v>609</v>
      </c>
      <c r="K1" s="2398" t="str">
        <f>Parameters!C$77</f>
        <v>Year 1:   2027</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1"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5" ht="15.75" customHeight="1">
      <c r="A8" s="2399" t="str">
        <f t="array" ref="A8:A15">productos</f>
        <v>product 1</v>
      </c>
      <c r="B8" s="569">
        <f t="array" aca="1" ref="B8:M15" ca="1">'Sales Forecast 1'!B5:M12</f>
        <v>1000</v>
      </c>
      <c r="C8" s="570">
        <f ca="1"/>
        <v>1000</v>
      </c>
      <c r="D8" s="570">
        <f ca="1"/>
        <v>1000</v>
      </c>
      <c r="E8" s="570">
        <f ca="1"/>
        <v>1000</v>
      </c>
      <c r="F8" s="570">
        <f ca="1"/>
        <v>1000</v>
      </c>
      <c r="G8" s="570">
        <f ca="1"/>
        <v>1000</v>
      </c>
      <c r="H8" s="570">
        <f ca="1"/>
        <v>1000</v>
      </c>
      <c r="I8" s="570">
        <f ca="1"/>
        <v>1000</v>
      </c>
      <c r="J8" s="570">
        <f ca="1"/>
        <v>1000</v>
      </c>
      <c r="K8" s="570">
        <f ca="1"/>
        <v>1000</v>
      </c>
      <c r="L8" s="570">
        <f ca="1"/>
        <v>1000</v>
      </c>
      <c r="M8" s="592">
        <f ca="1"/>
        <v>1000</v>
      </c>
      <c r="N8" s="571">
        <f t="shared" ref="N8:N15" ca="1" si="0">SUM(B8:M8)</f>
        <v>12000</v>
      </c>
      <c r="O8" s="61"/>
    </row>
    <row r="9" spans="1:15"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1" t="str">
        <f>'DC Distr 0'!A18</f>
        <v>Production Costs (Direct) Forecasts for the units sold during the year</v>
      </c>
      <c r="G18" s="2716" t="str">
        <f>$K$1</f>
        <v>Year 1:   2027</v>
      </c>
      <c r="I18" s="1921"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399" t="str">
        <f t="array" ref="A20:A27">productos</f>
        <v>product 1</v>
      </c>
      <c r="B20" s="578">
        <f t="array" aca="1" ref="B20:M27" ca="1">B8:M15*'Prices - DC'!$D19:$D26</f>
        <v>103.00000000000001</v>
      </c>
      <c r="C20" s="579">
        <f ca="1"/>
        <v>103.00000000000001</v>
      </c>
      <c r="D20" s="579">
        <f ca="1"/>
        <v>103.00000000000001</v>
      </c>
      <c r="E20" s="579">
        <f ca="1"/>
        <v>103.00000000000001</v>
      </c>
      <c r="F20" s="579">
        <f ca="1"/>
        <v>103.00000000000001</v>
      </c>
      <c r="G20" s="579">
        <f ca="1"/>
        <v>103.00000000000001</v>
      </c>
      <c r="H20" s="579">
        <f ca="1"/>
        <v>103.00000000000001</v>
      </c>
      <c r="I20" s="579">
        <f ca="1"/>
        <v>103.00000000000001</v>
      </c>
      <c r="J20" s="579">
        <f ca="1"/>
        <v>103.00000000000001</v>
      </c>
      <c r="K20" s="579">
        <f ca="1"/>
        <v>103.00000000000001</v>
      </c>
      <c r="L20" s="579">
        <f ca="1"/>
        <v>103.00000000000001</v>
      </c>
      <c r="M20" s="589">
        <f ca="1"/>
        <v>103.00000000000001</v>
      </c>
      <c r="N20" s="571">
        <f t="shared" ref="N20:N39" ca="1" si="1">SUM(B20:M20)</f>
        <v>1236.0000000000002</v>
      </c>
      <c r="O20" s="61"/>
    </row>
    <row r="21" spans="1:15"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3" t="s">
        <v>577</v>
      </c>
      <c r="B28" s="586">
        <f t="shared" ref="B28:M28" ca="1" si="2">SUM(B20:B27)</f>
        <v>103.00000000000001</v>
      </c>
      <c r="C28" s="587">
        <f t="shared" ca="1" si="2"/>
        <v>103.00000000000001</v>
      </c>
      <c r="D28" s="587">
        <f t="shared" ca="1" si="2"/>
        <v>103.00000000000001</v>
      </c>
      <c r="E28" s="587">
        <f t="shared" ca="1" si="2"/>
        <v>103.00000000000001</v>
      </c>
      <c r="F28" s="587">
        <f t="shared" ca="1" si="2"/>
        <v>103.00000000000001</v>
      </c>
      <c r="G28" s="587">
        <f t="shared" ca="1" si="2"/>
        <v>103.00000000000001</v>
      </c>
      <c r="H28" s="587">
        <f t="shared" ca="1" si="2"/>
        <v>103.00000000000001</v>
      </c>
      <c r="I28" s="587">
        <f t="shared" ca="1" si="2"/>
        <v>103.00000000000001</v>
      </c>
      <c r="J28" s="587">
        <f t="shared" ca="1" si="2"/>
        <v>103.00000000000001</v>
      </c>
      <c r="K28" s="587">
        <f t="shared" ca="1" si="2"/>
        <v>103.00000000000001</v>
      </c>
      <c r="L28" s="587">
        <f t="shared" ca="1" si="2"/>
        <v>103.00000000000001</v>
      </c>
      <c r="M28" s="588">
        <f t="shared" ca="1" si="2"/>
        <v>103.00000000000001</v>
      </c>
      <c r="N28" s="585">
        <f t="shared" ca="1" si="1"/>
        <v>1236.0000000000002</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399" t="str">
        <f t="array" ref="A32:A39">productos</f>
        <v>product 1</v>
      </c>
      <c r="B32" s="578">
        <f t="array" aca="1" ref="B32:M39" ca="1">B20:M27*Parameters!$F24:$F31</f>
        <v>21.630000000000003</v>
      </c>
      <c r="C32" s="579">
        <f ca="1"/>
        <v>21.630000000000003</v>
      </c>
      <c r="D32" s="579">
        <f ca="1"/>
        <v>21.630000000000003</v>
      </c>
      <c r="E32" s="579">
        <f ca="1"/>
        <v>21.630000000000003</v>
      </c>
      <c r="F32" s="579">
        <f ca="1"/>
        <v>21.630000000000003</v>
      </c>
      <c r="G32" s="579">
        <f ca="1"/>
        <v>21.630000000000003</v>
      </c>
      <c r="H32" s="579">
        <f ca="1"/>
        <v>21.630000000000003</v>
      </c>
      <c r="I32" s="579">
        <f ca="1"/>
        <v>21.630000000000003</v>
      </c>
      <c r="J32" s="579">
        <f ca="1"/>
        <v>21.630000000000003</v>
      </c>
      <c r="K32" s="579">
        <f ca="1"/>
        <v>21.630000000000003</v>
      </c>
      <c r="L32" s="579">
        <f ca="1"/>
        <v>21.630000000000003</v>
      </c>
      <c r="M32" s="589">
        <f ca="1"/>
        <v>21.630000000000003</v>
      </c>
      <c r="N32" s="571">
        <f t="shared" ca="1" si="1"/>
        <v>259.56</v>
      </c>
      <c r="O32" s="61"/>
    </row>
    <row r="33" spans="1:15"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5"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5"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5"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5"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5"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5"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5" ht="15.75" customHeight="1" thickBot="1">
      <c r="A40" s="2403" t="str">
        <f>A$28</f>
        <v>Monthly Totals</v>
      </c>
      <c r="B40" s="586">
        <f t="shared" ref="B40:M40" ca="1" si="3">SUM(B32:B39)</f>
        <v>21.630000000000003</v>
      </c>
      <c r="C40" s="587">
        <f t="shared" ca="1" si="3"/>
        <v>21.630000000000003</v>
      </c>
      <c r="D40" s="587">
        <f t="shared" ca="1" si="3"/>
        <v>21.630000000000003</v>
      </c>
      <c r="E40" s="587">
        <f t="shared" ca="1" si="3"/>
        <v>21.630000000000003</v>
      </c>
      <c r="F40" s="587">
        <f t="shared" ca="1" si="3"/>
        <v>21.630000000000003</v>
      </c>
      <c r="G40" s="587">
        <f t="shared" ca="1" si="3"/>
        <v>21.630000000000003</v>
      </c>
      <c r="H40" s="587">
        <f t="shared" ca="1" si="3"/>
        <v>21.630000000000003</v>
      </c>
      <c r="I40" s="587">
        <f t="shared" ca="1" si="3"/>
        <v>21.630000000000003</v>
      </c>
      <c r="J40" s="587">
        <f t="shared" ca="1" si="3"/>
        <v>21.630000000000003</v>
      </c>
      <c r="K40" s="587">
        <f t="shared" ca="1" si="3"/>
        <v>21.630000000000003</v>
      </c>
      <c r="L40" s="587">
        <f t="shared" ca="1" si="3"/>
        <v>21.630000000000003</v>
      </c>
      <c r="M40" s="588">
        <f t="shared" ca="1" si="3"/>
        <v>21.630000000000003</v>
      </c>
      <c r="N40" s="585">
        <f ca="1">SUM(B40:M40)</f>
        <v>259.56</v>
      </c>
      <c r="O40" s="61"/>
    </row>
    <row r="41" spans="1:15" ht="15">
      <c r="A41" s="211"/>
    </row>
    <row r="42" spans="1:15" ht="15">
      <c r="A42" s="211"/>
    </row>
    <row r="43" spans="1:15" ht="15">
      <c r="A43" s="211"/>
    </row>
    <row r="44" spans="1:15" ht="18.75" thickBot="1">
      <c r="A44" s="1921" t="str">
        <f>'DC Distr 0'!A44</f>
        <v>Production Costs during the year</v>
      </c>
      <c r="G44" s="2717" t="str">
        <f>$K$1</f>
        <v>Year 1:   2027</v>
      </c>
      <c r="I44" s="1921"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row>
    <row r="46" spans="1:15" ht="15.75" customHeight="1">
      <c r="A46" s="2399" t="str">
        <f t="array" ref="A46:A53">productos</f>
        <v>product 1</v>
      </c>
      <c r="B46" s="578">
        <f t="array" aca="1" ref="B46:M46" ca="1">N124:Y124</f>
        <v>103.00000000000001</v>
      </c>
      <c r="C46" s="579">
        <f ca="1"/>
        <v>103.00000000000001</v>
      </c>
      <c r="D46" s="579">
        <f ca="1"/>
        <v>103.00000000000001</v>
      </c>
      <c r="E46" s="579">
        <f ca="1"/>
        <v>103.00000000000001</v>
      </c>
      <c r="F46" s="579">
        <f ca="1"/>
        <v>103.00000000000001</v>
      </c>
      <c r="G46" s="579">
        <f ca="1"/>
        <v>103.00000000000001</v>
      </c>
      <c r="H46" s="579">
        <f ca="1"/>
        <v>103.00000000000001</v>
      </c>
      <c r="I46" s="579">
        <f ca="1"/>
        <v>103.00000000000001</v>
      </c>
      <c r="J46" s="579">
        <f ca="1"/>
        <v>103.00000000000001</v>
      </c>
      <c r="K46" s="579">
        <f ca="1"/>
        <v>103.00000000000001</v>
      </c>
      <c r="L46" s="579">
        <f ca="1"/>
        <v>103.00000000000001</v>
      </c>
      <c r="M46" s="589">
        <f ca="1"/>
        <v>103.00000000000001</v>
      </c>
      <c r="N46" s="571">
        <f t="shared" ref="N46:N54" ca="1" si="4">SUM(B46:M46)</f>
        <v>1236.0000000000002</v>
      </c>
      <c r="O46" s="61"/>
    </row>
    <row r="47" spans="1:15" ht="15.75" customHeight="1">
      <c r="A47" s="2400"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5" ht="15.75" customHeight="1">
      <c r="A48" s="2400"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5" ht="15.75" customHeight="1">
      <c r="A49" s="2400"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5" ht="15.75" customHeight="1">
      <c r="A50" s="2400"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5" ht="15.75" customHeight="1">
      <c r="A51" s="2400"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5" ht="15.75" customHeight="1">
      <c r="A52" s="2400"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5" ht="15.75" customHeight="1" thickBot="1">
      <c r="A53" s="2402"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5" ht="15.75" customHeight="1" thickBot="1">
      <c r="A54" s="2403" t="str">
        <f>A$28</f>
        <v>Monthly Totals</v>
      </c>
      <c r="B54" s="586">
        <f t="shared" ref="B54:M54" ca="1" si="5">SUM(B46:B53)</f>
        <v>103.00000000000001</v>
      </c>
      <c r="C54" s="587">
        <f t="shared" ca="1" si="5"/>
        <v>103.00000000000001</v>
      </c>
      <c r="D54" s="587">
        <f t="shared" ca="1" si="5"/>
        <v>103.00000000000001</v>
      </c>
      <c r="E54" s="587">
        <f t="shared" ca="1" si="5"/>
        <v>103.00000000000001</v>
      </c>
      <c r="F54" s="587">
        <f t="shared" ca="1" si="5"/>
        <v>103.00000000000001</v>
      </c>
      <c r="G54" s="587">
        <f t="shared" ca="1" si="5"/>
        <v>103.00000000000001</v>
      </c>
      <c r="H54" s="587">
        <f t="shared" ca="1" si="5"/>
        <v>103.00000000000001</v>
      </c>
      <c r="I54" s="587">
        <f t="shared" ca="1" si="5"/>
        <v>103.00000000000001</v>
      </c>
      <c r="J54" s="587">
        <f t="shared" ca="1" si="5"/>
        <v>103.00000000000001</v>
      </c>
      <c r="K54" s="587">
        <f t="shared" ca="1" si="5"/>
        <v>103.00000000000001</v>
      </c>
      <c r="L54" s="587">
        <f t="shared" ca="1" si="5"/>
        <v>103.00000000000001</v>
      </c>
      <c r="M54" s="588">
        <f t="shared" ca="1" si="5"/>
        <v>103.00000000000001</v>
      </c>
      <c r="N54" s="585">
        <f t="shared" ca="1" si="4"/>
        <v>1236.0000000000002</v>
      </c>
      <c r="O54" s="61"/>
    </row>
    <row r="55" spans="1:15">
      <c r="A55" s="981" t="s">
        <v>610</v>
      </c>
      <c r="B55" s="981">
        <f ca="1">SUM(B124:M124,B142:M142,B160:M160,B178:M178,B196:M196,B214:M214,B232:M232,B250:M250)</f>
        <v>0</v>
      </c>
    </row>
    <row r="57" spans="1:15" ht="18.75" thickBot="1">
      <c r="A57" s="1921" t="str">
        <f>'DC Distr 0'!A57</f>
        <v>Input VAT of production costs for year</v>
      </c>
      <c r="G57" s="2717" t="str">
        <f>$K$1</f>
        <v>Year 1:   2027</v>
      </c>
      <c r="I57" s="1921"/>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5" ht="15.75" customHeight="1">
      <c r="A59" s="2399" t="str">
        <f t="array" ref="A59:A66">productos</f>
        <v>product 1</v>
      </c>
      <c r="B59" s="578">
        <f t="array" aca="1" ref="B59:M59" ca="1">N125:Y125</f>
        <v>21.630000000000003</v>
      </c>
      <c r="C59" s="579">
        <f ca="1"/>
        <v>21.630000000000003</v>
      </c>
      <c r="D59" s="579">
        <f ca="1"/>
        <v>21.630000000000003</v>
      </c>
      <c r="E59" s="579">
        <f ca="1"/>
        <v>21.630000000000003</v>
      </c>
      <c r="F59" s="579">
        <f ca="1"/>
        <v>21.630000000000003</v>
      </c>
      <c r="G59" s="579">
        <f ca="1"/>
        <v>21.630000000000003</v>
      </c>
      <c r="H59" s="579">
        <f ca="1"/>
        <v>21.630000000000003</v>
      </c>
      <c r="I59" s="579">
        <f ca="1"/>
        <v>21.630000000000003</v>
      </c>
      <c r="J59" s="579">
        <f ca="1"/>
        <v>21.630000000000003</v>
      </c>
      <c r="K59" s="579">
        <f ca="1"/>
        <v>21.630000000000003</v>
      </c>
      <c r="L59" s="579">
        <f ca="1"/>
        <v>21.630000000000003</v>
      </c>
      <c r="M59" s="589">
        <f ca="1"/>
        <v>21.630000000000003</v>
      </c>
      <c r="N59" s="571">
        <f t="shared" ref="N59:N67" ca="1" si="6">SUM(B59:M59)</f>
        <v>259.56</v>
      </c>
      <c r="O59" s="61"/>
    </row>
    <row r="60" spans="1:15" ht="15.75" customHeight="1">
      <c r="A60" s="2400"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row>
    <row r="61" spans="1:15" ht="15.75" customHeight="1">
      <c r="A61" s="2400"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row>
    <row r="62" spans="1:15" ht="15.75" customHeight="1">
      <c r="A62" s="2400"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row>
    <row r="63" spans="1:15" ht="15.75" customHeight="1">
      <c r="A63" s="2400"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row>
    <row r="64" spans="1:15" ht="15.75" customHeight="1">
      <c r="A64" s="2400"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row>
    <row r="65" spans="1:26" ht="15.75" customHeight="1">
      <c r="A65" s="2400"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row>
    <row r="66" spans="1:26" ht="15.75" customHeight="1" thickBot="1">
      <c r="A66" s="2402"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row>
    <row r="67" spans="1:26" ht="15.75" customHeight="1" thickBot="1">
      <c r="A67" s="2403" t="str">
        <f>A$28</f>
        <v>Monthly Totals</v>
      </c>
      <c r="B67" s="586">
        <f t="shared" ref="B67:M67" ca="1" si="7">SUM(B59:B66)</f>
        <v>21.630000000000003</v>
      </c>
      <c r="C67" s="587">
        <f t="shared" ca="1" si="7"/>
        <v>21.630000000000003</v>
      </c>
      <c r="D67" s="587">
        <f t="shared" ca="1" si="7"/>
        <v>21.630000000000003</v>
      </c>
      <c r="E67" s="587">
        <f t="shared" ca="1" si="7"/>
        <v>21.630000000000003</v>
      </c>
      <c r="F67" s="587">
        <f t="shared" ca="1" si="7"/>
        <v>21.630000000000003</v>
      </c>
      <c r="G67" s="587">
        <f t="shared" ca="1" si="7"/>
        <v>21.630000000000003</v>
      </c>
      <c r="H67" s="587">
        <f t="shared" ca="1" si="7"/>
        <v>21.630000000000003</v>
      </c>
      <c r="I67" s="587">
        <f t="shared" ca="1" si="7"/>
        <v>21.630000000000003</v>
      </c>
      <c r="J67" s="587">
        <f t="shared" ca="1" si="7"/>
        <v>21.630000000000003</v>
      </c>
      <c r="K67" s="587">
        <f t="shared" ca="1" si="7"/>
        <v>21.630000000000003</v>
      </c>
      <c r="L67" s="587">
        <f t="shared" ca="1" si="7"/>
        <v>21.630000000000003</v>
      </c>
      <c r="M67" s="588">
        <f t="shared" ca="1" si="7"/>
        <v>21.630000000000003</v>
      </c>
      <c r="N67" s="585">
        <f t="shared" ca="1" si="6"/>
        <v>259.56</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1" t="str">
        <f>'DC Distr 0'!A70</f>
        <v xml:space="preserve">Monthy distribution of Production Costs for the units sold during the year </v>
      </c>
      <c r="I70" s="1921" t="str">
        <f>I$18</f>
        <v>VAT NOT included</v>
      </c>
    </row>
    <row r="71" spans="1:26" s="440" customFormat="1" ht="32.25" customHeight="1" thickBot="1">
      <c r="A71" s="441" t="s">
        <v>595</v>
      </c>
      <c r="B71" s="1938" t="str">
        <f t="array" ref="B71:M71">CONCATENATE(meses,"
",Parameters!B76:M76)</f>
        <v>January
2026</v>
      </c>
      <c r="C71" s="1938" t="str">
        <v>February
2026</v>
      </c>
      <c r="D71" s="1938" t="str">
        <v>March
2026</v>
      </c>
      <c r="E71" s="1938" t="str">
        <v>April
2026</v>
      </c>
      <c r="F71" s="1938" t="str">
        <v>May
2026</v>
      </c>
      <c r="G71" s="1938" t="str">
        <v>June
2026</v>
      </c>
      <c r="H71" s="1938" t="str">
        <v>July
2026</v>
      </c>
      <c r="I71" s="1938" t="str">
        <v>August
2026</v>
      </c>
      <c r="J71" s="1938" t="str">
        <v>September
2026</v>
      </c>
      <c r="K71" s="1938" t="str">
        <v>October
2026</v>
      </c>
      <c r="L71" s="1938" t="str">
        <v>November
2026</v>
      </c>
      <c r="M71" s="1938" t="str">
        <v>December
2026</v>
      </c>
      <c r="N71" s="2718" t="str">
        <f t="array" ref="N71:Y71">'Sales Forecasts'!B18:M18</f>
        <v>January 
2027</v>
      </c>
      <c r="O71" s="2719" t="str">
        <v>February 
2027</v>
      </c>
      <c r="P71" s="2719" t="str">
        <v>March 
2027</v>
      </c>
      <c r="Q71" s="2719" t="str">
        <v>April 
2027</v>
      </c>
      <c r="R71" s="2719" t="str">
        <v>May 
2027</v>
      </c>
      <c r="S71" s="2719" t="str">
        <v>June 
2027</v>
      </c>
      <c r="T71" s="2719" t="str">
        <v>July 
2027</v>
      </c>
      <c r="U71" s="2719" t="str">
        <v>August 
2027</v>
      </c>
      <c r="V71" s="2719" t="str">
        <v>September 
2027</v>
      </c>
      <c r="W71" s="2719" t="str">
        <v>October 
2027</v>
      </c>
      <c r="X71" s="2719" t="str">
        <v>November 
2027</v>
      </c>
      <c r="Y71" s="2720" t="str">
        <v>December 
2027</v>
      </c>
      <c r="Z71" s="61"/>
    </row>
    <row r="72" spans="1:26" ht="15.75" customHeight="1">
      <c r="A72" s="1922" t="s">
        <v>596</v>
      </c>
      <c r="B72" s="1919"/>
      <c r="C72" s="1919"/>
      <c r="D72" s="1919"/>
      <c r="E72" s="1919"/>
      <c r="F72" s="1919"/>
      <c r="G72" s="1919"/>
      <c r="H72" s="1917"/>
      <c r="I72" s="1918"/>
      <c r="J72" s="1918"/>
      <c r="K72" s="1918"/>
      <c r="L72" s="1918"/>
      <c r="M72" s="1918"/>
      <c r="N72" s="579">
        <f t="array" aca="1" ref="N72" ca="1">SUM(B20:B27*Production!$N$8:$N$15)</f>
        <v>103.00000000000001</v>
      </c>
      <c r="O72" s="579">
        <f t="array" aca="1" ref="O72" ca="1">SUM(C20:C27*Production!$N$8:$N$15)</f>
        <v>103.00000000000001</v>
      </c>
      <c r="P72" s="579">
        <f t="array" aca="1" ref="P72" ca="1">SUM(D20:D27*Production!$N$8:$N$15)</f>
        <v>103.00000000000001</v>
      </c>
      <c r="Q72" s="579">
        <f t="array" aca="1" ref="Q72" ca="1">SUM(E20:E27*Production!$N$8:$N$15)</f>
        <v>103.00000000000001</v>
      </c>
      <c r="R72" s="579">
        <f t="array" aca="1" ref="R72" ca="1">SUM(F20:F27*Production!$N$8:$N$15)</f>
        <v>103.00000000000001</v>
      </c>
      <c r="S72" s="579">
        <f t="array" aca="1" ref="S72" ca="1">SUM(G20:G27*Production!$N$8:$N$15)</f>
        <v>103.00000000000001</v>
      </c>
      <c r="T72" s="579">
        <f t="array" aca="1" ref="T72" ca="1">SUM(H20:H27*Production!$N$8:$N$15)</f>
        <v>103.00000000000001</v>
      </c>
      <c r="U72" s="579">
        <f t="array" aca="1" ref="U72" ca="1">SUM(I20:I27*Production!$N$8:$N$15)</f>
        <v>103.00000000000001</v>
      </c>
      <c r="V72" s="579">
        <f t="array" aca="1" ref="V72" ca="1">SUM(J20:J27*Production!$N$8:$N$15)</f>
        <v>103.00000000000001</v>
      </c>
      <c r="W72" s="579">
        <f t="array" aca="1" ref="W72" ca="1">SUM(K20:K27*Production!$N$8:$N$15)</f>
        <v>103.00000000000001</v>
      </c>
      <c r="X72" s="579">
        <f t="array" aca="1" ref="X72" ca="1">SUM(L20:L27*Production!$N$8:$N$15)</f>
        <v>103.00000000000001</v>
      </c>
      <c r="Y72" s="1936">
        <f t="array" aca="1" ref="Y72" ca="1">SUM(M20:M27*Production!$N$8:$N$15)</f>
        <v>103.00000000000001</v>
      </c>
    </row>
    <row r="73" spans="1:26" ht="15.75" customHeight="1">
      <c r="A73" s="1923" t="s">
        <v>597</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f t="array" aca="1" ref="Y73:Y84" ca="1">'DC Distr 2'!M73:M84</f>
        <v>0</v>
      </c>
    </row>
    <row r="74" spans="1:26" ht="15.75" customHeight="1">
      <c r="A74" s="1923" t="s">
        <v>598</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f t="array" aca="1" ref="X74:X84" ca="1">'DC Distr 2'!L74:L84</f>
        <v>0</v>
      </c>
      <c r="Y74" s="1934">
        <f ca="1"/>
        <v>0</v>
      </c>
    </row>
    <row r="75" spans="1:26" ht="15.75" customHeight="1">
      <c r="A75" s="1923" t="s">
        <v>599</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f t="array" aca="1" ref="W75:W84" ca="1">'DC Distr 2'!K75:K84</f>
        <v>0</v>
      </c>
      <c r="X75" s="1916">
        <f ca="1"/>
        <v>0</v>
      </c>
      <c r="Y75" s="1934">
        <f ca="1"/>
        <v>0</v>
      </c>
    </row>
    <row r="76" spans="1:26" ht="15.75" customHeight="1">
      <c r="A76" s="1923" t="s">
        <v>600</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f t="array" aca="1" ref="V76:V84" ca="1">'DC Distr 2'!J76:J84</f>
        <v>0</v>
      </c>
      <c r="W76" s="1916">
        <f ca="1"/>
        <v>0</v>
      </c>
      <c r="X76" s="1916">
        <f ca="1"/>
        <v>0</v>
      </c>
      <c r="Y76" s="1934">
        <f ca="1"/>
        <v>0</v>
      </c>
    </row>
    <row r="77" spans="1:26" ht="15.75" customHeight="1">
      <c r="A77" s="1923" t="s">
        <v>601</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f t="array" aca="1" ref="U77:U84" ca="1">'DC Distr 2'!I77:I84</f>
        <v>0</v>
      </c>
      <c r="V77" s="1916">
        <f ca="1"/>
        <v>0</v>
      </c>
      <c r="W77" s="1916">
        <f ca="1"/>
        <v>0</v>
      </c>
      <c r="X77" s="1916">
        <f ca="1"/>
        <v>0</v>
      </c>
      <c r="Y77" s="1934">
        <f ca="1"/>
        <v>0</v>
      </c>
    </row>
    <row r="78" spans="1:26" ht="15.75" customHeight="1">
      <c r="A78" s="1923" t="s">
        <v>602</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f t="array" aca="1" ref="T78:T84" ca="1">'DC Distr 2'!H78:H84</f>
        <v>0</v>
      </c>
      <c r="U78" s="1916">
        <f ca="1"/>
        <v>0</v>
      </c>
      <c r="V78" s="1916">
        <f ca="1"/>
        <v>0</v>
      </c>
      <c r="W78" s="1916">
        <f ca="1"/>
        <v>0</v>
      </c>
      <c r="X78" s="1916">
        <f ca="1"/>
        <v>0</v>
      </c>
      <c r="Y78" s="1934">
        <f ca="1"/>
        <v>0</v>
      </c>
    </row>
    <row r="79" spans="1:26" ht="15.75" customHeight="1">
      <c r="A79" s="1923" t="s">
        <v>603</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f t="array" aca="1" ref="S79:S84" ca="1">'DC Distr 2'!G79:G84</f>
        <v>0</v>
      </c>
      <c r="T79" s="1920">
        <f ca="1"/>
        <v>0</v>
      </c>
      <c r="U79" s="1920">
        <f ca="1"/>
        <v>0</v>
      </c>
      <c r="V79" s="1920">
        <f ca="1"/>
        <v>0</v>
      </c>
      <c r="W79" s="1920">
        <f ca="1"/>
        <v>0</v>
      </c>
      <c r="X79" s="1920">
        <f ca="1"/>
        <v>0</v>
      </c>
      <c r="Y79" s="1937">
        <f ca="1"/>
        <v>0</v>
      </c>
    </row>
    <row r="80" spans="1:26" ht="15.75" customHeight="1">
      <c r="A80" s="1923" t="s">
        <v>604</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f t="array" aca="1" ref="R80:R84" ca="1">'DC Distr 2'!F80:F84</f>
        <v>0</v>
      </c>
      <c r="S80" s="1920">
        <f ca="1"/>
        <v>0</v>
      </c>
      <c r="T80" s="1920">
        <f ca="1"/>
        <v>0</v>
      </c>
      <c r="U80" s="1920">
        <f ca="1"/>
        <v>0</v>
      </c>
      <c r="V80" s="1920">
        <f ca="1"/>
        <v>0</v>
      </c>
      <c r="W80" s="1920">
        <f ca="1"/>
        <v>0</v>
      </c>
      <c r="X80" s="1920">
        <f ca="1"/>
        <v>0</v>
      </c>
      <c r="Y80" s="1937">
        <f ca="1"/>
        <v>0</v>
      </c>
    </row>
    <row r="81" spans="1:26" ht="15.75" customHeight="1">
      <c r="A81" s="1923" t="s">
        <v>605</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f t="array" aca="1" ref="Q81:Q84" ca="1">'DC Distr 2'!E81:E84</f>
        <v>0</v>
      </c>
      <c r="R81" s="1920">
        <f ca="1"/>
        <v>0</v>
      </c>
      <c r="S81" s="1920">
        <f ca="1"/>
        <v>0</v>
      </c>
      <c r="T81" s="1920">
        <f ca="1"/>
        <v>0</v>
      </c>
      <c r="U81" s="1920">
        <f ca="1"/>
        <v>0</v>
      </c>
      <c r="V81" s="1920">
        <f ca="1"/>
        <v>0</v>
      </c>
      <c r="W81" s="1920">
        <f ca="1"/>
        <v>0</v>
      </c>
      <c r="X81" s="1920">
        <f ca="1"/>
        <v>0</v>
      </c>
      <c r="Y81" s="1937">
        <f ca="1"/>
        <v>0</v>
      </c>
    </row>
    <row r="82" spans="1:26" ht="15.75" customHeight="1">
      <c r="A82" s="1923" t="s">
        <v>606</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f t="array" aca="1" ref="P82:P84" ca="1">'DC Distr 2'!D82:D84</f>
        <v>0</v>
      </c>
      <c r="Q82" s="1920">
        <f ca="1"/>
        <v>0</v>
      </c>
      <c r="R82" s="1920">
        <f ca="1"/>
        <v>0</v>
      </c>
      <c r="S82" s="1920">
        <f ca="1"/>
        <v>0</v>
      </c>
      <c r="T82" s="1920">
        <f ca="1"/>
        <v>0</v>
      </c>
      <c r="U82" s="1920">
        <f ca="1"/>
        <v>0</v>
      </c>
      <c r="V82" s="1920">
        <f ca="1"/>
        <v>0</v>
      </c>
      <c r="W82" s="1920">
        <f ca="1"/>
        <v>0</v>
      </c>
      <c r="X82" s="1920">
        <f ca="1"/>
        <v>0</v>
      </c>
      <c r="Y82" s="1937">
        <f ca="1"/>
        <v>0</v>
      </c>
    </row>
    <row r="83" spans="1:26" ht="15.75" customHeight="1">
      <c r="A83" s="1923" t="s">
        <v>607</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f t="array" aca="1" ref="O83:O84" ca="1">'DC Distr 2'!C83:C84</f>
        <v>0</v>
      </c>
      <c r="P83" s="1920">
        <f ca="1"/>
        <v>0</v>
      </c>
      <c r="Q83" s="1920">
        <f ca="1"/>
        <v>0</v>
      </c>
      <c r="R83" s="1920">
        <f ca="1"/>
        <v>0</v>
      </c>
      <c r="S83" s="1920">
        <f ca="1"/>
        <v>0</v>
      </c>
      <c r="T83" s="1920">
        <f ca="1"/>
        <v>0</v>
      </c>
      <c r="U83" s="1920">
        <f ca="1"/>
        <v>0</v>
      </c>
      <c r="V83" s="1920">
        <f ca="1"/>
        <v>0</v>
      </c>
      <c r="W83" s="1920">
        <f ca="1"/>
        <v>0</v>
      </c>
      <c r="X83" s="1920">
        <f ca="1"/>
        <v>0</v>
      </c>
      <c r="Y83" s="1937">
        <f ca="1"/>
        <v>0</v>
      </c>
    </row>
    <row r="84" spans="1:26" ht="15.75" customHeight="1" thickBot="1">
      <c r="A84" s="1923"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f ca="1">'DC Distr 2'!B84</f>
        <v>0</v>
      </c>
      <c r="O84" s="1920">
        <f ca="1"/>
        <v>0</v>
      </c>
      <c r="P84" s="1920">
        <f ca="1"/>
        <v>0</v>
      </c>
      <c r="Q84" s="1920">
        <f ca="1"/>
        <v>0</v>
      </c>
      <c r="R84" s="1920">
        <f ca="1"/>
        <v>0</v>
      </c>
      <c r="S84" s="1920">
        <f ca="1"/>
        <v>0</v>
      </c>
      <c r="T84" s="1920">
        <f ca="1"/>
        <v>0</v>
      </c>
      <c r="U84" s="1920">
        <f ca="1"/>
        <v>0</v>
      </c>
      <c r="V84" s="1920">
        <f ca="1"/>
        <v>0</v>
      </c>
      <c r="W84" s="1920">
        <f ca="1"/>
        <v>0</v>
      </c>
      <c r="X84" s="1920">
        <f ca="1"/>
        <v>0</v>
      </c>
      <c r="Y84" s="1937">
        <f ca="1"/>
        <v>0</v>
      </c>
    </row>
    <row r="85" spans="1:26" ht="15.75" customHeight="1" thickBot="1">
      <c r="A85" s="2403" t="str">
        <f>A$28</f>
        <v>Monthly Totals</v>
      </c>
      <c r="B85" s="587">
        <f t="shared" ref="B85:Y85" ca="1" si="8">SUM(B72:B84)</f>
        <v>0</v>
      </c>
      <c r="C85" s="587">
        <f t="shared" ca="1" si="8"/>
        <v>0</v>
      </c>
      <c r="D85" s="587">
        <f t="shared" ca="1" si="8"/>
        <v>0</v>
      </c>
      <c r="E85" s="587">
        <f t="shared" ca="1" si="8"/>
        <v>0</v>
      </c>
      <c r="F85" s="587">
        <f t="shared" ca="1" si="8"/>
        <v>0</v>
      </c>
      <c r="G85" s="587">
        <f ca="1">SUM(G72:G84)</f>
        <v>0</v>
      </c>
      <c r="H85" s="587">
        <f t="shared" ca="1" si="8"/>
        <v>0</v>
      </c>
      <c r="I85" s="587">
        <f t="shared" ca="1" si="8"/>
        <v>0</v>
      </c>
      <c r="J85" s="587">
        <f t="shared" ca="1" si="8"/>
        <v>0</v>
      </c>
      <c r="K85" s="587">
        <f t="shared" ca="1" si="8"/>
        <v>0</v>
      </c>
      <c r="L85" s="587">
        <f t="shared" ca="1" si="8"/>
        <v>0</v>
      </c>
      <c r="M85" s="587">
        <f t="shared" ca="1" si="8"/>
        <v>0</v>
      </c>
      <c r="N85" s="587">
        <f t="shared" ca="1" si="8"/>
        <v>103.00000000000001</v>
      </c>
      <c r="O85" s="587">
        <f t="shared" ca="1" si="8"/>
        <v>103.00000000000001</v>
      </c>
      <c r="P85" s="587">
        <f t="shared" ca="1" si="8"/>
        <v>103.00000000000001</v>
      </c>
      <c r="Q85" s="587">
        <f t="shared" ca="1" si="8"/>
        <v>103.00000000000001</v>
      </c>
      <c r="R85" s="587">
        <f t="shared" ca="1" si="8"/>
        <v>103.00000000000001</v>
      </c>
      <c r="S85" s="587">
        <f t="shared" ca="1" si="8"/>
        <v>103.00000000000001</v>
      </c>
      <c r="T85" s="587">
        <f t="shared" ca="1" si="8"/>
        <v>103.00000000000001</v>
      </c>
      <c r="U85" s="587">
        <f t="shared" ca="1" si="8"/>
        <v>103.00000000000001</v>
      </c>
      <c r="V85" s="587">
        <f t="shared" ca="1" si="8"/>
        <v>103.00000000000001</v>
      </c>
      <c r="W85" s="587">
        <f t="shared" ca="1" si="8"/>
        <v>103.00000000000001</v>
      </c>
      <c r="X85" s="587">
        <f t="shared" ca="1" si="8"/>
        <v>103.00000000000001</v>
      </c>
      <c r="Y85" s="1935">
        <f t="shared" ca="1" si="8"/>
        <v>103.00000000000001</v>
      </c>
    </row>
    <row r="86" spans="1:26">
      <c r="B86" s="61"/>
    </row>
    <row r="87" spans="1:26">
      <c r="A87" s="230" t="s">
        <v>610</v>
      </c>
      <c r="B87" s="61">
        <f ca="1">SUM(B85:M85)</f>
        <v>0</v>
      </c>
    </row>
    <row r="88" spans="1:26">
      <c r="B88" s="61"/>
    </row>
    <row r="89" spans="1:26" ht="18.75" thickBot="1">
      <c r="A89" s="1921" t="str">
        <f>'DC Distr 0'!A89</f>
        <v>Input VAT of production costs by purchasing (effective) cost months</v>
      </c>
      <c r="I89" s="1921"/>
    </row>
    <row r="90" spans="1:26" s="440" customFormat="1" ht="35.25" customHeight="1" thickBot="1">
      <c r="A90" s="441" t="str">
        <f>A71&amp;" "&amp;'Base Data'!$A$28</f>
        <v>Production Costs VAT</v>
      </c>
      <c r="B90" s="1938" t="str">
        <f t="array" ref="B90:Y90">B$71:Y$71</f>
        <v>January
2026</v>
      </c>
      <c r="C90" s="1938" t="str">
        <v>February
2026</v>
      </c>
      <c r="D90" s="1938" t="str">
        <v>March
2026</v>
      </c>
      <c r="E90" s="1938" t="str">
        <v>April
2026</v>
      </c>
      <c r="F90" s="1938" t="str">
        <v>May
2026</v>
      </c>
      <c r="G90" s="1938" t="str">
        <v>June
2026</v>
      </c>
      <c r="H90" s="1938" t="str">
        <v>July
2026</v>
      </c>
      <c r="I90" s="1938" t="str">
        <v>August
2026</v>
      </c>
      <c r="J90" s="1938" t="str">
        <v>September
2026</v>
      </c>
      <c r="K90" s="1938" t="str">
        <v>October
2026</v>
      </c>
      <c r="L90" s="1938" t="str">
        <v>November
2026</v>
      </c>
      <c r="M90" s="1938" t="str">
        <v>December
2026</v>
      </c>
      <c r="N90" s="2721" t="str">
        <v>January 
2027</v>
      </c>
      <c r="O90" s="2722" t="str">
        <v>February 
2027</v>
      </c>
      <c r="P90" s="2722" t="str">
        <v>March 
2027</v>
      </c>
      <c r="Q90" s="2722" t="str">
        <v>April 
2027</v>
      </c>
      <c r="R90" s="2722" t="str">
        <v>May 
2027</v>
      </c>
      <c r="S90" s="2722" t="str">
        <v>June 
2027</v>
      </c>
      <c r="T90" s="2722" t="str">
        <v>July 
2027</v>
      </c>
      <c r="U90" s="2722" t="str">
        <v>August 
2027</v>
      </c>
      <c r="V90" s="2722" t="str">
        <v>September 
2027</v>
      </c>
      <c r="W90" s="2722" t="str">
        <v>October 
2027</v>
      </c>
      <c r="X90" s="2722" t="str">
        <v>November 
2027</v>
      </c>
      <c r="Y90" s="2723" t="str">
        <v>December 
2027</v>
      </c>
      <c r="Z90" s="61"/>
    </row>
    <row r="91" spans="1:26" ht="15.75" customHeight="1">
      <c r="A91" s="1922" t="str">
        <f t="array" ref="A91:A103">A$72:A$84</f>
        <v>same month</v>
      </c>
      <c r="B91" s="1919"/>
      <c r="C91" s="1919"/>
      <c r="D91" s="1919"/>
      <c r="E91" s="1919"/>
      <c r="F91" s="1919"/>
      <c r="G91" s="1919"/>
      <c r="H91" s="1917"/>
      <c r="I91" s="1918"/>
      <c r="J91" s="1918"/>
      <c r="K91" s="1918"/>
      <c r="L91" s="1918"/>
      <c r="M91" s="1918"/>
      <c r="N91" s="579">
        <f t="array" aca="1" ref="N91" ca="1">SUM(B32:B39*Production!$N$8:$N$15)</f>
        <v>21.630000000000003</v>
      </c>
      <c r="O91" s="579">
        <f t="array" aca="1" ref="O91" ca="1">SUM(C32:C39*Production!$N$8:$N$15)</f>
        <v>21.630000000000003</v>
      </c>
      <c r="P91" s="579">
        <f t="array" aca="1" ref="P91" ca="1">SUM(D32:D39*Production!$N$8:$N$15)</f>
        <v>21.630000000000003</v>
      </c>
      <c r="Q91" s="579">
        <f t="array" aca="1" ref="Q91" ca="1">SUM(E32:E39*Production!$N$8:$N$15)</f>
        <v>21.630000000000003</v>
      </c>
      <c r="R91" s="579">
        <f t="array" aca="1" ref="R91" ca="1">SUM(F32:F39*Production!$N$8:$N$15)</f>
        <v>21.630000000000003</v>
      </c>
      <c r="S91" s="579">
        <f t="array" aca="1" ref="S91" ca="1">SUM(G32:G39*Production!$N$8:$N$15)</f>
        <v>21.630000000000003</v>
      </c>
      <c r="T91" s="579">
        <f t="array" aca="1" ref="T91" ca="1">SUM(H32:H39*Production!$N$8:$N$15)</f>
        <v>21.630000000000003</v>
      </c>
      <c r="U91" s="579">
        <f t="array" aca="1" ref="U91" ca="1">SUM(I32:I39*Production!$N$8:$N$15)</f>
        <v>21.630000000000003</v>
      </c>
      <c r="V91" s="579">
        <f t="array" aca="1" ref="V91" ca="1">SUM(J32:J39*Production!$N$8:$N$15)</f>
        <v>21.630000000000003</v>
      </c>
      <c r="W91" s="579">
        <f t="array" aca="1" ref="W91" ca="1">SUM(K32:K39*Production!$N$8:$N$15)</f>
        <v>21.630000000000003</v>
      </c>
      <c r="X91" s="579">
        <f t="array" aca="1" ref="X91" ca="1">SUM(L32:L39*Production!$N$8:$N$15)</f>
        <v>21.630000000000003</v>
      </c>
      <c r="Y91" s="1936">
        <f t="array" aca="1" ref="Y91" ca="1">SUM(M32:M39*Production!$N$8:$N$15)</f>
        <v>21.630000000000003</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f t="array" aca="1" ref="Y92:Y103" ca="1">'DC Distr 2'!M92:M103</f>
        <v>0</v>
      </c>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f t="array" aca="1" ref="X93:X103" ca="1">'DC Distr 2'!L93:L103</f>
        <v>0</v>
      </c>
      <c r="Y93" s="1934">
        <f ca="1"/>
        <v>0</v>
      </c>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f t="array" aca="1" ref="W94:W103" ca="1">'DC Distr 2'!K94:K103</f>
        <v>0</v>
      </c>
      <c r="X94" s="1916">
        <f ca="1"/>
        <v>0</v>
      </c>
      <c r="Y94" s="1934">
        <f ca="1"/>
        <v>0</v>
      </c>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f t="array" aca="1" ref="V95:V103" ca="1">'DC Distr 2'!J95:J103</f>
        <v>0</v>
      </c>
      <c r="W95" s="1916">
        <f ca="1"/>
        <v>0</v>
      </c>
      <c r="X95" s="1916">
        <f ca="1"/>
        <v>0</v>
      </c>
      <c r="Y95" s="1934">
        <f ca="1"/>
        <v>0</v>
      </c>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f t="array" aca="1" ref="U96:U103" ca="1">'DC Distr 2'!I96:I103</f>
        <v>0</v>
      </c>
      <c r="V96" s="1916">
        <f ca="1"/>
        <v>0</v>
      </c>
      <c r="W96" s="1916">
        <f ca="1"/>
        <v>0</v>
      </c>
      <c r="X96" s="1916">
        <f ca="1"/>
        <v>0</v>
      </c>
      <c r="Y96" s="1934">
        <f ca="1"/>
        <v>0</v>
      </c>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f t="array" aca="1" ref="T97:T103" ca="1">'DC Distr 2'!H97:H103</f>
        <v>0</v>
      </c>
      <c r="U97" s="1916">
        <f ca="1"/>
        <v>0</v>
      </c>
      <c r="V97" s="1916">
        <f ca="1"/>
        <v>0</v>
      </c>
      <c r="W97" s="1916">
        <f ca="1"/>
        <v>0</v>
      </c>
      <c r="X97" s="1916">
        <f ca="1"/>
        <v>0</v>
      </c>
      <c r="Y97" s="1934">
        <f ca="1"/>
        <v>0</v>
      </c>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f t="array" aca="1" ref="S98:S103" ca="1">'DC Distr 2'!G98:G103</f>
        <v>0</v>
      </c>
      <c r="T98" s="1920">
        <f ca="1"/>
        <v>0</v>
      </c>
      <c r="U98" s="1920">
        <f ca="1"/>
        <v>0</v>
      </c>
      <c r="V98" s="1920">
        <f ca="1"/>
        <v>0</v>
      </c>
      <c r="W98" s="1920">
        <f ca="1"/>
        <v>0</v>
      </c>
      <c r="X98" s="1920">
        <f ca="1"/>
        <v>0</v>
      </c>
      <c r="Y98" s="1937">
        <f ca="1"/>
        <v>0</v>
      </c>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f t="array" aca="1" ref="R99:R103" ca="1">'DC Distr 2'!F99:F103</f>
        <v>0</v>
      </c>
      <c r="S99" s="1920">
        <f ca="1"/>
        <v>0</v>
      </c>
      <c r="T99" s="1920">
        <f ca="1"/>
        <v>0</v>
      </c>
      <c r="U99" s="1920">
        <f ca="1"/>
        <v>0</v>
      </c>
      <c r="V99" s="1920">
        <f ca="1"/>
        <v>0</v>
      </c>
      <c r="W99" s="1920">
        <f ca="1"/>
        <v>0</v>
      </c>
      <c r="X99" s="1920">
        <f ca="1"/>
        <v>0</v>
      </c>
      <c r="Y99" s="1937">
        <f ca="1"/>
        <v>0</v>
      </c>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f t="array" aca="1" ref="Q100:Q103" ca="1">'DC Distr 2'!E100:E103</f>
        <v>0</v>
      </c>
      <c r="R100" s="1920">
        <f ca="1"/>
        <v>0</v>
      </c>
      <c r="S100" s="1920">
        <f ca="1"/>
        <v>0</v>
      </c>
      <c r="T100" s="1920">
        <f ca="1"/>
        <v>0</v>
      </c>
      <c r="U100" s="1920">
        <f ca="1"/>
        <v>0</v>
      </c>
      <c r="V100" s="1920">
        <f ca="1"/>
        <v>0</v>
      </c>
      <c r="W100" s="1920">
        <f ca="1"/>
        <v>0</v>
      </c>
      <c r="X100" s="1920">
        <f ca="1"/>
        <v>0</v>
      </c>
      <c r="Y100" s="1937">
        <f ca="1"/>
        <v>0</v>
      </c>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f t="array" aca="1" ref="P101:P103" ca="1">'DC Distr 2'!D101:D103</f>
        <v>0</v>
      </c>
      <c r="Q101" s="1920">
        <f ca="1"/>
        <v>0</v>
      </c>
      <c r="R101" s="1920">
        <f ca="1"/>
        <v>0</v>
      </c>
      <c r="S101" s="1920">
        <f ca="1"/>
        <v>0</v>
      </c>
      <c r="T101" s="1920">
        <f ca="1"/>
        <v>0</v>
      </c>
      <c r="U101" s="1920">
        <f ca="1"/>
        <v>0</v>
      </c>
      <c r="V101" s="1920">
        <f ca="1"/>
        <v>0</v>
      </c>
      <c r="W101" s="1920">
        <f ca="1"/>
        <v>0</v>
      </c>
      <c r="X101" s="1920">
        <f ca="1"/>
        <v>0</v>
      </c>
      <c r="Y101" s="1937">
        <f ca="1"/>
        <v>0</v>
      </c>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f ca="1">'DC Distr 2'!C102</f>
        <v>0</v>
      </c>
      <c r="P102" s="1920">
        <f ca="1"/>
        <v>0</v>
      </c>
      <c r="Q102" s="1920">
        <f ca="1"/>
        <v>0</v>
      </c>
      <c r="R102" s="1920">
        <f ca="1"/>
        <v>0</v>
      </c>
      <c r="S102" s="1920">
        <f ca="1"/>
        <v>0</v>
      </c>
      <c r="T102" s="1920">
        <f ca="1"/>
        <v>0</v>
      </c>
      <c r="U102" s="1920">
        <f ca="1"/>
        <v>0</v>
      </c>
      <c r="V102" s="1920">
        <f ca="1"/>
        <v>0</v>
      </c>
      <c r="W102" s="1920">
        <f ca="1"/>
        <v>0</v>
      </c>
      <c r="X102" s="1920">
        <f ca="1"/>
        <v>0</v>
      </c>
      <c r="Y102" s="1937">
        <f ca="1"/>
        <v>0</v>
      </c>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f ca="1">'DC Distr 2'!B103</f>
        <v>0</v>
      </c>
      <c r="O103" s="1920">
        <f ca="1">'DC Distr 2'!C103</f>
        <v>0</v>
      </c>
      <c r="P103" s="1920">
        <f ca="1"/>
        <v>0</v>
      </c>
      <c r="Q103" s="1920">
        <f ca="1"/>
        <v>0</v>
      </c>
      <c r="R103" s="1920">
        <f ca="1"/>
        <v>0</v>
      </c>
      <c r="S103" s="1920">
        <f ca="1"/>
        <v>0</v>
      </c>
      <c r="T103" s="1920">
        <f ca="1"/>
        <v>0</v>
      </c>
      <c r="U103" s="1920">
        <f ca="1"/>
        <v>0</v>
      </c>
      <c r="V103" s="1920">
        <f ca="1"/>
        <v>0</v>
      </c>
      <c r="W103" s="1920">
        <f ca="1"/>
        <v>0</v>
      </c>
      <c r="X103" s="1920">
        <f ca="1"/>
        <v>0</v>
      </c>
      <c r="Y103" s="1937">
        <f ca="1"/>
        <v>0</v>
      </c>
    </row>
    <row r="104" spans="1:26" ht="15.75" customHeight="1" thickBot="1">
      <c r="A104" s="2403" t="str">
        <f>A$28</f>
        <v>Monthly Totals</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21.630000000000003</v>
      </c>
      <c r="O104" s="587">
        <f t="shared" ca="1" si="9"/>
        <v>21.630000000000003</v>
      </c>
      <c r="P104" s="587">
        <f t="shared" ca="1" si="9"/>
        <v>21.630000000000003</v>
      </c>
      <c r="Q104" s="587">
        <f t="shared" ca="1" si="9"/>
        <v>21.630000000000003</v>
      </c>
      <c r="R104" s="587">
        <f t="shared" ca="1" si="9"/>
        <v>21.630000000000003</v>
      </c>
      <c r="S104" s="587">
        <f t="shared" ca="1" si="9"/>
        <v>21.630000000000003</v>
      </c>
      <c r="T104" s="587">
        <f t="shared" ca="1" si="9"/>
        <v>21.630000000000003</v>
      </c>
      <c r="U104" s="587">
        <f t="shared" ca="1" si="9"/>
        <v>21.630000000000003</v>
      </c>
      <c r="V104" s="587">
        <f t="shared" ca="1" si="9"/>
        <v>21.630000000000003</v>
      </c>
      <c r="W104" s="587">
        <f t="shared" ca="1" si="9"/>
        <v>21.630000000000003</v>
      </c>
      <c r="X104" s="587">
        <f t="shared" ca="1" si="9"/>
        <v>21.630000000000003</v>
      </c>
      <c r="Y104" s="1935">
        <f t="shared" ca="1" si="9"/>
        <v>21.630000000000003</v>
      </c>
    </row>
    <row r="106" spans="1:26">
      <c r="A106" s="230" t="str">
        <f>"Previous "&amp;'Base Data'!$A$28</f>
        <v>Previous VAT</v>
      </c>
      <c r="B106" s="61">
        <f ca="1">SUM(B104:M104)</f>
        <v>0</v>
      </c>
    </row>
    <row r="108" spans="1:26">
      <c r="F108" s="61" t="str">
        <f>'DC Distr 0'!F108</f>
        <v>(NEEDED TO CALCULATE SUBSEQUENT MONTHLY PAYMENTS TO BE DONE)</v>
      </c>
      <c r="L108" s="2404" t="s">
        <v>615</v>
      </c>
    </row>
    <row r="109" spans="1:26" ht="18.75" thickBot="1">
      <c r="A109" s="1921" t="str">
        <f>'DC Distr 0'!A109</f>
        <v>Monthly Purchases / Production costs for product 1</v>
      </c>
      <c r="I109" s="1921" t="str">
        <f>I$18</f>
        <v>VAT NOT included</v>
      </c>
      <c r="K109" s="1932">
        <f>Parameters!$F$24</f>
        <v>0.21</v>
      </c>
    </row>
    <row r="110" spans="1:26" s="440" customFormat="1" ht="30" customHeight="1" thickBot="1">
      <c r="A110" s="441" t="s">
        <v>613</v>
      </c>
      <c r="B110" s="1938" t="str">
        <f t="array" ref="B110:Y110">B$71:Y$71</f>
        <v>January
2026</v>
      </c>
      <c r="C110" s="1938" t="str">
        <v>February
2026</v>
      </c>
      <c r="D110" s="1938" t="str">
        <v>March
2026</v>
      </c>
      <c r="E110" s="1938" t="str">
        <v>April
2026</v>
      </c>
      <c r="F110" s="1938" t="str">
        <v>May
2026</v>
      </c>
      <c r="G110" s="1938" t="str">
        <v>June
2026</v>
      </c>
      <c r="H110" s="1938" t="str">
        <v>July
2026</v>
      </c>
      <c r="I110" s="1938" t="str">
        <v>August
2026</v>
      </c>
      <c r="J110" s="1938" t="str">
        <v>September
2026</v>
      </c>
      <c r="K110" s="1938" t="str">
        <v>October
2026</v>
      </c>
      <c r="L110" s="1938" t="str">
        <v>November
2026</v>
      </c>
      <c r="M110" s="1938" t="str">
        <v>December
2026</v>
      </c>
      <c r="N110" s="2721" t="str">
        <v>January 
2027</v>
      </c>
      <c r="O110" s="2722" t="str">
        <v>February 
2027</v>
      </c>
      <c r="P110" s="2722" t="str">
        <v>March 
2027</v>
      </c>
      <c r="Q110" s="2722" t="str">
        <v>April 
2027</v>
      </c>
      <c r="R110" s="2722" t="str">
        <v>May 
2027</v>
      </c>
      <c r="S110" s="2722" t="str">
        <v>June 
2027</v>
      </c>
      <c r="T110" s="2722" t="str">
        <v>July 
2027</v>
      </c>
      <c r="U110" s="2722" t="str">
        <v>August 
2027</v>
      </c>
      <c r="V110" s="2722" t="str">
        <v>September 
2027</v>
      </c>
      <c r="W110" s="2722" t="str">
        <v>October 
2027</v>
      </c>
      <c r="X110" s="2722" t="str">
        <v>November 
2027</v>
      </c>
      <c r="Y110" s="2723" t="str">
        <v>December 
2027</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103.00000000000001</v>
      </c>
      <c r="O111" s="583">
        <f ca="1"/>
        <v>103.00000000000001</v>
      </c>
      <c r="P111" s="583">
        <f ca="1"/>
        <v>103.00000000000001</v>
      </c>
      <c r="Q111" s="583">
        <f ca="1"/>
        <v>103.00000000000001</v>
      </c>
      <c r="R111" s="583">
        <f ca="1"/>
        <v>103.00000000000001</v>
      </c>
      <c r="S111" s="583">
        <f ca="1"/>
        <v>103.00000000000001</v>
      </c>
      <c r="T111" s="583">
        <f ca="1"/>
        <v>103.00000000000001</v>
      </c>
      <c r="U111" s="583">
        <f ca="1"/>
        <v>103.00000000000001</v>
      </c>
      <c r="V111" s="583">
        <f ca="1"/>
        <v>103.00000000000001</v>
      </c>
      <c r="W111" s="583">
        <f ca="1"/>
        <v>103.00000000000001</v>
      </c>
      <c r="X111" s="583">
        <f ca="1"/>
        <v>103.00000000000001</v>
      </c>
      <c r="Y111" s="1933">
        <f ca="1"/>
        <v>103.00000000000001</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f t="array" aca="1" ref="Y112:Y123" ca="1">'DC Distr 2'!M112:M123</f>
        <v>0</v>
      </c>
    </row>
    <row r="113" spans="1:25">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6">
        <f t="array" aca="1" ref="X113:X123" ca="1">'DC Distr 2'!L113:L123</f>
        <v>0</v>
      </c>
      <c r="Y113" s="1934">
        <f ca="1"/>
        <v>0</v>
      </c>
    </row>
    <row r="114" spans="1:25">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6">
        <f t="array" aca="1" ref="W114:W123" ca="1">'DC Distr 2'!K114:K123</f>
        <v>0</v>
      </c>
      <c r="X114" s="1916">
        <f ca="1"/>
        <v>0</v>
      </c>
      <c r="Y114" s="1934">
        <f ca="1"/>
        <v>0</v>
      </c>
    </row>
    <row r="115" spans="1:25">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6">
        <f t="array" aca="1" ref="V115:V123" ca="1">'DC Distr 2'!J115:J123</f>
        <v>0</v>
      </c>
      <c r="W115" s="1916">
        <f ca="1"/>
        <v>0</v>
      </c>
      <c r="X115" s="1916">
        <f ca="1"/>
        <v>0</v>
      </c>
      <c r="Y115" s="1934">
        <f ca="1"/>
        <v>0</v>
      </c>
    </row>
    <row r="116" spans="1:25">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6">
        <f t="array" aca="1" ref="U116:U123" ca="1">'DC Distr 2'!I116:I123</f>
        <v>0</v>
      </c>
      <c r="V116" s="1916">
        <f ca="1"/>
        <v>0</v>
      </c>
      <c r="W116" s="1916">
        <f ca="1"/>
        <v>0</v>
      </c>
      <c r="X116" s="1916">
        <f ca="1"/>
        <v>0</v>
      </c>
      <c r="Y116" s="1934">
        <f ca="1"/>
        <v>0</v>
      </c>
    </row>
    <row r="117" spans="1:25">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6">
        <f t="array" aca="1" ref="T117:T123" ca="1">'DC Distr 2'!H117:H123</f>
        <v>0</v>
      </c>
      <c r="U117" s="1916">
        <f ca="1"/>
        <v>0</v>
      </c>
      <c r="V117" s="1916">
        <f ca="1"/>
        <v>0</v>
      </c>
      <c r="W117" s="1916">
        <f ca="1"/>
        <v>0</v>
      </c>
      <c r="X117" s="1916">
        <f ca="1"/>
        <v>0</v>
      </c>
      <c r="Y117" s="1934">
        <f ca="1"/>
        <v>0</v>
      </c>
    </row>
    <row r="118" spans="1:25">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0">
        <f t="array" aca="1" ref="S118:S123" ca="1">'DC Distr 2'!G118:G123</f>
        <v>0</v>
      </c>
      <c r="T118" s="1920">
        <f ca="1"/>
        <v>0</v>
      </c>
      <c r="U118" s="1920">
        <f ca="1"/>
        <v>0</v>
      </c>
      <c r="V118" s="1920">
        <f ca="1"/>
        <v>0</v>
      </c>
      <c r="W118" s="1920">
        <f ca="1"/>
        <v>0</v>
      </c>
      <c r="X118" s="1920">
        <f ca="1"/>
        <v>0</v>
      </c>
      <c r="Y118" s="1937">
        <f ca="1"/>
        <v>0</v>
      </c>
    </row>
    <row r="119" spans="1:25">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0">
        <f t="array" aca="1" ref="R119:R123" ca="1">'DC Distr 2'!F119:F123</f>
        <v>0</v>
      </c>
      <c r="S119" s="1920">
        <f ca="1"/>
        <v>0</v>
      </c>
      <c r="T119" s="1920">
        <f ca="1"/>
        <v>0</v>
      </c>
      <c r="U119" s="1920">
        <f ca="1"/>
        <v>0</v>
      </c>
      <c r="V119" s="1920">
        <f ca="1"/>
        <v>0</v>
      </c>
      <c r="W119" s="1920">
        <f ca="1"/>
        <v>0</v>
      </c>
      <c r="X119" s="1920">
        <f ca="1"/>
        <v>0</v>
      </c>
      <c r="Y119" s="1937">
        <f ca="1"/>
        <v>0</v>
      </c>
    </row>
    <row r="120" spans="1:25">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0">
        <f t="array" aca="1" ref="Q120:Q123" ca="1">'DC Distr 2'!E120:E123</f>
        <v>0</v>
      </c>
      <c r="R120" s="1920">
        <f ca="1"/>
        <v>0</v>
      </c>
      <c r="S120" s="1920">
        <f ca="1"/>
        <v>0</v>
      </c>
      <c r="T120" s="1920">
        <f ca="1"/>
        <v>0</v>
      </c>
      <c r="U120" s="1920">
        <f ca="1"/>
        <v>0</v>
      </c>
      <c r="V120" s="1920">
        <f ca="1"/>
        <v>0</v>
      </c>
      <c r="W120" s="1920">
        <f ca="1"/>
        <v>0</v>
      </c>
      <c r="X120" s="1920">
        <f ca="1"/>
        <v>0</v>
      </c>
      <c r="Y120" s="1937">
        <f ca="1"/>
        <v>0</v>
      </c>
    </row>
    <row r="121" spans="1:25">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0">
        <f t="array" aca="1" ref="P121:P123" ca="1">'DC Distr 2'!D121:D123</f>
        <v>0</v>
      </c>
      <c r="Q121" s="1920">
        <f ca="1"/>
        <v>0</v>
      </c>
      <c r="R121" s="1920">
        <f ca="1"/>
        <v>0</v>
      </c>
      <c r="S121" s="1920">
        <f ca="1"/>
        <v>0</v>
      </c>
      <c r="T121" s="1920">
        <f ca="1"/>
        <v>0</v>
      </c>
      <c r="U121" s="1920">
        <f ca="1"/>
        <v>0</v>
      </c>
      <c r="V121" s="1920">
        <f ca="1"/>
        <v>0</v>
      </c>
      <c r="W121" s="1920">
        <f ca="1"/>
        <v>0</v>
      </c>
      <c r="X121" s="1920">
        <f ca="1"/>
        <v>0</v>
      </c>
      <c r="Y121" s="1937">
        <f ca="1"/>
        <v>0</v>
      </c>
    </row>
    <row r="122" spans="1:25">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0">
        <f ca="1">'DC Distr 2'!C122</f>
        <v>0</v>
      </c>
      <c r="P122" s="1920">
        <f ca="1"/>
        <v>0</v>
      </c>
      <c r="Q122" s="1920">
        <f ca="1"/>
        <v>0</v>
      </c>
      <c r="R122" s="1920">
        <f ca="1"/>
        <v>0</v>
      </c>
      <c r="S122" s="1920">
        <f ca="1"/>
        <v>0</v>
      </c>
      <c r="T122" s="1920">
        <f ca="1"/>
        <v>0</v>
      </c>
      <c r="U122" s="1920">
        <f ca="1"/>
        <v>0</v>
      </c>
      <c r="V122" s="1920">
        <f ca="1"/>
        <v>0</v>
      </c>
      <c r="W122" s="1920">
        <f ca="1"/>
        <v>0</v>
      </c>
      <c r="X122" s="1920">
        <f ca="1"/>
        <v>0</v>
      </c>
      <c r="Y122" s="1937">
        <f ca="1"/>
        <v>0</v>
      </c>
    </row>
    <row r="123" spans="1:25"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f ca="1">'DC Distr 2'!B123</f>
        <v>0</v>
      </c>
      <c r="O123" s="1920">
        <f ca="1">'DC Distr 2'!C123</f>
        <v>0</v>
      </c>
      <c r="P123" s="1920">
        <f ca="1"/>
        <v>0</v>
      </c>
      <c r="Q123" s="1920">
        <f ca="1"/>
        <v>0</v>
      </c>
      <c r="R123" s="1920">
        <f ca="1"/>
        <v>0</v>
      </c>
      <c r="S123" s="1920">
        <f ca="1"/>
        <v>0</v>
      </c>
      <c r="T123" s="1920">
        <f ca="1"/>
        <v>0</v>
      </c>
      <c r="U123" s="1920">
        <f ca="1"/>
        <v>0</v>
      </c>
      <c r="V123" s="1920">
        <f ca="1"/>
        <v>0</v>
      </c>
      <c r="W123" s="1920">
        <f ca="1"/>
        <v>0</v>
      </c>
      <c r="X123" s="1920">
        <f ca="1"/>
        <v>0</v>
      </c>
      <c r="Y123" s="1937">
        <f ca="1"/>
        <v>0</v>
      </c>
    </row>
    <row r="124" spans="1:25"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103.00000000000001</v>
      </c>
      <c r="O124" s="587">
        <f t="shared" ca="1" si="10"/>
        <v>103.00000000000001</v>
      </c>
      <c r="P124" s="587">
        <f t="shared" ca="1" si="10"/>
        <v>103.00000000000001</v>
      </c>
      <c r="Q124" s="587">
        <f t="shared" ca="1" si="10"/>
        <v>103.00000000000001</v>
      </c>
      <c r="R124" s="587">
        <f t="shared" ca="1" si="10"/>
        <v>103.00000000000001</v>
      </c>
      <c r="S124" s="587">
        <f t="shared" ca="1" si="10"/>
        <v>103.00000000000001</v>
      </c>
      <c r="T124" s="587">
        <f t="shared" ca="1" si="10"/>
        <v>103.00000000000001</v>
      </c>
      <c r="U124" s="587">
        <f t="shared" ca="1" si="10"/>
        <v>103.00000000000001</v>
      </c>
      <c r="V124" s="587">
        <f t="shared" ca="1" si="10"/>
        <v>103.00000000000001</v>
      </c>
      <c r="W124" s="587">
        <f t="shared" ca="1" si="10"/>
        <v>103.00000000000001</v>
      </c>
      <c r="X124" s="587">
        <f t="shared" ca="1" si="10"/>
        <v>103.00000000000001</v>
      </c>
      <c r="Y124" s="1935">
        <f t="shared" ca="1" si="10"/>
        <v>103.00000000000001</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21.630000000000003</v>
      </c>
      <c r="O125" s="587">
        <f ca="1"/>
        <v>21.630000000000003</v>
      </c>
      <c r="P125" s="587">
        <f ca="1"/>
        <v>21.630000000000003</v>
      </c>
      <c r="Q125" s="587">
        <f ca="1"/>
        <v>21.630000000000003</v>
      </c>
      <c r="R125" s="587">
        <f ca="1"/>
        <v>21.630000000000003</v>
      </c>
      <c r="S125" s="587">
        <f ca="1"/>
        <v>21.630000000000003</v>
      </c>
      <c r="T125" s="587">
        <f ca="1"/>
        <v>21.630000000000003</v>
      </c>
      <c r="U125" s="587">
        <f ca="1"/>
        <v>21.630000000000003</v>
      </c>
      <c r="V125" s="587">
        <f ca="1"/>
        <v>21.630000000000003</v>
      </c>
      <c r="W125" s="587">
        <f ca="1"/>
        <v>21.630000000000003</v>
      </c>
      <c r="X125" s="587">
        <f ca="1"/>
        <v>21.630000000000003</v>
      </c>
      <c r="Y125" s="1935">
        <f ca="1"/>
        <v>21.630000000000003</v>
      </c>
    </row>
    <row r="127" spans="1:25" ht="18.75" thickBot="1">
      <c r="A127" s="1921" t="str">
        <f>'DC Distr 0'!A127</f>
        <v xml:space="preserve">Monthly Purchases / Production costs for </v>
      </c>
      <c r="I127" s="1921" t="str">
        <f>I$18</f>
        <v>VAT NOT included</v>
      </c>
      <c r="K127" s="1932">
        <f>Parameters!$F$25</f>
        <v>0.21</v>
      </c>
    </row>
    <row r="128" spans="1:25" ht="30" customHeight="1" thickBot="1">
      <c r="A128" s="441" t="str">
        <f t="array" ref="A128:A141">A$110:A$123</f>
        <v>Months before sale</v>
      </c>
      <c r="B128" s="1938" t="str">
        <f t="array" ref="B128:Y128">B$71:Y$71</f>
        <v>January
2026</v>
      </c>
      <c r="C128" s="1938" t="str">
        <v>February
2026</v>
      </c>
      <c r="D128" s="1938" t="str">
        <v>March
2026</v>
      </c>
      <c r="E128" s="1938" t="str">
        <v>April
2026</v>
      </c>
      <c r="F128" s="1938" t="str">
        <v>May
2026</v>
      </c>
      <c r="G128" s="1938" t="str">
        <v>June
2026</v>
      </c>
      <c r="H128" s="1938" t="str">
        <v>July
2026</v>
      </c>
      <c r="I128" s="1938" t="str">
        <v>August
2026</v>
      </c>
      <c r="J128" s="1938" t="str">
        <v>September
2026</v>
      </c>
      <c r="K128" s="1938" t="str">
        <v>October
2026</v>
      </c>
      <c r="L128" s="1938" t="str">
        <v>November
2026</v>
      </c>
      <c r="M128" s="1938" t="str">
        <v>December
2026</v>
      </c>
      <c r="N128" s="2721" t="str">
        <v>January 
2027</v>
      </c>
      <c r="O128" s="2722" t="str">
        <v>February 
2027</v>
      </c>
      <c r="P128" s="2722" t="str">
        <v>March 
2027</v>
      </c>
      <c r="Q128" s="2722" t="str">
        <v>April 
2027</v>
      </c>
      <c r="R128" s="2722" t="str">
        <v>May 
2027</v>
      </c>
      <c r="S128" s="2722" t="str">
        <v>June 
2027</v>
      </c>
      <c r="T128" s="2722" t="str">
        <v>July 
2027</v>
      </c>
      <c r="U128" s="2722" t="str">
        <v>August 
2027</v>
      </c>
      <c r="V128" s="2722" t="str">
        <v>September 
2027</v>
      </c>
      <c r="W128" s="2722" t="str">
        <v>October 
2027</v>
      </c>
      <c r="X128" s="2722" t="str">
        <v>November 
2027</v>
      </c>
      <c r="Y128" s="2723" t="str">
        <v>December 
2027</v>
      </c>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f t="array" aca="1" ref="Y130:Y141" ca="1">'DC Distr 2'!M130:M141</f>
        <v>0</v>
      </c>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6">
        <f t="array" aca="1" ref="X131:X141" ca="1">'DC Distr 2'!L131:L141</f>
        <v>0</v>
      </c>
      <c r="Y131" s="1934">
        <f ca="1"/>
        <v>0</v>
      </c>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6">
        <f t="array" aca="1" ref="W132:W141" ca="1">'DC Distr 2'!K132:K141</f>
        <v>0</v>
      </c>
      <c r="X132" s="1916">
        <f ca="1"/>
        <v>0</v>
      </c>
      <c r="Y132" s="1934">
        <f ca="1"/>
        <v>0</v>
      </c>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6">
        <f t="array" aca="1" ref="V133:V141" ca="1">'DC Distr 2'!J133:J141</f>
        <v>0</v>
      </c>
      <c r="W133" s="1916">
        <f ca="1"/>
        <v>0</v>
      </c>
      <c r="X133" s="1916">
        <f ca="1"/>
        <v>0</v>
      </c>
      <c r="Y133" s="1934">
        <f ca="1"/>
        <v>0</v>
      </c>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6">
        <f t="array" aca="1" ref="U134:U141" ca="1">'DC Distr 2'!I134:I141</f>
        <v>0</v>
      </c>
      <c r="V134" s="1916">
        <f ca="1"/>
        <v>0</v>
      </c>
      <c r="W134" s="1916">
        <f ca="1"/>
        <v>0</v>
      </c>
      <c r="X134" s="1916">
        <f ca="1"/>
        <v>0</v>
      </c>
      <c r="Y134" s="1934">
        <f ca="1"/>
        <v>0</v>
      </c>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6">
        <f t="array" aca="1" ref="T135:T141" ca="1">'DC Distr 2'!H135:H141</f>
        <v>0</v>
      </c>
      <c r="U135" s="1916">
        <f ca="1"/>
        <v>0</v>
      </c>
      <c r="V135" s="1916">
        <f ca="1"/>
        <v>0</v>
      </c>
      <c r="W135" s="1916">
        <f ca="1"/>
        <v>0</v>
      </c>
      <c r="X135" s="1916">
        <f ca="1"/>
        <v>0</v>
      </c>
      <c r="Y135" s="1934">
        <f ca="1"/>
        <v>0</v>
      </c>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0">
        <f t="array" aca="1" ref="S136:S141" ca="1">'DC Distr 2'!G136:G141</f>
        <v>0</v>
      </c>
      <c r="T136" s="1920">
        <f ca="1"/>
        <v>0</v>
      </c>
      <c r="U136" s="1920">
        <f ca="1"/>
        <v>0</v>
      </c>
      <c r="V136" s="1920">
        <f ca="1"/>
        <v>0</v>
      </c>
      <c r="W136" s="1920">
        <f ca="1"/>
        <v>0</v>
      </c>
      <c r="X136" s="1920">
        <f ca="1"/>
        <v>0</v>
      </c>
      <c r="Y136" s="1937">
        <f ca="1"/>
        <v>0</v>
      </c>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0">
        <f t="array" aca="1" ref="R137:R141" ca="1">'DC Distr 2'!F137:F141</f>
        <v>0</v>
      </c>
      <c r="S137" s="1920">
        <f ca="1"/>
        <v>0</v>
      </c>
      <c r="T137" s="1920">
        <f ca="1"/>
        <v>0</v>
      </c>
      <c r="U137" s="1920">
        <f ca="1"/>
        <v>0</v>
      </c>
      <c r="V137" s="1920">
        <f ca="1"/>
        <v>0</v>
      </c>
      <c r="W137" s="1920">
        <f ca="1"/>
        <v>0</v>
      </c>
      <c r="X137" s="1920">
        <f ca="1"/>
        <v>0</v>
      </c>
      <c r="Y137" s="1937">
        <f ca="1"/>
        <v>0</v>
      </c>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0">
        <f t="array" aca="1" ref="Q138:Q141" ca="1">'DC Distr 2'!E138:E141</f>
        <v>0</v>
      </c>
      <c r="R138" s="1920">
        <f ca="1"/>
        <v>0</v>
      </c>
      <c r="S138" s="1920">
        <f ca="1"/>
        <v>0</v>
      </c>
      <c r="T138" s="1920">
        <f ca="1"/>
        <v>0</v>
      </c>
      <c r="U138" s="1920">
        <f ca="1"/>
        <v>0</v>
      </c>
      <c r="V138" s="1920">
        <f ca="1"/>
        <v>0</v>
      </c>
      <c r="W138" s="1920">
        <f ca="1"/>
        <v>0</v>
      </c>
      <c r="X138" s="1920">
        <f ca="1"/>
        <v>0</v>
      </c>
      <c r="Y138" s="1937">
        <f ca="1"/>
        <v>0</v>
      </c>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0">
        <f t="array" aca="1" ref="P139:P141" ca="1">'DC Distr 2'!D139:D141</f>
        <v>0</v>
      </c>
      <c r="Q139" s="1920">
        <f ca="1"/>
        <v>0</v>
      </c>
      <c r="R139" s="1920">
        <f ca="1"/>
        <v>0</v>
      </c>
      <c r="S139" s="1920">
        <f ca="1"/>
        <v>0</v>
      </c>
      <c r="T139" s="1920">
        <f ca="1"/>
        <v>0</v>
      </c>
      <c r="U139" s="1920">
        <f ca="1"/>
        <v>0</v>
      </c>
      <c r="V139" s="1920">
        <f ca="1"/>
        <v>0</v>
      </c>
      <c r="W139" s="1920">
        <f ca="1"/>
        <v>0</v>
      </c>
      <c r="X139" s="1920">
        <f ca="1"/>
        <v>0</v>
      </c>
      <c r="Y139" s="1937">
        <f ca="1"/>
        <v>0</v>
      </c>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0">
        <f ca="1">'DC Distr 2'!C140</f>
        <v>0</v>
      </c>
      <c r="P140" s="1920">
        <f ca="1"/>
        <v>0</v>
      </c>
      <c r="Q140" s="1920">
        <f ca="1"/>
        <v>0</v>
      </c>
      <c r="R140" s="1920">
        <f ca="1"/>
        <v>0</v>
      </c>
      <c r="S140" s="1920">
        <f ca="1"/>
        <v>0</v>
      </c>
      <c r="T140" s="1920">
        <f ca="1"/>
        <v>0</v>
      </c>
      <c r="U140" s="1920">
        <f ca="1"/>
        <v>0</v>
      </c>
      <c r="V140" s="1920">
        <f ca="1"/>
        <v>0</v>
      </c>
      <c r="W140" s="1920">
        <f ca="1"/>
        <v>0</v>
      </c>
      <c r="X140" s="1920">
        <f ca="1"/>
        <v>0</v>
      </c>
      <c r="Y140" s="1937">
        <f ca="1"/>
        <v>0</v>
      </c>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f ca="1">'DC Distr 2'!B141</f>
        <v>0</v>
      </c>
      <c r="O141" s="1920">
        <f ca="1">'DC Distr 2'!C141</f>
        <v>0</v>
      </c>
      <c r="P141" s="1920">
        <f ca="1"/>
        <v>0</v>
      </c>
      <c r="Q141" s="1920">
        <f ca="1"/>
        <v>0</v>
      </c>
      <c r="R141" s="1920">
        <f ca="1"/>
        <v>0</v>
      </c>
      <c r="S141" s="1920">
        <f ca="1"/>
        <v>0</v>
      </c>
      <c r="T141" s="1920">
        <f ca="1"/>
        <v>0</v>
      </c>
      <c r="U141" s="1920">
        <f ca="1"/>
        <v>0</v>
      </c>
      <c r="V141" s="1920">
        <f ca="1"/>
        <v>0</v>
      </c>
      <c r="W141" s="1920">
        <f ca="1"/>
        <v>0</v>
      </c>
      <c r="X141" s="1920">
        <f ca="1"/>
        <v>0</v>
      </c>
      <c r="Y141" s="1937">
        <f ca="1"/>
        <v>0</v>
      </c>
    </row>
    <row r="142" spans="1:25" ht="13.5"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5">
        <f t="shared" ca="1" si="11"/>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5" ht="18.75" thickBot="1">
      <c r="A145" s="1921" t="str">
        <f>'DC Distr 0'!A145</f>
        <v xml:space="preserve">Monthly Purchases / Production costs for </v>
      </c>
      <c r="I145" s="1921" t="str">
        <f>I$18</f>
        <v>VAT NOT included</v>
      </c>
      <c r="K145" s="1932">
        <f>Parameters!$F$26</f>
        <v>0.21</v>
      </c>
    </row>
    <row r="146" spans="1:25" ht="30" customHeight="1" thickBot="1">
      <c r="A146" s="441" t="str">
        <f t="array" ref="A146:A159">A$110:A$123</f>
        <v>Months before sale</v>
      </c>
      <c r="B146" s="1938" t="str">
        <f t="array" ref="B146:Y146">B$71:Y$71</f>
        <v>January
2026</v>
      </c>
      <c r="C146" s="1938" t="str">
        <v>February
2026</v>
      </c>
      <c r="D146" s="1938" t="str">
        <v>March
2026</v>
      </c>
      <c r="E146" s="1938" t="str">
        <v>April
2026</v>
      </c>
      <c r="F146" s="1938" t="str">
        <v>May
2026</v>
      </c>
      <c r="G146" s="1938" t="str">
        <v>June
2026</v>
      </c>
      <c r="H146" s="1938" t="str">
        <v>July
2026</v>
      </c>
      <c r="I146" s="1938" t="str">
        <v>August
2026</v>
      </c>
      <c r="J146" s="1938" t="str">
        <v>September
2026</v>
      </c>
      <c r="K146" s="1938" t="str">
        <v>October
2026</v>
      </c>
      <c r="L146" s="1938" t="str">
        <v>November
2026</v>
      </c>
      <c r="M146" s="1938" t="str">
        <v>December
2026</v>
      </c>
      <c r="N146" s="2721" t="str">
        <v>January 
2027</v>
      </c>
      <c r="O146" s="2722" t="str">
        <v>February 
2027</v>
      </c>
      <c r="P146" s="2722" t="str">
        <v>March 
2027</v>
      </c>
      <c r="Q146" s="2722" t="str">
        <v>April 
2027</v>
      </c>
      <c r="R146" s="2722" t="str">
        <v>May 
2027</v>
      </c>
      <c r="S146" s="2722" t="str">
        <v>June 
2027</v>
      </c>
      <c r="T146" s="2722" t="str">
        <v>July 
2027</v>
      </c>
      <c r="U146" s="2722" t="str">
        <v>August 
2027</v>
      </c>
      <c r="V146" s="2722" t="str">
        <v>September 
2027</v>
      </c>
      <c r="W146" s="2722" t="str">
        <v>October 
2027</v>
      </c>
      <c r="X146" s="2722" t="str">
        <v>November 
2027</v>
      </c>
      <c r="Y146" s="2723" t="str">
        <v>December 
2027</v>
      </c>
    </row>
    <row r="147" spans="1:25">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5">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f t="array" aca="1" ref="Y148:Y159" ca="1">'DC Distr 2'!M148:M159</f>
        <v>0</v>
      </c>
    </row>
    <row r="149" spans="1:25">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6">
        <f t="array" aca="1" ref="X149:X159" ca="1">'DC Distr 2'!L149:L159</f>
        <v>0</v>
      </c>
      <c r="Y149" s="1934">
        <f ca="1"/>
        <v>0</v>
      </c>
    </row>
    <row r="150" spans="1:25">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6">
        <f t="array" aca="1" ref="W150:W159" ca="1">'DC Distr 2'!K150:K159</f>
        <v>0</v>
      </c>
      <c r="X150" s="1916">
        <f ca="1"/>
        <v>0</v>
      </c>
      <c r="Y150" s="1934">
        <f ca="1"/>
        <v>0</v>
      </c>
    </row>
    <row r="151" spans="1:25">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6">
        <f t="array" aca="1" ref="V151:V159" ca="1">'DC Distr 2'!J151:J159</f>
        <v>0</v>
      </c>
      <c r="W151" s="1916">
        <f ca="1"/>
        <v>0</v>
      </c>
      <c r="X151" s="1916">
        <f ca="1"/>
        <v>0</v>
      </c>
      <c r="Y151" s="1934">
        <f ca="1"/>
        <v>0</v>
      </c>
    </row>
    <row r="152" spans="1:25">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6">
        <f t="array" aca="1" ref="U152:U159" ca="1">'DC Distr 2'!I152:I159</f>
        <v>0</v>
      </c>
      <c r="V152" s="1916">
        <f ca="1"/>
        <v>0</v>
      </c>
      <c r="W152" s="1916">
        <f ca="1"/>
        <v>0</v>
      </c>
      <c r="X152" s="1916">
        <f ca="1"/>
        <v>0</v>
      </c>
      <c r="Y152" s="1934">
        <f ca="1"/>
        <v>0</v>
      </c>
    </row>
    <row r="153" spans="1:25">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6">
        <f t="array" aca="1" ref="T153:T159" ca="1">'DC Distr 2'!H153:H159</f>
        <v>0</v>
      </c>
      <c r="U153" s="1916">
        <f ca="1"/>
        <v>0</v>
      </c>
      <c r="V153" s="1916">
        <f ca="1"/>
        <v>0</v>
      </c>
      <c r="W153" s="1916">
        <f ca="1"/>
        <v>0</v>
      </c>
      <c r="X153" s="1916">
        <f ca="1"/>
        <v>0</v>
      </c>
      <c r="Y153" s="1934">
        <f ca="1"/>
        <v>0</v>
      </c>
    </row>
    <row r="154" spans="1:25">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0">
        <f t="array" aca="1" ref="S154:S159" ca="1">'DC Distr 2'!G154:G159</f>
        <v>0</v>
      </c>
      <c r="T154" s="1920">
        <f ca="1"/>
        <v>0</v>
      </c>
      <c r="U154" s="1920">
        <f ca="1"/>
        <v>0</v>
      </c>
      <c r="V154" s="1920">
        <f ca="1"/>
        <v>0</v>
      </c>
      <c r="W154" s="1920">
        <f ca="1"/>
        <v>0</v>
      </c>
      <c r="X154" s="1920">
        <f ca="1"/>
        <v>0</v>
      </c>
      <c r="Y154" s="1937">
        <f ca="1"/>
        <v>0</v>
      </c>
    </row>
    <row r="155" spans="1:25">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0">
        <f t="array" aca="1" ref="R155:R159" ca="1">'DC Distr 2'!F155:F159</f>
        <v>0</v>
      </c>
      <c r="S155" s="1920">
        <f ca="1"/>
        <v>0</v>
      </c>
      <c r="T155" s="1920">
        <f ca="1"/>
        <v>0</v>
      </c>
      <c r="U155" s="1920">
        <f ca="1"/>
        <v>0</v>
      </c>
      <c r="V155" s="1920">
        <f ca="1"/>
        <v>0</v>
      </c>
      <c r="W155" s="1920">
        <f ca="1"/>
        <v>0</v>
      </c>
      <c r="X155" s="1920">
        <f ca="1"/>
        <v>0</v>
      </c>
      <c r="Y155" s="1937">
        <f ca="1"/>
        <v>0</v>
      </c>
    </row>
    <row r="156" spans="1:25">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0">
        <f t="array" aca="1" ref="Q156:Q159" ca="1">'DC Distr 2'!E156:E159</f>
        <v>0</v>
      </c>
      <c r="R156" s="1920">
        <f ca="1"/>
        <v>0</v>
      </c>
      <c r="S156" s="1920">
        <f ca="1"/>
        <v>0</v>
      </c>
      <c r="T156" s="1920">
        <f ca="1"/>
        <v>0</v>
      </c>
      <c r="U156" s="1920">
        <f ca="1"/>
        <v>0</v>
      </c>
      <c r="V156" s="1920">
        <f ca="1"/>
        <v>0</v>
      </c>
      <c r="W156" s="1920">
        <f ca="1"/>
        <v>0</v>
      </c>
      <c r="X156" s="1920">
        <f ca="1"/>
        <v>0</v>
      </c>
      <c r="Y156" s="1937">
        <f ca="1"/>
        <v>0</v>
      </c>
    </row>
    <row r="157" spans="1:25">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0">
        <f t="array" aca="1" ref="P157:P159" ca="1">'DC Distr 2'!D157:D159</f>
        <v>0</v>
      </c>
      <c r="Q157" s="1920">
        <f ca="1"/>
        <v>0</v>
      </c>
      <c r="R157" s="1920">
        <f ca="1"/>
        <v>0</v>
      </c>
      <c r="S157" s="1920">
        <f ca="1"/>
        <v>0</v>
      </c>
      <c r="T157" s="1920">
        <f ca="1"/>
        <v>0</v>
      </c>
      <c r="U157" s="1920">
        <f ca="1"/>
        <v>0</v>
      </c>
      <c r="V157" s="1920">
        <f ca="1"/>
        <v>0</v>
      </c>
      <c r="W157" s="1920">
        <f ca="1"/>
        <v>0</v>
      </c>
      <c r="X157" s="1920">
        <f ca="1"/>
        <v>0</v>
      </c>
      <c r="Y157" s="1937">
        <f ca="1"/>
        <v>0</v>
      </c>
    </row>
    <row r="158" spans="1:25">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0">
        <f ca="1">'DC Distr 2'!C158</f>
        <v>0</v>
      </c>
      <c r="P158" s="1920">
        <f ca="1"/>
        <v>0</v>
      </c>
      <c r="Q158" s="1920">
        <f ca="1"/>
        <v>0</v>
      </c>
      <c r="R158" s="1920">
        <f ca="1"/>
        <v>0</v>
      </c>
      <c r="S158" s="1920">
        <f ca="1"/>
        <v>0</v>
      </c>
      <c r="T158" s="1920">
        <f ca="1"/>
        <v>0</v>
      </c>
      <c r="U158" s="1920">
        <f ca="1"/>
        <v>0</v>
      </c>
      <c r="V158" s="1920">
        <f ca="1"/>
        <v>0</v>
      </c>
      <c r="W158" s="1920">
        <f ca="1"/>
        <v>0</v>
      </c>
      <c r="X158" s="1920">
        <f ca="1"/>
        <v>0</v>
      </c>
      <c r="Y158" s="1937">
        <f ca="1"/>
        <v>0</v>
      </c>
    </row>
    <row r="159" spans="1:25"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f ca="1">'DC Distr 2'!B159</f>
        <v>0</v>
      </c>
      <c r="O159" s="1920">
        <f ca="1">'DC Distr 2'!C159</f>
        <v>0</v>
      </c>
      <c r="P159" s="1920">
        <f ca="1"/>
        <v>0</v>
      </c>
      <c r="Q159" s="1920">
        <f ca="1"/>
        <v>0</v>
      </c>
      <c r="R159" s="1920">
        <f ca="1"/>
        <v>0</v>
      </c>
      <c r="S159" s="1920">
        <f ca="1"/>
        <v>0</v>
      </c>
      <c r="T159" s="1920">
        <f ca="1"/>
        <v>0</v>
      </c>
      <c r="U159" s="1920">
        <f ca="1"/>
        <v>0</v>
      </c>
      <c r="V159" s="1920">
        <f ca="1"/>
        <v>0</v>
      </c>
      <c r="W159" s="1920">
        <f ca="1"/>
        <v>0</v>
      </c>
      <c r="X159" s="1920">
        <f ca="1"/>
        <v>0</v>
      </c>
      <c r="Y159" s="1937">
        <f ca="1"/>
        <v>0</v>
      </c>
    </row>
    <row r="160" spans="1:25" ht="13.5"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5">
        <f t="shared" ca="1" si="12"/>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5" ht="18.75" thickBot="1">
      <c r="A163" s="1921" t="str">
        <f>'DC Distr 0'!A163</f>
        <v xml:space="preserve">Monthly Purchases / Production costs for </v>
      </c>
      <c r="I163" s="1921" t="str">
        <f>I$18</f>
        <v>VAT NOT included</v>
      </c>
      <c r="K163" s="1932">
        <f>Parameters!$F$27</f>
        <v>0.21</v>
      </c>
    </row>
    <row r="164" spans="1:25" ht="30" customHeight="1" thickBot="1">
      <c r="A164" s="441" t="str">
        <f t="array" ref="A164:A177">A$110:A$123</f>
        <v>Months before sale</v>
      </c>
      <c r="B164" s="1938" t="str">
        <f t="array" ref="B164:Y164">B$71:Y$71</f>
        <v>January
2026</v>
      </c>
      <c r="C164" s="1938" t="str">
        <v>February
2026</v>
      </c>
      <c r="D164" s="1938" t="str">
        <v>March
2026</v>
      </c>
      <c r="E164" s="1938" t="str">
        <v>April
2026</v>
      </c>
      <c r="F164" s="1938" t="str">
        <v>May
2026</v>
      </c>
      <c r="G164" s="1938" t="str">
        <v>June
2026</v>
      </c>
      <c r="H164" s="1938" t="str">
        <v>July
2026</v>
      </c>
      <c r="I164" s="1938" t="str">
        <v>August
2026</v>
      </c>
      <c r="J164" s="1938" t="str">
        <v>September
2026</v>
      </c>
      <c r="K164" s="1938" t="str">
        <v>October
2026</v>
      </c>
      <c r="L164" s="1938" t="str">
        <v>November
2026</v>
      </c>
      <c r="M164" s="1938" t="str">
        <v>December
2026</v>
      </c>
      <c r="N164" s="2721" t="str">
        <v>January 
2027</v>
      </c>
      <c r="O164" s="2722" t="str">
        <v>February 
2027</v>
      </c>
      <c r="P164" s="2722" t="str">
        <v>March 
2027</v>
      </c>
      <c r="Q164" s="2722" t="str">
        <v>April 
2027</v>
      </c>
      <c r="R164" s="2722" t="str">
        <v>May 
2027</v>
      </c>
      <c r="S164" s="2722" t="str">
        <v>June 
2027</v>
      </c>
      <c r="T164" s="2722" t="str">
        <v>July 
2027</v>
      </c>
      <c r="U164" s="2722" t="str">
        <v>August 
2027</v>
      </c>
      <c r="V164" s="2722" t="str">
        <v>September 
2027</v>
      </c>
      <c r="W164" s="2722" t="str">
        <v>October 
2027</v>
      </c>
      <c r="X164" s="2722" t="str">
        <v>November 
2027</v>
      </c>
      <c r="Y164" s="2723" t="str">
        <v>December 
2027</v>
      </c>
    </row>
    <row r="165" spans="1:25">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5">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f t="array" aca="1" ref="Y166:Y177" ca="1">'DC Distr 2'!M166:M177</f>
        <v>0</v>
      </c>
    </row>
    <row r="167" spans="1:25">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6">
        <f t="array" aca="1" ref="X167:X177" ca="1">'DC Distr 2'!L167:L177</f>
        <v>0</v>
      </c>
      <c r="Y167" s="1934">
        <f ca="1"/>
        <v>0</v>
      </c>
    </row>
    <row r="168" spans="1:25">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6">
        <f t="array" aca="1" ref="W168:W177" ca="1">'DC Distr 2'!K168:K177</f>
        <v>0</v>
      </c>
      <c r="X168" s="1916">
        <f ca="1"/>
        <v>0</v>
      </c>
      <c r="Y168" s="1934">
        <f ca="1"/>
        <v>0</v>
      </c>
    </row>
    <row r="169" spans="1:25">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6">
        <f t="array" aca="1" ref="V169:V177" ca="1">'DC Distr 2'!J169:J177</f>
        <v>0</v>
      </c>
      <c r="W169" s="1916">
        <f ca="1"/>
        <v>0</v>
      </c>
      <c r="X169" s="1916">
        <f ca="1"/>
        <v>0</v>
      </c>
      <c r="Y169" s="1934">
        <f ca="1"/>
        <v>0</v>
      </c>
    </row>
    <row r="170" spans="1:25">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6">
        <f t="array" aca="1" ref="U170:U177" ca="1">'DC Distr 2'!I170:I177</f>
        <v>0</v>
      </c>
      <c r="V170" s="1916">
        <f ca="1"/>
        <v>0</v>
      </c>
      <c r="W170" s="1916">
        <f ca="1"/>
        <v>0</v>
      </c>
      <c r="X170" s="1916">
        <f ca="1"/>
        <v>0</v>
      </c>
      <c r="Y170" s="1934">
        <f ca="1"/>
        <v>0</v>
      </c>
    </row>
    <row r="171" spans="1:25">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6">
        <f t="array" aca="1" ref="T171:T177" ca="1">'DC Distr 2'!H171:H177</f>
        <v>0</v>
      </c>
      <c r="U171" s="1916">
        <f ca="1"/>
        <v>0</v>
      </c>
      <c r="V171" s="1916">
        <f ca="1"/>
        <v>0</v>
      </c>
      <c r="W171" s="1916">
        <f ca="1"/>
        <v>0</v>
      </c>
      <c r="X171" s="1916">
        <f ca="1"/>
        <v>0</v>
      </c>
      <c r="Y171" s="1934">
        <f ca="1"/>
        <v>0</v>
      </c>
    </row>
    <row r="172" spans="1:25">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0">
        <f t="array" aca="1" ref="S172:S177" ca="1">'DC Distr 2'!G172:G177</f>
        <v>0</v>
      </c>
      <c r="T172" s="1920">
        <f ca="1"/>
        <v>0</v>
      </c>
      <c r="U172" s="1920">
        <f ca="1"/>
        <v>0</v>
      </c>
      <c r="V172" s="1920">
        <f ca="1"/>
        <v>0</v>
      </c>
      <c r="W172" s="1920">
        <f ca="1"/>
        <v>0</v>
      </c>
      <c r="X172" s="1920">
        <f ca="1"/>
        <v>0</v>
      </c>
      <c r="Y172" s="1937">
        <f ca="1"/>
        <v>0</v>
      </c>
    </row>
    <row r="173" spans="1:25">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0">
        <f t="array" aca="1" ref="R173:R177" ca="1">'DC Distr 2'!F173:F177</f>
        <v>0</v>
      </c>
      <c r="S173" s="1920">
        <f ca="1"/>
        <v>0</v>
      </c>
      <c r="T173" s="1920">
        <f ca="1"/>
        <v>0</v>
      </c>
      <c r="U173" s="1920">
        <f ca="1"/>
        <v>0</v>
      </c>
      <c r="V173" s="1920">
        <f ca="1"/>
        <v>0</v>
      </c>
      <c r="W173" s="1920">
        <f ca="1"/>
        <v>0</v>
      </c>
      <c r="X173" s="1920">
        <f ca="1"/>
        <v>0</v>
      </c>
      <c r="Y173" s="1937">
        <f ca="1"/>
        <v>0</v>
      </c>
    </row>
    <row r="174" spans="1:25">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0">
        <f t="array" aca="1" ref="Q174:Q177" ca="1">'DC Distr 2'!E174:E177</f>
        <v>0</v>
      </c>
      <c r="R174" s="1920">
        <f ca="1"/>
        <v>0</v>
      </c>
      <c r="S174" s="1920">
        <f ca="1"/>
        <v>0</v>
      </c>
      <c r="T174" s="1920">
        <f ca="1"/>
        <v>0</v>
      </c>
      <c r="U174" s="1920">
        <f ca="1"/>
        <v>0</v>
      </c>
      <c r="V174" s="1920">
        <f ca="1"/>
        <v>0</v>
      </c>
      <c r="W174" s="1920">
        <f ca="1"/>
        <v>0</v>
      </c>
      <c r="X174" s="1920">
        <f ca="1"/>
        <v>0</v>
      </c>
      <c r="Y174" s="1937">
        <f ca="1"/>
        <v>0</v>
      </c>
    </row>
    <row r="175" spans="1:25">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0">
        <f t="array" aca="1" ref="P175:P177" ca="1">'DC Distr 2'!D175:D177</f>
        <v>0</v>
      </c>
      <c r="Q175" s="1920">
        <f ca="1"/>
        <v>0</v>
      </c>
      <c r="R175" s="1920">
        <f ca="1"/>
        <v>0</v>
      </c>
      <c r="S175" s="1920">
        <f ca="1"/>
        <v>0</v>
      </c>
      <c r="T175" s="1920">
        <f ca="1"/>
        <v>0</v>
      </c>
      <c r="U175" s="1920">
        <f ca="1"/>
        <v>0</v>
      </c>
      <c r="V175" s="1920">
        <f ca="1"/>
        <v>0</v>
      </c>
      <c r="W175" s="1920">
        <f ca="1"/>
        <v>0</v>
      </c>
      <c r="X175" s="1920">
        <f ca="1"/>
        <v>0</v>
      </c>
      <c r="Y175" s="1937">
        <f ca="1"/>
        <v>0</v>
      </c>
    </row>
    <row r="176" spans="1:25">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0">
        <f ca="1">'DC Distr 2'!C176</f>
        <v>0</v>
      </c>
      <c r="P176" s="1920">
        <f ca="1"/>
        <v>0</v>
      </c>
      <c r="Q176" s="1920">
        <f ca="1"/>
        <v>0</v>
      </c>
      <c r="R176" s="1920">
        <f ca="1"/>
        <v>0</v>
      </c>
      <c r="S176" s="1920">
        <f ca="1"/>
        <v>0</v>
      </c>
      <c r="T176" s="1920">
        <f ca="1"/>
        <v>0</v>
      </c>
      <c r="U176" s="1920">
        <f ca="1"/>
        <v>0</v>
      </c>
      <c r="V176" s="1920">
        <f ca="1"/>
        <v>0</v>
      </c>
      <c r="W176" s="1920">
        <f ca="1"/>
        <v>0</v>
      </c>
      <c r="X176" s="1920">
        <f ca="1"/>
        <v>0</v>
      </c>
      <c r="Y176" s="1937">
        <f ca="1"/>
        <v>0</v>
      </c>
    </row>
    <row r="177" spans="1:25"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f ca="1">'DC Distr 2'!B177</f>
        <v>0</v>
      </c>
      <c r="O177" s="1920">
        <f ca="1">'DC Distr 2'!C177</f>
        <v>0</v>
      </c>
      <c r="P177" s="1920">
        <f ca="1"/>
        <v>0</v>
      </c>
      <c r="Q177" s="1920">
        <f ca="1"/>
        <v>0</v>
      </c>
      <c r="R177" s="1920">
        <f ca="1"/>
        <v>0</v>
      </c>
      <c r="S177" s="1920">
        <f ca="1"/>
        <v>0</v>
      </c>
      <c r="T177" s="1920">
        <f ca="1"/>
        <v>0</v>
      </c>
      <c r="U177" s="1920">
        <f ca="1"/>
        <v>0</v>
      </c>
      <c r="V177" s="1920">
        <f ca="1"/>
        <v>0</v>
      </c>
      <c r="W177" s="1920">
        <f ca="1"/>
        <v>0</v>
      </c>
      <c r="X177" s="1920">
        <f ca="1"/>
        <v>0</v>
      </c>
      <c r="Y177" s="1937">
        <f ca="1"/>
        <v>0</v>
      </c>
    </row>
    <row r="178" spans="1:25" ht="13.5"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5">
        <f t="shared" ca="1" si="13"/>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5" ht="18.75" thickBot="1">
      <c r="A181" s="1921" t="str">
        <f>'DC Distr 0'!A181</f>
        <v xml:space="preserve">Monthly Purchases / Production costs for </v>
      </c>
      <c r="I181" s="1921" t="str">
        <f>I$18</f>
        <v>VAT NOT included</v>
      </c>
      <c r="K181" s="1932">
        <f>Parameters!$F$28</f>
        <v>0.21</v>
      </c>
    </row>
    <row r="182" spans="1:25" ht="31.5" customHeight="1" thickBot="1">
      <c r="A182" s="441" t="str">
        <f t="array" ref="A182:A195">A$110:A$123</f>
        <v>Months before sale</v>
      </c>
      <c r="B182" s="1938" t="str">
        <f t="array" ref="B182:Y182">B$71:Y$71</f>
        <v>January
2026</v>
      </c>
      <c r="C182" s="1938" t="str">
        <v>February
2026</v>
      </c>
      <c r="D182" s="1938" t="str">
        <v>March
2026</v>
      </c>
      <c r="E182" s="1938" t="str">
        <v>April
2026</v>
      </c>
      <c r="F182" s="1938" t="str">
        <v>May
2026</v>
      </c>
      <c r="G182" s="1938" t="str">
        <v>June
2026</v>
      </c>
      <c r="H182" s="1938" t="str">
        <v>July
2026</v>
      </c>
      <c r="I182" s="1938" t="str">
        <v>August
2026</v>
      </c>
      <c r="J182" s="1938" t="str">
        <v>September
2026</v>
      </c>
      <c r="K182" s="1938" t="str">
        <v>October
2026</v>
      </c>
      <c r="L182" s="1938" t="str">
        <v>November
2026</v>
      </c>
      <c r="M182" s="1938" t="str">
        <v>December
2026</v>
      </c>
      <c r="N182" s="2721" t="str">
        <v>January 
2027</v>
      </c>
      <c r="O182" s="2722" t="str">
        <v>February 
2027</v>
      </c>
      <c r="P182" s="2722" t="str">
        <v>March 
2027</v>
      </c>
      <c r="Q182" s="2722" t="str">
        <v>April 
2027</v>
      </c>
      <c r="R182" s="2722" t="str">
        <v>May 
2027</v>
      </c>
      <c r="S182" s="2722" t="str">
        <v>June 
2027</v>
      </c>
      <c r="T182" s="2722" t="str">
        <v>July 
2027</v>
      </c>
      <c r="U182" s="2722" t="str">
        <v>August 
2027</v>
      </c>
      <c r="V182" s="2722" t="str">
        <v>September 
2027</v>
      </c>
      <c r="W182" s="2722" t="str">
        <v>October 
2027</v>
      </c>
      <c r="X182" s="2722" t="str">
        <v>November 
2027</v>
      </c>
      <c r="Y182" s="2723" t="str">
        <v>December 
2027</v>
      </c>
    </row>
    <row r="183" spans="1:25">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5">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f t="array" aca="1" ref="Y184:Y195" ca="1">'DC Distr 2'!M184:M195</f>
        <v>0</v>
      </c>
    </row>
    <row r="185" spans="1:25">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6">
        <f t="array" aca="1" ref="X185:X195" ca="1">'DC Distr 2'!L185:L195</f>
        <v>0</v>
      </c>
      <c r="Y185" s="1934">
        <f ca="1"/>
        <v>0</v>
      </c>
    </row>
    <row r="186" spans="1:25">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6">
        <f t="array" aca="1" ref="W186:W195" ca="1">'DC Distr 2'!K186:K195</f>
        <v>0</v>
      </c>
      <c r="X186" s="1916">
        <f ca="1"/>
        <v>0</v>
      </c>
      <c r="Y186" s="1934">
        <f ca="1"/>
        <v>0</v>
      </c>
    </row>
    <row r="187" spans="1:25">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6">
        <f t="array" aca="1" ref="V187:V195" ca="1">'DC Distr 2'!J187:J195</f>
        <v>0</v>
      </c>
      <c r="W187" s="1916">
        <f ca="1"/>
        <v>0</v>
      </c>
      <c r="X187" s="1916">
        <f ca="1"/>
        <v>0</v>
      </c>
      <c r="Y187" s="1934">
        <f ca="1"/>
        <v>0</v>
      </c>
    </row>
    <row r="188" spans="1:25">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6">
        <f t="array" aca="1" ref="U188:U195" ca="1">'DC Distr 2'!I188:I195</f>
        <v>0</v>
      </c>
      <c r="V188" s="1916">
        <f ca="1"/>
        <v>0</v>
      </c>
      <c r="W188" s="1916">
        <f ca="1"/>
        <v>0</v>
      </c>
      <c r="X188" s="1916">
        <f ca="1"/>
        <v>0</v>
      </c>
      <c r="Y188" s="1934">
        <f ca="1"/>
        <v>0</v>
      </c>
    </row>
    <row r="189" spans="1:25">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6">
        <f t="array" aca="1" ref="T189:T195" ca="1">'DC Distr 2'!H189:H195</f>
        <v>0</v>
      </c>
      <c r="U189" s="1916">
        <f ca="1"/>
        <v>0</v>
      </c>
      <c r="V189" s="1916">
        <f ca="1"/>
        <v>0</v>
      </c>
      <c r="W189" s="1916">
        <f ca="1"/>
        <v>0</v>
      </c>
      <c r="X189" s="1916">
        <f ca="1"/>
        <v>0</v>
      </c>
      <c r="Y189" s="1934">
        <f ca="1"/>
        <v>0</v>
      </c>
    </row>
    <row r="190" spans="1:25">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0">
        <f t="array" aca="1" ref="S190:S195" ca="1">'DC Distr 2'!G190:G195</f>
        <v>0</v>
      </c>
      <c r="T190" s="1920">
        <f ca="1"/>
        <v>0</v>
      </c>
      <c r="U190" s="1920">
        <f ca="1"/>
        <v>0</v>
      </c>
      <c r="V190" s="1920">
        <f ca="1"/>
        <v>0</v>
      </c>
      <c r="W190" s="1920">
        <f ca="1"/>
        <v>0</v>
      </c>
      <c r="X190" s="1920">
        <f ca="1"/>
        <v>0</v>
      </c>
      <c r="Y190" s="1937">
        <f ca="1"/>
        <v>0</v>
      </c>
    </row>
    <row r="191" spans="1:25">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0">
        <f t="array" aca="1" ref="R191:R195" ca="1">'DC Distr 2'!F191:F195</f>
        <v>0</v>
      </c>
      <c r="S191" s="1920">
        <f ca="1"/>
        <v>0</v>
      </c>
      <c r="T191" s="1920">
        <f ca="1"/>
        <v>0</v>
      </c>
      <c r="U191" s="1920">
        <f ca="1"/>
        <v>0</v>
      </c>
      <c r="V191" s="1920">
        <f ca="1"/>
        <v>0</v>
      </c>
      <c r="W191" s="1920">
        <f ca="1"/>
        <v>0</v>
      </c>
      <c r="X191" s="1920">
        <f ca="1"/>
        <v>0</v>
      </c>
      <c r="Y191" s="1937">
        <f ca="1"/>
        <v>0</v>
      </c>
    </row>
    <row r="192" spans="1:25">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0">
        <f t="array" aca="1" ref="Q192:Q195" ca="1">'DC Distr 2'!E192:E195</f>
        <v>0</v>
      </c>
      <c r="R192" s="1920">
        <f ca="1"/>
        <v>0</v>
      </c>
      <c r="S192" s="1920">
        <f ca="1"/>
        <v>0</v>
      </c>
      <c r="T192" s="1920">
        <f ca="1"/>
        <v>0</v>
      </c>
      <c r="U192" s="1920">
        <f ca="1"/>
        <v>0</v>
      </c>
      <c r="V192" s="1920">
        <f ca="1"/>
        <v>0</v>
      </c>
      <c r="W192" s="1920">
        <f ca="1"/>
        <v>0</v>
      </c>
      <c r="X192" s="1920">
        <f ca="1"/>
        <v>0</v>
      </c>
      <c r="Y192" s="1937">
        <f ca="1"/>
        <v>0</v>
      </c>
    </row>
    <row r="193" spans="1:25">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0">
        <f t="array" aca="1" ref="P193:P195" ca="1">'DC Distr 2'!D193:D195</f>
        <v>0</v>
      </c>
      <c r="Q193" s="1920">
        <f ca="1"/>
        <v>0</v>
      </c>
      <c r="R193" s="1920">
        <f ca="1"/>
        <v>0</v>
      </c>
      <c r="S193" s="1920">
        <f ca="1"/>
        <v>0</v>
      </c>
      <c r="T193" s="1920">
        <f ca="1"/>
        <v>0</v>
      </c>
      <c r="U193" s="1920">
        <f ca="1"/>
        <v>0</v>
      </c>
      <c r="V193" s="1920">
        <f ca="1"/>
        <v>0</v>
      </c>
      <c r="W193" s="1920">
        <f ca="1"/>
        <v>0</v>
      </c>
      <c r="X193" s="1920">
        <f ca="1"/>
        <v>0</v>
      </c>
      <c r="Y193" s="1937">
        <f ca="1"/>
        <v>0</v>
      </c>
    </row>
    <row r="194" spans="1:25">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0">
        <f ca="1">'DC Distr 2'!C194</f>
        <v>0</v>
      </c>
      <c r="P194" s="1920">
        <f ca="1"/>
        <v>0</v>
      </c>
      <c r="Q194" s="1920">
        <f ca="1"/>
        <v>0</v>
      </c>
      <c r="R194" s="1920">
        <f ca="1"/>
        <v>0</v>
      </c>
      <c r="S194" s="1920">
        <f ca="1"/>
        <v>0</v>
      </c>
      <c r="T194" s="1920">
        <f ca="1"/>
        <v>0</v>
      </c>
      <c r="U194" s="1920">
        <f ca="1"/>
        <v>0</v>
      </c>
      <c r="V194" s="1920">
        <f ca="1"/>
        <v>0</v>
      </c>
      <c r="W194" s="1920">
        <f ca="1"/>
        <v>0</v>
      </c>
      <c r="X194" s="1920">
        <f ca="1"/>
        <v>0</v>
      </c>
      <c r="Y194" s="1937">
        <f ca="1"/>
        <v>0</v>
      </c>
    </row>
    <row r="195" spans="1:25"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f ca="1">'DC Distr 2'!B195</f>
        <v>0</v>
      </c>
      <c r="O195" s="1920">
        <f ca="1">'DC Distr 2'!C195</f>
        <v>0</v>
      </c>
      <c r="P195" s="1920">
        <f ca="1"/>
        <v>0</v>
      </c>
      <c r="Q195" s="1920">
        <f ca="1"/>
        <v>0</v>
      </c>
      <c r="R195" s="1920">
        <f ca="1"/>
        <v>0</v>
      </c>
      <c r="S195" s="1920">
        <f ca="1"/>
        <v>0</v>
      </c>
      <c r="T195" s="1920">
        <f ca="1"/>
        <v>0</v>
      </c>
      <c r="U195" s="1920">
        <f ca="1"/>
        <v>0</v>
      </c>
      <c r="V195" s="1920">
        <f ca="1"/>
        <v>0</v>
      </c>
      <c r="W195" s="1920">
        <f ca="1"/>
        <v>0</v>
      </c>
      <c r="X195" s="1920">
        <f ca="1"/>
        <v>0</v>
      </c>
      <c r="Y195" s="1937">
        <f ca="1"/>
        <v>0</v>
      </c>
    </row>
    <row r="196" spans="1:25" ht="13.5"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5">
        <f t="shared" ca="1" si="14"/>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5" ht="18.75" thickBot="1">
      <c r="A199" s="1921" t="str">
        <f>'DC Distr 0'!A199</f>
        <v xml:space="preserve">Monthly Purchases / Production costs for </v>
      </c>
      <c r="I199" s="1921" t="str">
        <f>I$18</f>
        <v>VAT NOT included</v>
      </c>
      <c r="K199" s="1932">
        <f>Parameters!$F$29</f>
        <v>0.21</v>
      </c>
    </row>
    <row r="200" spans="1:25" ht="33" customHeight="1" thickBot="1">
      <c r="A200" s="441" t="str">
        <f t="array" ref="A200:A213">A$110:A$123</f>
        <v>Months before sale</v>
      </c>
      <c r="B200" s="1938" t="str">
        <f t="array" ref="B200:Y200">B$71:Y$71</f>
        <v>January
2026</v>
      </c>
      <c r="C200" s="1938" t="str">
        <v>February
2026</v>
      </c>
      <c r="D200" s="1938" t="str">
        <v>March
2026</v>
      </c>
      <c r="E200" s="1938" t="str">
        <v>April
2026</v>
      </c>
      <c r="F200" s="1938" t="str">
        <v>May
2026</v>
      </c>
      <c r="G200" s="1938" t="str">
        <v>June
2026</v>
      </c>
      <c r="H200" s="1938" t="str">
        <v>July
2026</v>
      </c>
      <c r="I200" s="1938" t="str">
        <v>August
2026</v>
      </c>
      <c r="J200" s="1938" t="str">
        <v>September
2026</v>
      </c>
      <c r="K200" s="1938" t="str">
        <v>October
2026</v>
      </c>
      <c r="L200" s="1938" t="str">
        <v>November
2026</v>
      </c>
      <c r="M200" s="1938" t="str">
        <v>December
2026</v>
      </c>
      <c r="N200" s="2721" t="str">
        <v>January 
2027</v>
      </c>
      <c r="O200" s="2722" t="str">
        <v>February 
2027</v>
      </c>
      <c r="P200" s="2722" t="str">
        <v>March 
2027</v>
      </c>
      <c r="Q200" s="2722" t="str">
        <v>April 
2027</v>
      </c>
      <c r="R200" s="2722" t="str">
        <v>May 
2027</v>
      </c>
      <c r="S200" s="2722" t="str">
        <v>June 
2027</v>
      </c>
      <c r="T200" s="2722" t="str">
        <v>July 
2027</v>
      </c>
      <c r="U200" s="2722" t="str">
        <v>August 
2027</v>
      </c>
      <c r="V200" s="2722" t="str">
        <v>September 
2027</v>
      </c>
      <c r="W200" s="2722" t="str">
        <v>October 
2027</v>
      </c>
      <c r="X200" s="2722" t="str">
        <v>November 
2027</v>
      </c>
      <c r="Y200" s="2723" t="str">
        <v>December 
2027</v>
      </c>
    </row>
    <row r="201" spans="1:25">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5">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f t="array" aca="1" ref="Y202:Y213" ca="1">'DC Distr 2'!M202:M213</f>
        <v>0</v>
      </c>
    </row>
    <row r="203" spans="1:25">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6">
        <f t="array" aca="1" ref="X203:X213" ca="1">'DC Distr 2'!L203:L213</f>
        <v>0</v>
      </c>
      <c r="Y203" s="1934">
        <f ca="1"/>
        <v>0</v>
      </c>
    </row>
    <row r="204" spans="1:25">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6">
        <f t="array" aca="1" ref="W204:W213" ca="1">'DC Distr 2'!K204:K213</f>
        <v>0</v>
      </c>
      <c r="X204" s="1916">
        <f ca="1"/>
        <v>0</v>
      </c>
      <c r="Y204" s="1934">
        <f ca="1"/>
        <v>0</v>
      </c>
    </row>
    <row r="205" spans="1:25">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6">
        <f t="array" aca="1" ref="V205:V213" ca="1">'DC Distr 2'!J205:J213</f>
        <v>0</v>
      </c>
      <c r="W205" s="1916">
        <f ca="1"/>
        <v>0</v>
      </c>
      <c r="X205" s="1916">
        <f ca="1"/>
        <v>0</v>
      </c>
      <c r="Y205" s="1934">
        <f ca="1"/>
        <v>0</v>
      </c>
    </row>
    <row r="206" spans="1:25">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6">
        <f t="array" aca="1" ref="U206:U213" ca="1">'DC Distr 2'!I206:I213</f>
        <v>0</v>
      </c>
      <c r="V206" s="1916">
        <f ca="1"/>
        <v>0</v>
      </c>
      <c r="W206" s="1916">
        <f ca="1"/>
        <v>0</v>
      </c>
      <c r="X206" s="1916">
        <f ca="1"/>
        <v>0</v>
      </c>
      <c r="Y206" s="1934">
        <f ca="1"/>
        <v>0</v>
      </c>
    </row>
    <row r="207" spans="1:25">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6">
        <f t="array" aca="1" ref="T207:T213" ca="1">'DC Distr 2'!H207:H213</f>
        <v>0</v>
      </c>
      <c r="U207" s="1916">
        <f ca="1"/>
        <v>0</v>
      </c>
      <c r="V207" s="1916">
        <f ca="1"/>
        <v>0</v>
      </c>
      <c r="W207" s="1916">
        <f ca="1"/>
        <v>0</v>
      </c>
      <c r="X207" s="1916">
        <f ca="1"/>
        <v>0</v>
      </c>
      <c r="Y207" s="1934">
        <f ca="1"/>
        <v>0</v>
      </c>
    </row>
    <row r="208" spans="1:25">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0">
        <f t="array" aca="1" ref="S208:S213" ca="1">'DC Distr 2'!G208:G213</f>
        <v>0</v>
      </c>
      <c r="T208" s="1920">
        <f ca="1"/>
        <v>0</v>
      </c>
      <c r="U208" s="1920">
        <f ca="1"/>
        <v>0</v>
      </c>
      <c r="V208" s="1920">
        <f ca="1"/>
        <v>0</v>
      </c>
      <c r="W208" s="1920">
        <f ca="1"/>
        <v>0</v>
      </c>
      <c r="X208" s="1920">
        <f ca="1"/>
        <v>0</v>
      </c>
      <c r="Y208" s="1937">
        <f ca="1"/>
        <v>0</v>
      </c>
    </row>
    <row r="209" spans="1:25">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0">
        <f t="array" aca="1" ref="R209:R213" ca="1">'DC Distr 2'!F209:F213</f>
        <v>0</v>
      </c>
      <c r="S209" s="1920">
        <f ca="1"/>
        <v>0</v>
      </c>
      <c r="T209" s="1920">
        <f ca="1"/>
        <v>0</v>
      </c>
      <c r="U209" s="1920">
        <f ca="1"/>
        <v>0</v>
      </c>
      <c r="V209" s="1920">
        <f ca="1"/>
        <v>0</v>
      </c>
      <c r="W209" s="1920">
        <f ca="1"/>
        <v>0</v>
      </c>
      <c r="X209" s="1920">
        <f ca="1"/>
        <v>0</v>
      </c>
      <c r="Y209" s="1937">
        <f ca="1"/>
        <v>0</v>
      </c>
    </row>
    <row r="210" spans="1:25">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0">
        <f t="array" aca="1" ref="Q210:Q213" ca="1">'DC Distr 2'!E210:E213</f>
        <v>0</v>
      </c>
      <c r="R210" s="1920">
        <f ca="1"/>
        <v>0</v>
      </c>
      <c r="S210" s="1920">
        <f ca="1"/>
        <v>0</v>
      </c>
      <c r="T210" s="1920">
        <f ca="1"/>
        <v>0</v>
      </c>
      <c r="U210" s="1920">
        <f ca="1"/>
        <v>0</v>
      </c>
      <c r="V210" s="1920">
        <f ca="1"/>
        <v>0</v>
      </c>
      <c r="W210" s="1920">
        <f ca="1"/>
        <v>0</v>
      </c>
      <c r="X210" s="1920">
        <f ca="1"/>
        <v>0</v>
      </c>
      <c r="Y210" s="1937">
        <f ca="1"/>
        <v>0</v>
      </c>
    </row>
    <row r="211" spans="1:25">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0">
        <f t="array" aca="1" ref="P211:P213" ca="1">'DC Distr 2'!D211:D213</f>
        <v>0</v>
      </c>
      <c r="Q211" s="1920">
        <f ca="1"/>
        <v>0</v>
      </c>
      <c r="R211" s="1920">
        <f ca="1"/>
        <v>0</v>
      </c>
      <c r="S211" s="1920">
        <f ca="1"/>
        <v>0</v>
      </c>
      <c r="T211" s="1920">
        <f ca="1"/>
        <v>0</v>
      </c>
      <c r="U211" s="1920">
        <f ca="1"/>
        <v>0</v>
      </c>
      <c r="V211" s="1920">
        <f ca="1"/>
        <v>0</v>
      </c>
      <c r="W211" s="1920">
        <f ca="1"/>
        <v>0</v>
      </c>
      <c r="X211" s="1920">
        <f ca="1"/>
        <v>0</v>
      </c>
      <c r="Y211" s="1937">
        <f ca="1"/>
        <v>0</v>
      </c>
    </row>
    <row r="212" spans="1:25">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0">
        <f ca="1">'DC Distr 2'!C212</f>
        <v>0</v>
      </c>
      <c r="P212" s="1920">
        <f ca="1"/>
        <v>0</v>
      </c>
      <c r="Q212" s="1920">
        <f ca="1"/>
        <v>0</v>
      </c>
      <c r="R212" s="1920">
        <f ca="1"/>
        <v>0</v>
      </c>
      <c r="S212" s="1920">
        <f ca="1"/>
        <v>0</v>
      </c>
      <c r="T212" s="1920">
        <f ca="1"/>
        <v>0</v>
      </c>
      <c r="U212" s="1920">
        <f ca="1"/>
        <v>0</v>
      </c>
      <c r="V212" s="1920">
        <f ca="1"/>
        <v>0</v>
      </c>
      <c r="W212" s="1920">
        <f ca="1"/>
        <v>0</v>
      </c>
      <c r="X212" s="1920">
        <f ca="1"/>
        <v>0</v>
      </c>
      <c r="Y212" s="1937">
        <f ca="1"/>
        <v>0</v>
      </c>
    </row>
    <row r="213" spans="1:25"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f ca="1">'DC Distr 2'!B213</f>
        <v>0</v>
      </c>
      <c r="O213" s="1920">
        <f ca="1">'DC Distr 2'!C213</f>
        <v>0</v>
      </c>
      <c r="P213" s="1920">
        <f ca="1"/>
        <v>0</v>
      </c>
      <c r="Q213" s="1920">
        <f ca="1"/>
        <v>0</v>
      </c>
      <c r="R213" s="1920">
        <f ca="1"/>
        <v>0</v>
      </c>
      <c r="S213" s="1920">
        <f ca="1"/>
        <v>0</v>
      </c>
      <c r="T213" s="1920">
        <f ca="1"/>
        <v>0</v>
      </c>
      <c r="U213" s="1920">
        <f ca="1"/>
        <v>0</v>
      </c>
      <c r="V213" s="1920">
        <f ca="1"/>
        <v>0</v>
      </c>
      <c r="W213" s="1920">
        <f ca="1"/>
        <v>0</v>
      </c>
      <c r="X213" s="1920">
        <f ca="1"/>
        <v>0</v>
      </c>
      <c r="Y213" s="1937">
        <f ca="1"/>
        <v>0</v>
      </c>
    </row>
    <row r="214" spans="1:25" ht="13.5"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5">
        <f t="shared" ca="1" si="15"/>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5" ht="18.75" thickBot="1">
      <c r="A217" s="1921" t="str">
        <f>'DC Distr 0'!A217</f>
        <v xml:space="preserve">Monthly Purchases / Production costs for </v>
      </c>
      <c r="I217" s="1921" t="str">
        <f>I$18</f>
        <v>VAT NOT included</v>
      </c>
      <c r="K217" s="1932">
        <f>Parameters!$F$30</f>
        <v>0.21</v>
      </c>
    </row>
    <row r="218" spans="1:25" ht="33" customHeight="1" thickBot="1">
      <c r="A218" s="441" t="str">
        <f t="array" ref="A218:A231">A$110:A$123</f>
        <v>Months before sale</v>
      </c>
      <c r="B218" s="1938" t="str">
        <f t="array" ref="B218:Y218">B$71:Y$71</f>
        <v>January
2026</v>
      </c>
      <c r="C218" s="1938" t="str">
        <v>February
2026</v>
      </c>
      <c r="D218" s="1938" t="str">
        <v>March
2026</v>
      </c>
      <c r="E218" s="1938" t="str">
        <v>April
2026</v>
      </c>
      <c r="F218" s="1938" t="str">
        <v>May
2026</v>
      </c>
      <c r="G218" s="1938" t="str">
        <v>June
2026</v>
      </c>
      <c r="H218" s="1938" t="str">
        <v>July
2026</v>
      </c>
      <c r="I218" s="1938" t="str">
        <v>August
2026</v>
      </c>
      <c r="J218" s="1938" t="str">
        <v>September
2026</v>
      </c>
      <c r="K218" s="1938" t="str">
        <v>October
2026</v>
      </c>
      <c r="L218" s="1938" t="str">
        <v>November
2026</v>
      </c>
      <c r="M218" s="1938" t="str">
        <v>December
2026</v>
      </c>
      <c r="N218" s="2721" t="str">
        <v>January 
2027</v>
      </c>
      <c r="O218" s="2722" t="str">
        <v>February 
2027</v>
      </c>
      <c r="P218" s="2722" t="str">
        <v>March 
2027</v>
      </c>
      <c r="Q218" s="2722" t="str">
        <v>April 
2027</v>
      </c>
      <c r="R218" s="2722" t="str">
        <v>May 
2027</v>
      </c>
      <c r="S218" s="2722" t="str">
        <v>June 
2027</v>
      </c>
      <c r="T218" s="2722" t="str">
        <v>July 
2027</v>
      </c>
      <c r="U218" s="2722" t="str">
        <v>August 
2027</v>
      </c>
      <c r="V218" s="2722" t="str">
        <v>September 
2027</v>
      </c>
      <c r="W218" s="2722" t="str">
        <v>October 
2027</v>
      </c>
      <c r="X218" s="2722" t="str">
        <v>November 
2027</v>
      </c>
      <c r="Y218" s="2723" t="str">
        <v>December 
2027</v>
      </c>
    </row>
    <row r="219" spans="1:25">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5">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f t="array" aca="1" ref="Y220:Y231" ca="1">'DC Distr 2'!M220:M231</f>
        <v>0</v>
      </c>
    </row>
    <row r="221" spans="1:25">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6">
        <f t="array" aca="1" ref="X221:X231" ca="1">'DC Distr 2'!L221:L231</f>
        <v>0</v>
      </c>
      <c r="Y221" s="1934">
        <f ca="1"/>
        <v>0</v>
      </c>
    </row>
    <row r="222" spans="1:25">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6">
        <f t="array" aca="1" ref="W222:W231" ca="1">'DC Distr 2'!K222:K231</f>
        <v>0</v>
      </c>
      <c r="X222" s="1916">
        <f ca="1"/>
        <v>0</v>
      </c>
      <c r="Y222" s="1934">
        <f ca="1"/>
        <v>0</v>
      </c>
    </row>
    <row r="223" spans="1:25">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6">
        <f t="array" aca="1" ref="V223:V231" ca="1">'DC Distr 2'!J223:J231</f>
        <v>0</v>
      </c>
      <c r="W223" s="1916">
        <f ca="1"/>
        <v>0</v>
      </c>
      <c r="X223" s="1916">
        <f ca="1"/>
        <v>0</v>
      </c>
      <c r="Y223" s="1934">
        <f ca="1"/>
        <v>0</v>
      </c>
    </row>
    <row r="224" spans="1:25">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6">
        <f t="array" aca="1" ref="U224:U231" ca="1">'DC Distr 2'!I224:I231</f>
        <v>0</v>
      </c>
      <c r="V224" s="1916">
        <f ca="1"/>
        <v>0</v>
      </c>
      <c r="W224" s="1916">
        <f ca="1"/>
        <v>0</v>
      </c>
      <c r="X224" s="1916">
        <f ca="1"/>
        <v>0</v>
      </c>
      <c r="Y224" s="1934">
        <f ca="1"/>
        <v>0</v>
      </c>
    </row>
    <row r="225" spans="1:25">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6">
        <f t="array" aca="1" ref="T225:T231" ca="1">'DC Distr 2'!H225:H231</f>
        <v>0</v>
      </c>
      <c r="U225" s="1916">
        <f ca="1"/>
        <v>0</v>
      </c>
      <c r="V225" s="1916">
        <f ca="1"/>
        <v>0</v>
      </c>
      <c r="W225" s="1916">
        <f ca="1"/>
        <v>0</v>
      </c>
      <c r="X225" s="1916">
        <f ca="1"/>
        <v>0</v>
      </c>
      <c r="Y225" s="1934">
        <f ca="1"/>
        <v>0</v>
      </c>
    </row>
    <row r="226" spans="1:25">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0">
        <f t="array" aca="1" ref="S226:S231" ca="1">'DC Distr 2'!G226:G231</f>
        <v>0</v>
      </c>
      <c r="T226" s="1920">
        <f ca="1"/>
        <v>0</v>
      </c>
      <c r="U226" s="1920">
        <f ca="1"/>
        <v>0</v>
      </c>
      <c r="V226" s="1920">
        <f ca="1"/>
        <v>0</v>
      </c>
      <c r="W226" s="1920">
        <f ca="1"/>
        <v>0</v>
      </c>
      <c r="X226" s="1920">
        <f ca="1"/>
        <v>0</v>
      </c>
      <c r="Y226" s="1937">
        <f ca="1"/>
        <v>0</v>
      </c>
    </row>
    <row r="227" spans="1:25">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0">
        <f t="array" aca="1" ref="R227:R231" ca="1">'DC Distr 2'!F227:F231</f>
        <v>0</v>
      </c>
      <c r="S227" s="1920">
        <f ca="1"/>
        <v>0</v>
      </c>
      <c r="T227" s="1920">
        <f ca="1"/>
        <v>0</v>
      </c>
      <c r="U227" s="1920">
        <f ca="1"/>
        <v>0</v>
      </c>
      <c r="V227" s="1920">
        <f ca="1"/>
        <v>0</v>
      </c>
      <c r="W227" s="1920">
        <f ca="1"/>
        <v>0</v>
      </c>
      <c r="X227" s="1920">
        <f ca="1"/>
        <v>0</v>
      </c>
      <c r="Y227" s="1937">
        <f ca="1"/>
        <v>0</v>
      </c>
    </row>
    <row r="228" spans="1:25">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0">
        <f t="array" aca="1" ref="Q228:Q231" ca="1">'DC Distr 2'!E228:E231</f>
        <v>0</v>
      </c>
      <c r="R228" s="1920">
        <f ca="1"/>
        <v>0</v>
      </c>
      <c r="S228" s="1920">
        <f ca="1"/>
        <v>0</v>
      </c>
      <c r="T228" s="1920">
        <f ca="1"/>
        <v>0</v>
      </c>
      <c r="U228" s="1920">
        <f ca="1"/>
        <v>0</v>
      </c>
      <c r="V228" s="1920">
        <f ca="1"/>
        <v>0</v>
      </c>
      <c r="W228" s="1920">
        <f ca="1"/>
        <v>0</v>
      </c>
      <c r="X228" s="1920">
        <f ca="1"/>
        <v>0</v>
      </c>
      <c r="Y228" s="1937">
        <f ca="1"/>
        <v>0</v>
      </c>
    </row>
    <row r="229" spans="1:25">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0">
        <f t="array" aca="1" ref="P229:P231" ca="1">'DC Distr 2'!D229:D231</f>
        <v>0</v>
      </c>
      <c r="Q229" s="1920">
        <f ca="1"/>
        <v>0</v>
      </c>
      <c r="R229" s="1920">
        <f ca="1"/>
        <v>0</v>
      </c>
      <c r="S229" s="1920">
        <f ca="1"/>
        <v>0</v>
      </c>
      <c r="T229" s="1920">
        <f ca="1"/>
        <v>0</v>
      </c>
      <c r="U229" s="1920">
        <f ca="1"/>
        <v>0</v>
      </c>
      <c r="V229" s="1920">
        <f ca="1"/>
        <v>0</v>
      </c>
      <c r="W229" s="1920">
        <f ca="1"/>
        <v>0</v>
      </c>
      <c r="X229" s="1920">
        <f ca="1"/>
        <v>0</v>
      </c>
      <c r="Y229" s="1937">
        <f ca="1"/>
        <v>0</v>
      </c>
    </row>
    <row r="230" spans="1:25">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0">
        <f ca="1">'DC Distr 2'!C230</f>
        <v>0</v>
      </c>
      <c r="P230" s="1920">
        <f ca="1"/>
        <v>0</v>
      </c>
      <c r="Q230" s="1920">
        <f ca="1"/>
        <v>0</v>
      </c>
      <c r="R230" s="1920">
        <f ca="1"/>
        <v>0</v>
      </c>
      <c r="S230" s="1920">
        <f ca="1"/>
        <v>0</v>
      </c>
      <c r="T230" s="1920">
        <f ca="1"/>
        <v>0</v>
      </c>
      <c r="U230" s="1920">
        <f ca="1"/>
        <v>0</v>
      </c>
      <c r="V230" s="1920">
        <f ca="1"/>
        <v>0</v>
      </c>
      <c r="W230" s="1920">
        <f ca="1"/>
        <v>0</v>
      </c>
      <c r="X230" s="1920">
        <f ca="1"/>
        <v>0</v>
      </c>
      <c r="Y230" s="1937">
        <f ca="1"/>
        <v>0</v>
      </c>
    </row>
    <row r="231" spans="1:25"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f ca="1">'DC Distr 2'!B231</f>
        <v>0</v>
      </c>
      <c r="O231" s="1920">
        <f ca="1">'DC Distr 2'!C231</f>
        <v>0</v>
      </c>
      <c r="P231" s="1920">
        <f ca="1"/>
        <v>0</v>
      </c>
      <c r="Q231" s="1920">
        <f ca="1"/>
        <v>0</v>
      </c>
      <c r="R231" s="1920">
        <f ca="1"/>
        <v>0</v>
      </c>
      <c r="S231" s="1920">
        <f ca="1"/>
        <v>0</v>
      </c>
      <c r="T231" s="1920">
        <f ca="1"/>
        <v>0</v>
      </c>
      <c r="U231" s="1920">
        <f ca="1"/>
        <v>0</v>
      </c>
      <c r="V231" s="1920">
        <f ca="1"/>
        <v>0</v>
      </c>
      <c r="W231" s="1920">
        <f ca="1"/>
        <v>0</v>
      </c>
      <c r="X231" s="1920">
        <f ca="1"/>
        <v>0</v>
      </c>
      <c r="Y231" s="1937">
        <f ca="1"/>
        <v>0</v>
      </c>
    </row>
    <row r="232" spans="1:25" ht="13.5"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5">
        <f t="shared" ca="1" si="16"/>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5" ht="18.75" thickBot="1">
      <c r="A235" s="1921" t="str">
        <f>'DC Distr 0'!A235</f>
        <v xml:space="preserve">Monthly Purchases / Production costs for </v>
      </c>
      <c r="I235" s="1921" t="str">
        <f>I$18</f>
        <v>VAT NOT included</v>
      </c>
      <c r="K235" s="1932">
        <f>Parameters!$F$31</f>
        <v>0.21</v>
      </c>
    </row>
    <row r="236" spans="1:25" ht="30" customHeight="1" thickBot="1">
      <c r="A236" s="441" t="str">
        <f t="array" ref="A236:A249">A$110:A$123</f>
        <v>Months before sale</v>
      </c>
      <c r="B236" s="1938" t="str">
        <f t="array" ref="B236:Y236">B$71:Y$71</f>
        <v>January
2026</v>
      </c>
      <c r="C236" s="1938" t="str">
        <v>February
2026</v>
      </c>
      <c r="D236" s="1938" t="str">
        <v>March
2026</v>
      </c>
      <c r="E236" s="1938" t="str">
        <v>April
2026</v>
      </c>
      <c r="F236" s="1938" t="str">
        <v>May
2026</v>
      </c>
      <c r="G236" s="1938" t="str">
        <v>June
2026</v>
      </c>
      <c r="H236" s="1938" t="str">
        <v>July
2026</v>
      </c>
      <c r="I236" s="1938" t="str">
        <v>August
2026</v>
      </c>
      <c r="J236" s="1938" t="str">
        <v>September
2026</v>
      </c>
      <c r="K236" s="1938" t="str">
        <v>October
2026</v>
      </c>
      <c r="L236" s="1938" t="str">
        <v>November
2026</v>
      </c>
      <c r="M236" s="1938" t="str">
        <v>December
2026</v>
      </c>
      <c r="N236" s="2721" t="str">
        <v>January 
2027</v>
      </c>
      <c r="O236" s="2722" t="str">
        <v>February 
2027</v>
      </c>
      <c r="P236" s="2722" t="str">
        <v>March 
2027</v>
      </c>
      <c r="Q236" s="2722" t="str">
        <v>April 
2027</v>
      </c>
      <c r="R236" s="2722" t="str">
        <v>May 
2027</v>
      </c>
      <c r="S236" s="2722" t="str">
        <v>June 
2027</v>
      </c>
      <c r="T236" s="2722" t="str">
        <v>July 
2027</v>
      </c>
      <c r="U236" s="2722" t="str">
        <v>August 
2027</v>
      </c>
      <c r="V236" s="2722" t="str">
        <v>September 
2027</v>
      </c>
      <c r="W236" s="2722" t="str">
        <v>October 
2027</v>
      </c>
      <c r="X236" s="2722" t="str">
        <v>November 
2027</v>
      </c>
      <c r="Y236" s="2723" t="str">
        <v>December 
2027</v>
      </c>
    </row>
    <row r="237" spans="1:25">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5">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f t="array" aca="1" ref="Y238:Y249" ca="1">'DC Distr 2'!M238:M249</f>
        <v>0</v>
      </c>
    </row>
    <row r="239" spans="1:25">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6">
        <f t="array" aca="1" ref="X239:X249" ca="1">'DC Distr 2'!L239:L249</f>
        <v>0</v>
      </c>
      <c r="Y239" s="1934">
        <f ca="1"/>
        <v>0</v>
      </c>
    </row>
    <row r="240" spans="1:25">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6">
        <f t="array" aca="1" ref="W240:W249" ca="1">'DC Distr 2'!K240:K249</f>
        <v>0</v>
      </c>
      <c r="X240" s="1916">
        <f ca="1"/>
        <v>0</v>
      </c>
      <c r="Y240" s="1934">
        <f ca="1"/>
        <v>0</v>
      </c>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6">
        <f t="array" aca="1" ref="V241:V249" ca="1">'DC Distr 2'!J241:J249</f>
        <v>0</v>
      </c>
      <c r="W241" s="1916">
        <f ca="1"/>
        <v>0</v>
      </c>
      <c r="X241" s="1916">
        <f ca="1"/>
        <v>0</v>
      </c>
      <c r="Y241" s="1934">
        <f ca="1"/>
        <v>0</v>
      </c>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6">
        <f t="array" aca="1" ref="U242:U249" ca="1">'DC Distr 2'!I242:I249</f>
        <v>0</v>
      </c>
      <c r="V242" s="1916">
        <f ca="1"/>
        <v>0</v>
      </c>
      <c r="W242" s="1916">
        <f ca="1"/>
        <v>0</v>
      </c>
      <c r="X242" s="1916">
        <f ca="1"/>
        <v>0</v>
      </c>
      <c r="Y242" s="1934">
        <f ca="1"/>
        <v>0</v>
      </c>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6">
        <f t="array" aca="1" ref="T243:T249" ca="1">'DC Distr 2'!H243:H249</f>
        <v>0</v>
      </c>
      <c r="U243" s="1916">
        <f ca="1"/>
        <v>0</v>
      </c>
      <c r="V243" s="1916">
        <f ca="1"/>
        <v>0</v>
      </c>
      <c r="W243" s="1916">
        <f ca="1"/>
        <v>0</v>
      </c>
      <c r="X243" s="1916">
        <f ca="1"/>
        <v>0</v>
      </c>
      <c r="Y243" s="1934">
        <f ca="1"/>
        <v>0</v>
      </c>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0">
        <f t="array" aca="1" ref="S244:S249" ca="1">'DC Distr 2'!G244:G249</f>
        <v>0</v>
      </c>
      <c r="T244" s="1920">
        <f ca="1"/>
        <v>0</v>
      </c>
      <c r="U244" s="1920">
        <f ca="1"/>
        <v>0</v>
      </c>
      <c r="V244" s="1920">
        <f ca="1"/>
        <v>0</v>
      </c>
      <c r="W244" s="1920">
        <f ca="1"/>
        <v>0</v>
      </c>
      <c r="X244" s="1920">
        <f ca="1"/>
        <v>0</v>
      </c>
      <c r="Y244" s="1937">
        <f ca="1"/>
        <v>0</v>
      </c>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0">
        <f t="array" aca="1" ref="R245:R249" ca="1">'DC Distr 2'!F245:F249</f>
        <v>0</v>
      </c>
      <c r="S245" s="1920">
        <f ca="1"/>
        <v>0</v>
      </c>
      <c r="T245" s="1920">
        <f ca="1"/>
        <v>0</v>
      </c>
      <c r="U245" s="1920">
        <f ca="1"/>
        <v>0</v>
      </c>
      <c r="V245" s="1920">
        <f ca="1"/>
        <v>0</v>
      </c>
      <c r="W245" s="1920">
        <f ca="1"/>
        <v>0</v>
      </c>
      <c r="X245" s="1920">
        <f ca="1"/>
        <v>0</v>
      </c>
      <c r="Y245" s="1937">
        <f ca="1"/>
        <v>0</v>
      </c>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0">
        <f t="array" aca="1" ref="Q246:Q249" ca="1">'DC Distr 2'!E246:E249</f>
        <v>0</v>
      </c>
      <c r="R246" s="1920">
        <f ca="1"/>
        <v>0</v>
      </c>
      <c r="S246" s="1920">
        <f ca="1"/>
        <v>0</v>
      </c>
      <c r="T246" s="1920">
        <f ca="1"/>
        <v>0</v>
      </c>
      <c r="U246" s="1920">
        <f ca="1"/>
        <v>0</v>
      </c>
      <c r="V246" s="1920">
        <f ca="1"/>
        <v>0</v>
      </c>
      <c r="W246" s="1920">
        <f ca="1"/>
        <v>0</v>
      </c>
      <c r="X246" s="1920">
        <f ca="1"/>
        <v>0</v>
      </c>
      <c r="Y246" s="1937">
        <f ca="1"/>
        <v>0</v>
      </c>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0">
        <f t="array" aca="1" ref="P247:P249" ca="1">'DC Distr 2'!D247:D249</f>
        <v>0</v>
      </c>
      <c r="Q247" s="1920">
        <f ca="1"/>
        <v>0</v>
      </c>
      <c r="R247" s="1920">
        <f ca="1"/>
        <v>0</v>
      </c>
      <c r="S247" s="1920">
        <f ca="1"/>
        <v>0</v>
      </c>
      <c r="T247" s="1920">
        <f ca="1"/>
        <v>0</v>
      </c>
      <c r="U247" s="1920">
        <f ca="1"/>
        <v>0</v>
      </c>
      <c r="V247" s="1920">
        <f ca="1"/>
        <v>0</v>
      </c>
      <c r="W247" s="1920">
        <f ca="1"/>
        <v>0</v>
      </c>
      <c r="X247" s="1920">
        <f ca="1"/>
        <v>0</v>
      </c>
      <c r="Y247" s="1937">
        <f ca="1"/>
        <v>0</v>
      </c>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0">
        <f ca="1">'DC Distr 2'!C248</f>
        <v>0</v>
      </c>
      <c r="P248" s="1920">
        <f ca="1"/>
        <v>0</v>
      </c>
      <c r="Q248" s="1920">
        <f ca="1"/>
        <v>0</v>
      </c>
      <c r="R248" s="1920">
        <f ca="1"/>
        <v>0</v>
      </c>
      <c r="S248" s="1920">
        <f ca="1"/>
        <v>0</v>
      </c>
      <c r="T248" s="1920">
        <f ca="1"/>
        <v>0</v>
      </c>
      <c r="U248" s="1920">
        <f ca="1"/>
        <v>0</v>
      </c>
      <c r="V248" s="1920">
        <f ca="1"/>
        <v>0</v>
      </c>
      <c r="W248" s="1920">
        <f ca="1"/>
        <v>0</v>
      </c>
      <c r="X248" s="1920">
        <f ca="1"/>
        <v>0</v>
      </c>
      <c r="Y248" s="1937">
        <f ca="1"/>
        <v>0</v>
      </c>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f ca="1">'DC Distr 2'!B249</f>
        <v>0</v>
      </c>
      <c r="O249" s="1920">
        <f ca="1">'DC Distr 2'!C249</f>
        <v>0</v>
      </c>
      <c r="P249" s="1920">
        <f ca="1"/>
        <v>0</v>
      </c>
      <c r="Q249" s="1920">
        <f ca="1"/>
        <v>0</v>
      </c>
      <c r="R249" s="1920">
        <f ca="1"/>
        <v>0</v>
      </c>
      <c r="S249" s="1920">
        <f ca="1"/>
        <v>0</v>
      </c>
      <c r="T249" s="1920">
        <f ca="1"/>
        <v>0</v>
      </c>
      <c r="U249" s="1920">
        <f ca="1"/>
        <v>0</v>
      </c>
      <c r="V249" s="1920">
        <f ca="1"/>
        <v>0</v>
      </c>
      <c r="W249" s="1920">
        <f ca="1"/>
        <v>0</v>
      </c>
      <c r="X249" s="1920">
        <f ca="1"/>
        <v>0</v>
      </c>
      <c r="Y249" s="1937">
        <f ca="1"/>
        <v>0</v>
      </c>
    </row>
    <row r="250" spans="1:25" ht="13.5"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5">
        <f t="shared" ca="1" si="17"/>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64">
    <tabColor indexed="10"/>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6384" width="11" style="61"/>
  </cols>
  <sheetData>
    <row r="1" spans="1:15" ht="22.5">
      <c r="A1" s="66" t="s">
        <v>609</v>
      </c>
      <c r="K1" s="2398" t="str">
        <f>Parameters!D$77</f>
        <v>Year 2:   2028</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1"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5" ht="15.75" customHeight="1">
      <c r="A8" s="2399" t="str">
        <f t="array" ref="A8:A15">productos</f>
        <v>product 1</v>
      </c>
      <c r="B8" s="569">
        <f t="array" aca="1" ref="B8:M15" ca="1">'Sales Forecast 2'!B5:M12</f>
        <v>1050</v>
      </c>
      <c r="C8" s="570">
        <f ca="1"/>
        <v>1050</v>
      </c>
      <c r="D8" s="570">
        <f ca="1"/>
        <v>1050</v>
      </c>
      <c r="E8" s="570">
        <f ca="1"/>
        <v>1050</v>
      </c>
      <c r="F8" s="570">
        <f ca="1"/>
        <v>1050</v>
      </c>
      <c r="G8" s="570">
        <f ca="1"/>
        <v>1050</v>
      </c>
      <c r="H8" s="570">
        <f ca="1"/>
        <v>1050</v>
      </c>
      <c r="I8" s="570">
        <f ca="1"/>
        <v>1050</v>
      </c>
      <c r="J8" s="570">
        <f ca="1"/>
        <v>1050</v>
      </c>
      <c r="K8" s="570">
        <f ca="1"/>
        <v>1050</v>
      </c>
      <c r="L8" s="570">
        <f ca="1"/>
        <v>1050</v>
      </c>
      <c r="M8" s="592">
        <f ca="1"/>
        <v>1050</v>
      </c>
      <c r="N8" s="571">
        <f t="shared" ref="N8:N15" ca="1" si="0">SUM(B8:M8)</f>
        <v>12600</v>
      </c>
      <c r="O8" s="61"/>
    </row>
    <row r="9" spans="1:15"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1" t="str">
        <f>'DC Distr 0'!A18</f>
        <v>Production Costs (Direct) Forecasts for the units sold during the year</v>
      </c>
      <c r="G18" s="2716" t="str">
        <f>$K$1</f>
        <v>Year 2:   2028</v>
      </c>
      <c r="I18" s="1921"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399" t="str">
        <f t="array" ref="A20:A27">productos</f>
        <v>product 1</v>
      </c>
      <c r="B20" s="578">
        <f t="array" aca="1" ref="B20:M27" ca="1">B8:M15*'Prices - DC'!$F19:$F26</f>
        <v>111.39450000000002</v>
      </c>
      <c r="C20" s="579">
        <f ca="1"/>
        <v>111.39450000000002</v>
      </c>
      <c r="D20" s="579">
        <f ca="1"/>
        <v>111.39450000000002</v>
      </c>
      <c r="E20" s="579">
        <f ca="1"/>
        <v>111.39450000000002</v>
      </c>
      <c r="F20" s="579">
        <f ca="1"/>
        <v>111.39450000000002</v>
      </c>
      <c r="G20" s="579">
        <f ca="1"/>
        <v>111.39450000000002</v>
      </c>
      <c r="H20" s="579">
        <f ca="1"/>
        <v>111.39450000000002</v>
      </c>
      <c r="I20" s="579">
        <f ca="1"/>
        <v>111.39450000000002</v>
      </c>
      <c r="J20" s="579">
        <f ca="1"/>
        <v>111.39450000000002</v>
      </c>
      <c r="K20" s="579">
        <f ca="1"/>
        <v>111.39450000000002</v>
      </c>
      <c r="L20" s="579">
        <f ca="1"/>
        <v>111.39450000000002</v>
      </c>
      <c r="M20" s="589">
        <f ca="1"/>
        <v>111.39450000000002</v>
      </c>
      <c r="N20" s="571">
        <f t="shared" ref="N20:N39" ca="1" si="1">SUM(B20:M20)</f>
        <v>1336.7340000000004</v>
      </c>
      <c r="O20" s="61"/>
    </row>
    <row r="21" spans="1:15"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3" t="s">
        <v>577</v>
      </c>
      <c r="B28" s="586">
        <f t="shared" ref="B28:M28" ca="1" si="2">SUM(B20:B27)</f>
        <v>111.39450000000002</v>
      </c>
      <c r="C28" s="587">
        <f t="shared" ca="1" si="2"/>
        <v>111.39450000000002</v>
      </c>
      <c r="D28" s="587">
        <f t="shared" ca="1" si="2"/>
        <v>111.39450000000002</v>
      </c>
      <c r="E28" s="587">
        <f t="shared" ca="1" si="2"/>
        <v>111.39450000000002</v>
      </c>
      <c r="F28" s="587">
        <f t="shared" ca="1" si="2"/>
        <v>111.39450000000002</v>
      </c>
      <c r="G28" s="587">
        <f t="shared" ca="1" si="2"/>
        <v>111.39450000000002</v>
      </c>
      <c r="H28" s="587">
        <f t="shared" ca="1" si="2"/>
        <v>111.39450000000002</v>
      </c>
      <c r="I28" s="587">
        <f t="shared" ca="1" si="2"/>
        <v>111.39450000000002</v>
      </c>
      <c r="J28" s="587">
        <f t="shared" ca="1" si="2"/>
        <v>111.39450000000002</v>
      </c>
      <c r="K28" s="587">
        <f t="shared" ca="1" si="2"/>
        <v>111.39450000000002</v>
      </c>
      <c r="L28" s="587">
        <f t="shared" ca="1" si="2"/>
        <v>111.39450000000002</v>
      </c>
      <c r="M28" s="588">
        <f t="shared" ca="1" si="2"/>
        <v>111.39450000000002</v>
      </c>
      <c r="N28" s="585">
        <f t="shared" ca="1" si="1"/>
        <v>1336.7340000000004</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399" t="str">
        <f t="array" ref="A32:A39">productos</f>
        <v>product 1</v>
      </c>
      <c r="B32" s="578">
        <f t="array" aca="1" ref="B32:M39" ca="1">B20:M27*Parameters!$F24:$F31</f>
        <v>23.392845000000005</v>
      </c>
      <c r="C32" s="579">
        <f ca="1"/>
        <v>23.392845000000005</v>
      </c>
      <c r="D32" s="579">
        <f ca="1"/>
        <v>23.392845000000005</v>
      </c>
      <c r="E32" s="579">
        <f ca="1"/>
        <v>23.392845000000005</v>
      </c>
      <c r="F32" s="579">
        <f ca="1"/>
        <v>23.392845000000005</v>
      </c>
      <c r="G32" s="579">
        <f ca="1"/>
        <v>23.392845000000005</v>
      </c>
      <c r="H32" s="579">
        <f ca="1"/>
        <v>23.392845000000005</v>
      </c>
      <c r="I32" s="579">
        <f ca="1"/>
        <v>23.392845000000005</v>
      </c>
      <c r="J32" s="579">
        <f ca="1"/>
        <v>23.392845000000005</v>
      </c>
      <c r="K32" s="579">
        <f ca="1"/>
        <v>23.392845000000005</v>
      </c>
      <c r="L32" s="579">
        <f ca="1"/>
        <v>23.392845000000005</v>
      </c>
      <c r="M32" s="589">
        <f ca="1"/>
        <v>23.392845000000005</v>
      </c>
      <c r="N32" s="571">
        <f t="shared" ca="1" si="1"/>
        <v>280.71414000000004</v>
      </c>
      <c r="O32" s="61"/>
    </row>
    <row r="33" spans="1:15"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5"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5"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5"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5"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5"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5"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5" ht="15.75" customHeight="1" thickBot="1">
      <c r="A40" s="2403" t="str">
        <f>A$28</f>
        <v>Monthly Totals</v>
      </c>
      <c r="B40" s="586">
        <f t="shared" ref="B40:M40" ca="1" si="3">SUM(B32:B39)</f>
        <v>23.392845000000005</v>
      </c>
      <c r="C40" s="587">
        <f t="shared" ca="1" si="3"/>
        <v>23.392845000000005</v>
      </c>
      <c r="D40" s="587">
        <f t="shared" ca="1" si="3"/>
        <v>23.392845000000005</v>
      </c>
      <c r="E40" s="587">
        <f t="shared" ca="1" si="3"/>
        <v>23.392845000000005</v>
      </c>
      <c r="F40" s="587">
        <f t="shared" ca="1" si="3"/>
        <v>23.392845000000005</v>
      </c>
      <c r="G40" s="587">
        <f t="shared" ca="1" si="3"/>
        <v>23.392845000000005</v>
      </c>
      <c r="H40" s="587">
        <f t="shared" ca="1" si="3"/>
        <v>23.392845000000005</v>
      </c>
      <c r="I40" s="587">
        <f t="shared" ca="1" si="3"/>
        <v>23.392845000000005</v>
      </c>
      <c r="J40" s="587">
        <f t="shared" ca="1" si="3"/>
        <v>23.392845000000005</v>
      </c>
      <c r="K40" s="587">
        <f t="shared" ca="1" si="3"/>
        <v>23.392845000000005</v>
      </c>
      <c r="L40" s="587">
        <f t="shared" ca="1" si="3"/>
        <v>23.392845000000005</v>
      </c>
      <c r="M40" s="588">
        <f t="shared" ca="1" si="3"/>
        <v>23.392845000000005</v>
      </c>
      <c r="N40" s="585">
        <f ca="1">SUM(B40:M40)</f>
        <v>280.71414000000004</v>
      </c>
      <c r="O40" s="61"/>
    </row>
    <row r="41" spans="1:15" ht="15">
      <c r="A41" s="211"/>
    </row>
    <row r="42" spans="1:15" ht="15">
      <c r="A42" s="211"/>
    </row>
    <row r="43" spans="1:15" ht="15">
      <c r="A43" s="211"/>
    </row>
    <row r="44" spans="1:15" ht="18.75" thickBot="1">
      <c r="A44" s="1921" t="str">
        <f>'DC Distr 0'!A44</f>
        <v>Production Costs during the year</v>
      </c>
      <c r="G44" s="2717" t="str">
        <f>$K$1</f>
        <v>Year 2:   2028</v>
      </c>
      <c r="I44" s="1921"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row>
    <row r="46" spans="1:15" ht="15.75" customHeight="1">
      <c r="A46" s="2399" t="str">
        <f t="array" ref="A46:A53">productos</f>
        <v>product 1</v>
      </c>
      <c r="B46" s="578">
        <f t="array" aca="1" ref="B46:M46" ca="1">N124:Y124</f>
        <v>111.39450000000002</v>
      </c>
      <c r="C46" s="579">
        <f ca="1"/>
        <v>111.39450000000002</v>
      </c>
      <c r="D46" s="579">
        <f ca="1"/>
        <v>111.39450000000002</v>
      </c>
      <c r="E46" s="579">
        <f ca="1"/>
        <v>111.39450000000002</v>
      </c>
      <c r="F46" s="579">
        <f ca="1"/>
        <v>111.39450000000002</v>
      </c>
      <c r="G46" s="579">
        <f ca="1"/>
        <v>111.39450000000002</v>
      </c>
      <c r="H46" s="579">
        <f ca="1"/>
        <v>111.39450000000002</v>
      </c>
      <c r="I46" s="579">
        <f ca="1"/>
        <v>111.39450000000002</v>
      </c>
      <c r="J46" s="579">
        <f ca="1"/>
        <v>111.39450000000002</v>
      </c>
      <c r="K46" s="579">
        <f ca="1"/>
        <v>111.39450000000002</v>
      </c>
      <c r="L46" s="579">
        <f ca="1"/>
        <v>111.39450000000002</v>
      </c>
      <c r="M46" s="589">
        <f ca="1"/>
        <v>111.39450000000002</v>
      </c>
      <c r="N46" s="571">
        <f t="shared" ref="N46:N54" ca="1" si="4">SUM(B46:M46)</f>
        <v>1336.7340000000004</v>
      </c>
      <c r="O46" s="61"/>
    </row>
    <row r="47" spans="1:15" ht="15.75" customHeight="1">
      <c r="A47" s="2400"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5" ht="15.75" customHeight="1">
      <c r="A48" s="2400"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5" ht="15.75" customHeight="1">
      <c r="A49" s="2400"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5" ht="15.75" customHeight="1">
      <c r="A50" s="2400"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5" ht="15.75" customHeight="1">
      <c r="A51" s="2400"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5" ht="15.75" customHeight="1">
      <c r="A52" s="2400"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5" ht="15.75" customHeight="1" thickBot="1">
      <c r="A53" s="2402"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5" ht="15.75" customHeight="1" thickBot="1">
      <c r="A54" s="2403" t="s">
        <v>577</v>
      </c>
      <c r="B54" s="586">
        <f t="shared" ref="B54:M54" ca="1" si="5">SUM(B46:B53)</f>
        <v>111.39450000000002</v>
      </c>
      <c r="C54" s="587">
        <f t="shared" ca="1" si="5"/>
        <v>111.39450000000002</v>
      </c>
      <c r="D54" s="587">
        <f t="shared" ca="1" si="5"/>
        <v>111.39450000000002</v>
      </c>
      <c r="E54" s="587">
        <f t="shared" ca="1" si="5"/>
        <v>111.39450000000002</v>
      </c>
      <c r="F54" s="587">
        <f t="shared" ca="1" si="5"/>
        <v>111.39450000000002</v>
      </c>
      <c r="G54" s="587">
        <f t="shared" ca="1" si="5"/>
        <v>111.39450000000002</v>
      </c>
      <c r="H54" s="587">
        <f t="shared" ca="1" si="5"/>
        <v>111.39450000000002</v>
      </c>
      <c r="I54" s="587">
        <f t="shared" ca="1" si="5"/>
        <v>111.39450000000002</v>
      </c>
      <c r="J54" s="587">
        <f t="shared" ca="1" si="5"/>
        <v>111.39450000000002</v>
      </c>
      <c r="K54" s="587">
        <f t="shared" ca="1" si="5"/>
        <v>111.39450000000002</v>
      </c>
      <c r="L54" s="587">
        <f t="shared" ca="1" si="5"/>
        <v>111.39450000000002</v>
      </c>
      <c r="M54" s="588">
        <f t="shared" ca="1" si="5"/>
        <v>111.39450000000002</v>
      </c>
      <c r="N54" s="585">
        <f t="shared" ca="1" si="4"/>
        <v>1336.7340000000004</v>
      </c>
      <c r="O54" s="61"/>
    </row>
    <row r="55" spans="1:15">
      <c r="A55" s="981" t="s">
        <v>610</v>
      </c>
      <c r="B55" s="981">
        <f ca="1">SUM(B124:M124,B142:M142,B160:M160,B178:M178,B196:M196,B214:M214,B232:M232,B250:M250)</f>
        <v>0</v>
      </c>
    </row>
    <row r="57" spans="1:15" ht="18.75" thickBot="1">
      <c r="A57" s="1921" t="str">
        <f>'DC Distr 0'!A57</f>
        <v>Input VAT of production costs for year</v>
      </c>
      <c r="G57" s="2717" t="str">
        <f>$K$1</f>
        <v>Year 2:   2028</v>
      </c>
      <c r="I57" s="1921"/>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5" ht="15.75" customHeight="1">
      <c r="A59" s="2399" t="str">
        <f t="array" ref="A59:A66">productos</f>
        <v>product 1</v>
      </c>
      <c r="B59" s="578">
        <f t="array" aca="1" ref="B59:M59" ca="1">N125:Y125</f>
        <v>23.392845000000005</v>
      </c>
      <c r="C59" s="579">
        <f ca="1"/>
        <v>23.392845000000005</v>
      </c>
      <c r="D59" s="579">
        <f ca="1"/>
        <v>23.392845000000005</v>
      </c>
      <c r="E59" s="579">
        <f ca="1"/>
        <v>23.392845000000005</v>
      </c>
      <c r="F59" s="579">
        <f ca="1"/>
        <v>23.392845000000005</v>
      </c>
      <c r="G59" s="579">
        <f ca="1"/>
        <v>23.392845000000005</v>
      </c>
      <c r="H59" s="579">
        <f ca="1"/>
        <v>23.392845000000005</v>
      </c>
      <c r="I59" s="579">
        <f ca="1"/>
        <v>23.392845000000005</v>
      </c>
      <c r="J59" s="579">
        <f ca="1"/>
        <v>23.392845000000005</v>
      </c>
      <c r="K59" s="579">
        <f ca="1"/>
        <v>23.392845000000005</v>
      </c>
      <c r="L59" s="579">
        <f ca="1"/>
        <v>23.392845000000005</v>
      </c>
      <c r="M59" s="589">
        <f ca="1"/>
        <v>23.392845000000005</v>
      </c>
      <c r="N59" s="571">
        <f t="shared" ref="N59:N67" ca="1" si="6">SUM(B59:M59)</f>
        <v>280.71414000000004</v>
      </c>
      <c r="O59" s="61"/>
    </row>
    <row r="60" spans="1:15" ht="15.75" customHeight="1">
      <c r="A60" s="2400"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row>
    <row r="61" spans="1:15" ht="15.75" customHeight="1">
      <c r="A61" s="2400"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row>
    <row r="62" spans="1:15" ht="15.75" customHeight="1">
      <c r="A62" s="2400"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row>
    <row r="63" spans="1:15" ht="15.75" customHeight="1">
      <c r="A63" s="2400"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row>
    <row r="64" spans="1:15" ht="15.75" customHeight="1">
      <c r="A64" s="2400"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row>
    <row r="65" spans="1:26" ht="15.75" customHeight="1">
      <c r="A65" s="2400"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row>
    <row r="66" spans="1:26" ht="15.75" customHeight="1" thickBot="1">
      <c r="A66" s="2402"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row>
    <row r="67" spans="1:26" ht="15.75" customHeight="1" thickBot="1">
      <c r="A67" s="2403" t="s">
        <v>577</v>
      </c>
      <c r="B67" s="586">
        <f t="shared" ref="B67:M67" ca="1" si="7">SUM(B59:B66)</f>
        <v>23.392845000000005</v>
      </c>
      <c r="C67" s="587">
        <f t="shared" ca="1" si="7"/>
        <v>23.392845000000005</v>
      </c>
      <c r="D67" s="587">
        <f t="shared" ca="1" si="7"/>
        <v>23.392845000000005</v>
      </c>
      <c r="E67" s="587">
        <f t="shared" ca="1" si="7"/>
        <v>23.392845000000005</v>
      </c>
      <c r="F67" s="587">
        <f t="shared" ca="1" si="7"/>
        <v>23.392845000000005</v>
      </c>
      <c r="G67" s="587">
        <f t="shared" ca="1" si="7"/>
        <v>23.392845000000005</v>
      </c>
      <c r="H67" s="587">
        <f t="shared" ca="1" si="7"/>
        <v>23.392845000000005</v>
      </c>
      <c r="I67" s="587">
        <f t="shared" ca="1" si="7"/>
        <v>23.392845000000005</v>
      </c>
      <c r="J67" s="587">
        <f t="shared" ca="1" si="7"/>
        <v>23.392845000000005</v>
      </c>
      <c r="K67" s="587">
        <f t="shared" ca="1" si="7"/>
        <v>23.392845000000005</v>
      </c>
      <c r="L67" s="587">
        <f t="shared" ca="1" si="7"/>
        <v>23.392845000000005</v>
      </c>
      <c r="M67" s="588">
        <f t="shared" ca="1" si="7"/>
        <v>23.392845000000005</v>
      </c>
      <c r="N67" s="585">
        <f t="shared" ca="1" si="6"/>
        <v>280.71414000000004</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1" t="str">
        <f>'DC Distr 0'!A70</f>
        <v xml:space="preserve">Monthy distribution of Production Costs for the units sold during the year </v>
      </c>
      <c r="I70" s="1921" t="str">
        <f>I$18</f>
        <v>VAT NOT included</v>
      </c>
    </row>
    <row r="71" spans="1:26" s="440" customFormat="1" ht="32.25" customHeight="1" thickBot="1">
      <c r="A71" s="441" t="s">
        <v>595</v>
      </c>
      <c r="B71" s="1938" t="str">
        <f t="array" ref="B71:M71">CONCATENATE(meses,"
",Parameters!B76:M76+1)</f>
        <v>January
2027</v>
      </c>
      <c r="C71" s="1938" t="str">
        <v>February
2027</v>
      </c>
      <c r="D71" s="1938" t="str">
        <v>March
2027</v>
      </c>
      <c r="E71" s="1938" t="str">
        <v>April
2027</v>
      </c>
      <c r="F71" s="1938" t="str">
        <v>May
2027</v>
      </c>
      <c r="G71" s="1938" t="str">
        <v>June
2027</v>
      </c>
      <c r="H71" s="1938" t="str">
        <v>July
2027</v>
      </c>
      <c r="I71" s="1938" t="str">
        <v>August
2027</v>
      </c>
      <c r="J71" s="1938" t="str">
        <v>September
2027</v>
      </c>
      <c r="K71" s="1938" t="str">
        <v>October
2027</v>
      </c>
      <c r="L71" s="1938" t="str">
        <v>November
2027</v>
      </c>
      <c r="M71" s="1938" t="str">
        <v>December
2027</v>
      </c>
      <c r="N71" s="2718" t="str">
        <f t="array" ref="N71:Y71">'Sales Forecasts'!B31:M31</f>
        <v>January 
2028</v>
      </c>
      <c r="O71" s="2719" t="str">
        <v>February 
2028</v>
      </c>
      <c r="P71" s="2719" t="str">
        <v>March 
2028</v>
      </c>
      <c r="Q71" s="2719" t="str">
        <v>April 
2028</v>
      </c>
      <c r="R71" s="2719" t="str">
        <v>May 
2028</v>
      </c>
      <c r="S71" s="2719" t="str">
        <v>June 
2028</v>
      </c>
      <c r="T71" s="2719" t="str">
        <v>July 
2028</v>
      </c>
      <c r="U71" s="2719" t="str">
        <v>August 
2028</v>
      </c>
      <c r="V71" s="2719" t="str">
        <v>September 
2028</v>
      </c>
      <c r="W71" s="2719" t="str">
        <v>October 
2028</v>
      </c>
      <c r="X71" s="2719" t="str">
        <v>November 
2028</v>
      </c>
      <c r="Y71" s="2720" t="str">
        <v>December 
2028</v>
      </c>
      <c r="Z71" s="61"/>
    </row>
    <row r="72" spans="1:26" ht="15.75" customHeight="1">
      <c r="A72" s="1922" t="s">
        <v>596</v>
      </c>
      <c r="B72" s="1919"/>
      <c r="C72" s="1919"/>
      <c r="D72" s="1919"/>
      <c r="E72" s="1919"/>
      <c r="F72" s="1919"/>
      <c r="G72" s="1919"/>
      <c r="H72" s="1917">
        <v>0</v>
      </c>
      <c r="I72" s="1918">
        <v>0</v>
      </c>
      <c r="J72" s="1918">
        <v>0</v>
      </c>
      <c r="K72" s="1918">
        <v>0</v>
      </c>
      <c r="L72" s="1918">
        <v>0</v>
      </c>
      <c r="M72" s="1918">
        <v>0</v>
      </c>
      <c r="N72" s="579">
        <f t="array" aca="1" ref="N72" ca="1">SUM(B20:B27*Production!$N$8:$N$15)</f>
        <v>111.39450000000002</v>
      </c>
      <c r="O72" s="579">
        <f t="array" aca="1" ref="O72" ca="1">SUM(C20:C27*Production!$N$8:$N$15)</f>
        <v>111.39450000000002</v>
      </c>
      <c r="P72" s="579">
        <f t="array" aca="1" ref="P72" ca="1">SUM(D20:D27*Production!$N$8:$N$15)</f>
        <v>111.39450000000002</v>
      </c>
      <c r="Q72" s="579">
        <f t="array" aca="1" ref="Q72" ca="1">SUM(E20:E27*Production!$N$8:$N$15)</f>
        <v>111.39450000000002</v>
      </c>
      <c r="R72" s="579">
        <f t="array" aca="1" ref="R72" ca="1">SUM(F20:F27*Production!$N$8:$N$15)</f>
        <v>111.39450000000002</v>
      </c>
      <c r="S72" s="579">
        <f t="array" aca="1" ref="S72" ca="1">SUM(G20:G27*Production!$N$8:$N$15)</f>
        <v>111.39450000000002</v>
      </c>
      <c r="T72" s="579">
        <f t="array" aca="1" ref="T72" ca="1">SUM(H20:H27*Production!$N$8:$N$15)</f>
        <v>111.39450000000002</v>
      </c>
      <c r="U72" s="579">
        <f t="array" aca="1" ref="U72" ca="1">SUM(I20:I27*Production!$N$8:$N$15)</f>
        <v>111.39450000000002</v>
      </c>
      <c r="V72" s="579">
        <f t="array" aca="1" ref="V72" ca="1">SUM(J20:J27*Production!$N$8:$N$15)</f>
        <v>111.39450000000002</v>
      </c>
      <c r="W72" s="579">
        <f t="array" aca="1" ref="W72" ca="1">SUM(K20:K27*Production!$N$8:$N$15)</f>
        <v>111.39450000000002</v>
      </c>
      <c r="X72" s="579">
        <f t="array" aca="1" ref="X72" ca="1">SUM(L20:L27*Production!$N$8:$N$15)</f>
        <v>111.39450000000002</v>
      </c>
      <c r="Y72" s="1936">
        <f t="array" aca="1" ref="Y72" ca="1">SUM(M20:M27*Production!$N$8:$N$15)</f>
        <v>111.39450000000002</v>
      </c>
    </row>
    <row r="73" spans="1:26" ht="15.75" customHeight="1">
      <c r="A73" s="1923" t="s">
        <v>597</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f t="array" aca="1" ref="Y73:Y84" ca="1">'DC Distr 3'!M73:M84</f>
        <v>0</v>
      </c>
    </row>
    <row r="74" spans="1:26" ht="15.75" customHeight="1">
      <c r="A74" s="1923" t="s">
        <v>598</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f t="array" aca="1" ref="X74:X84" ca="1">'DC Distr 3'!L74:L84</f>
        <v>0</v>
      </c>
      <c r="Y74" s="1934">
        <f ca="1"/>
        <v>0</v>
      </c>
    </row>
    <row r="75" spans="1:26" ht="15.75" customHeight="1">
      <c r="A75" s="1923" t="s">
        <v>599</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f t="array" aca="1" ref="W75:W84" ca="1">'DC Distr 3'!K75:K84</f>
        <v>0</v>
      </c>
      <c r="X75" s="1916">
        <f ca="1"/>
        <v>0</v>
      </c>
      <c r="Y75" s="1934">
        <f ca="1"/>
        <v>0</v>
      </c>
    </row>
    <row r="76" spans="1:26" ht="15.75" customHeight="1">
      <c r="A76" s="1923" t="s">
        <v>600</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f t="array" aca="1" ref="V76:V84" ca="1">'DC Distr 3'!J76:J84</f>
        <v>0</v>
      </c>
      <c r="W76" s="1916">
        <f ca="1"/>
        <v>0</v>
      </c>
      <c r="X76" s="1916">
        <f ca="1"/>
        <v>0</v>
      </c>
      <c r="Y76" s="1934">
        <f ca="1"/>
        <v>0</v>
      </c>
    </row>
    <row r="77" spans="1:26" ht="15.75" customHeight="1">
      <c r="A77" s="1923" t="s">
        <v>601</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f t="array" aca="1" ref="U77:U84" ca="1">'DC Distr 3'!I77:I84</f>
        <v>0</v>
      </c>
      <c r="V77" s="1916">
        <f ca="1"/>
        <v>0</v>
      </c>
      <c r="W77" s="1916">
        <f ca="1"/>
        <v>0</v>
      </c>
      <c r="X77" s="1916">
        <f ca="1"/>
        <v>0</v>
      </c>
      <c r="Y77" s="1934">
        <f ca="1"/>
        <v>0</v>
      </c>
    </row>
    <row r="78" spans="1:26" ht="15.75" customHeight="1">
      <c r="A78" s="1923" t="s">
        <v>602</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f t="array" aca="1" ref="T78:T84" ca="1">'DC Distr 3'!H78:H84</f>
        <v>0</v>
      </c>
      <c r="U78" s="1916">
        <f ca="1"/>
        <v>0</v>
      </c>
      <c r="V78" s="1916">
        <f ca="1"/>
        <v>0</v>
      </c>
      <c r="W78" s="1916">
        <f ca="1"/>
        <v>0</v>
      </c>
      <c r="X78" s="1916">
        <f ca="1"/>
        <v>0</v>
      </c>
      <c r="Y78" s="1934">
        <f ca="1"/>
        <v>0</v>
      </c>
    </row>
    <row r="79" spans="1:26" ht="15.75" customHeight="1">
      <c r="A79" s="1923" t="s">
        <v>603</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f t="array" aca="1" ref="S79:S84" ca="1">'DC Distr 3'!G79:G84</f>
        <v>0</v>
      </c>
      <c r="T79" s="1920">
        <f ca="1"/>
        <v>0</v>
      </c>
      <c r="U79" s="1920">
        <f ca="1"/>
        <v>0</v>
      </c>
      <c r="V79" s="1920">
        <f ca="1"/>
        <v>0</v>
      </c>
      <c r="W79" s="1920">
        <f ca="1"/>
        <v>0</v>
      </c>
      <c r="X79" s="1920">
        <f ca="1"/>
        <v>0</v>
      </c>
      <c r="Y79" s="1937">
        <f ca="1"/>
        <v>0</v>
      </c>
    </row>
    <row r="80" spans="1:26" ht="15.75" customHeight="1">
      <c r="A80" s="1923" t="s">
        <v>604</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f t="array" aca="1" ref="R80:R84" ca="1">'DC Distr 3'!F80:F84</f>
        <v>0</v>
      </c>
      <c r="S80" s="1920">
        <f ca="1"/>
        <v>0</v>
      </c>
      <c r="T80" s="1920">
        <f ca="1"/>
        <v>0</v>
      </c>
      <c r="U80" s="1920">
        <f ca="1"/>
        <v>0</v>
      </c>
      <c r="V80" s="1920">
        <f ca="1"/>
        <v>0</v>
      </c>
      <c r="W80" s="1920">
        <f ca="1"/>
        <v>0</v>
      </c>
      <c r="X80" s="1920">
        <f ca="1"/>
        <v>0</v>
      </c>
      <c r="Y80" s="1937">
        <f ca="1"/>
        <v>0</v>
      </c>
    </row>
    <row r="81" spans="1:26" ht="15.75" customHeight="1">
      <c r="A81" s="1923" t="s">
        <v>605</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f t="array" aca="1" ref="Q81:Q84" ca="1">'DC Distr 3'!E81:E84</f>
        <v>0</v>
      </c>
      <c r="R81" s="1920">
        <f ca="1"/>
        <v>0</v>
      </c>
      <c r="S81" s="1920">
        <f ca="1"/>
        <v>0</v>
      </c>
      <c r="T81" s="1920">
        <f ca="1"/>
        <v>0</v>
      </c>
      <c r="U81" s="1920">
        <f ca="1"/>
        <v>0</v>
      </c>
      <c r="V81" s="1920">
        <f ca="1"/>
        <v>0</v>
      </c>
      <c r="W81" s="1920">
        <f ca="1"/>
        <v>0</v>
      </c>
      <c r="X81" s="1920">
        <f ca="1"/>
        <v>0</v>
      </c>
      <c r="Y81" s="1937">
        <f ca="1"/>
        <v>0</v>
      </c>
    </row>
    <row r="82" spans="1:26" ht="15.75" customHeight="1">
      <c r="A82" s="1923" t="s">
        <v>606</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f t="array" aca="1" ref="P82:P84" ca="1">'DC Distr 3'!D82:D84</f>
        <v>0</v>
      </c>
      <c r="Q82" s="1920">
        <f ca="1"/>
        <v>0</v>
      </c>
      <c r="R82" s="1920">
        <f ca="1"/>
        <v>0</v>
      </c>
      <c r="S82" s="1920">
        <f ca="1"/>
        <v>0</v>
      </c>
      <c r="T82" s="1920">
        <f ca="1"/>
        <v>0</v>
      </c>
      <c r="U82" s="1920">
        <f ca="1"/>
        <v>0</v>
      </c>
      <c r="V82" s="1920">
        <f ca="1"/>
        <v>0</v>
      </c>
      <c r="W82" s="1920">
        <f ca="1"/>
        <v>0</v>
      </c>
      <c r="X82" s="1920">
        <f ca="1"/>
        <v>0</v>
      </c>
      <c r="Y82" s="1937">
        <f ca="1"/>
        <v>0</v>
      </c>
    </row>
    <row r="83" spans="1:26" ht="15.75" customHeight="1">
      <c r="A83" s="1923" t="s">
        <v>607</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f t="array" aca="1" ref="O83:O84" ca="1">'DC Distr 3'!C83:C84</f>
        <v>0</v>
      </c>
      <c r="P83" s="1920">
        <f ca="1"/>
        <v>0</v>
      </c>
      <c r="Q83" s="1920">
        <f ca="1"/>
        <v>0</v>
      </c>
      <c r="R83" s="1920">
        <f ca="1"/>
        <v>0</v>
      </c>
      <c r="S83" s="1920">
        <f ca="1"/>
        <v>0</v>
      </c>
      <c r="T83" s="1920">
        <f ca="1"/>
        <v>0</v>
      </c>
      <c r="U83" s="1920">
        <f ca="1"/>
        <v>0</v>
      </c>
      <c r="V83" s="1920">
        <f ca="1"/>
        <v>0</v>
      </c>
      <c r="W83" s="1920">
        <f ca="1"/>
        <v>0</v>
      </c>
      <c r="X83" s="1920">
        <f ca="1"/>
        <v>0</v>
      </c>
      <c r="Y83" s="1937">
        <f ca="1"/>
        <v>0</v>
      </c>
    </row>
    <row r="84" spans="1:26" ht="15.75" customHeight="1" thickBot="1">
      <c r="A84" s="1923"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f ca="1">'DC Distr 3'!B84</f>
        <v>0</v>
      </c>
      <c r="O84" s="1920">
        <f ca="1"/>
        <v>0</v>
      </c>
      <c r="P84" s="1920">
        <f ca="1"/>
        <v>0</v>
      </c>
      <c r="Q84" s="1920">
        <f ca="1"/>
        <v>0</v>
      </c>
      <c r="R84" s="1920">
        <f ca="1"/>
        <v>0</v>
      </c>
      <c r="S84" s="1920">
        <f ca="1"/>
        <v>0</v>
      </c>
      <c r="T84" s="1920">
        <f ca="1"/>
        <v>0</v>
      </c>
      <c r="U84" s="1920">
        <f ca="1"/>
        <v>0</v>
      </c>
      <c r="V84" s="1920">
        <f ca="1"/>
        <v>0</v>
      </c>
      <c r="W84" s="1920">
        <f ca="1"/>
        <v>0</v>
      </c>
      <c r="X84" s="1920">
        <f ca="1"/>
        <v>0</v>
      </c>
      <c r="Y84" s="1937">
        <f ca="1"/>
        <v>0</v>
      </c>
    </row>
    <row r="85" spans="1:26" ht="15.75" customHeight="1" thickBot="1">
      <c r="A85" s="2403" t="s">
        <v>577</v>
      </c>
      <c r="B85" s="587">
        <f t="shared" ref="B85:Y85" ca="1" si="8">SUM(B72:B84)</f>
        <v>0</v>
      </c>
      <c r="C85" s="587">
        <f t="shared" ca="1" si="8"/>
        <v>0</v>
      </c>
      <c r="D85" s="587">
        <f t="shared" ca="1" si="8"/>
        <v>0</v>
      </c>
      <c r="E85" s="587">
        <f t="shared" ca="1" si="8"/>
        <v>0</v>
      </c>
      <c r="F85" s="587">
        <f t="shared" ca="1" si="8"/>
        <v>0</v>
      </c>
      <c r="G85" s="587">
        <f t="shared" ca="1" si="8"/>
        <v>0</v>
      </c>
      <c r="H85" s="587">
        <f t="shared" ca="1" si="8"/>
        <v>0</v>
      </c>
      <c r="I85" s="587">
        <f t="shared" ca="1" si="8"/>
        <v>0</v>
      </c>
      <c r="J85" s="587">
        <f t="shared" ca="1" si="8"/>
        <v>0</v>
      </c>
      <c r="K85" s="587">
        <f t="shared" ca="1" si="8"/>
        <v>0</v>
      </c>
      <c r="L85" s="587">
        <f t="shared" ca="1" si="8"/>
        <v>0</v>
      </c>
      <c r="M85" s="587">
        <f t="shared" ca="1" si="8"/>
        <v>0</v>
      </c>
      <c r="N85" s="587">
        <f t="shared" ca="1" si="8"/>
        <v>111.39450000000002</v>
      </c>
      <c r="O85" s="587">
        <f t="shared" ca="1" si="8"/>
        <v>111.39450000000002</v>
      </c>
      <c r="P85" s="587">
        <f t="shared" ca="1" si="8"/>
        <v>111.39450000000002</v>
      </c>
      <c r="Q85" s="587">
        <f t="shared" ca="1" si="8"/>
        <v>111.39450000000002</v>
      </c>
      <c r="R85" s="587">
        <f t="shared" ca="1" si="8"/>
        <v>111.39450000000002</v>
      </c>
      <c r="S85" s="587">
        <f t="shared" ca="1" si="8"/>
        <v>111.39450000000002</v>
      </c>
      <c r="T85" s="587">
        <f t="shared" ca="1" si="8"/>
        <v>111.39450000000002</v>
      </c>
      <c r="U85" s="587">
        <f t="shared" ca="1" si="8"/>
        <v>111.39450000000002</v>
      </c>
      <c r="V85" s="587">
        <f t="shared" ca="1" si="8"/>
        <v>111.39450000000002</v>
      </c>
      <c r="W85" s="587">
        <f t="shared" ca="1" si="8"/>
        <v>111.39450000000002</v>
      </c>
      <c r="X85" s="587">
        <f t="shared" ca="1" si="8"/>
        <v>111.39450000000002</v>
      </c>
      <c r="Y85" s="1935">
        <f t="shared" ca="1" si="8"/>
        <v>111.39450000000002</v>
      </c>
    </row>
    <row r="86" spans="1:26">
      <c r="B86" s="61"/>
    </row>
    <row r="87" spans="1:26">
      <c r="A87" s="230" t="s">
        <v>610</v>
      </c>
      <c r="B87" s="61">
        <f ca="1">SUM(B85:M85)</f>
        <v>0</v>
      </c>
    </row>
    <row r="88" spans="1:26">
      <c r="B88" s="61"/>
    </row>
    <row r="89" spans="1:26" ht="18.75" thickBot="1">
      <c r="A89" s="1921" t="str">
        <f>'DC Distr 0'!A89</f>
        <v>Input VAT of production costs by purchasing (effective) cost months</v>
      </c>
      <c r="I89" s="1921"/>
    </row>
    <row r="90" spans="1:26" s="440" customFormat="1" ht="35.25" customHeight="1" thickBot="1">
      <c r="A90" s="441" t="str">
        <f>A71&amp;" "&amp;'Base Data'!$A$28</f>
        <v>Production Costs VAT</v>
      </c>
      <c r="B90" s="1938" t="str">
        <f t="array" ref="B90:Y90">B$71:Y$71</f>
        <v>January
2027</v>
      </c>
      <c r="C90" s="1938" t="str">
        <v>February
2027</v>
      </c>
      <c r="D90" s="1938" t="str">
        <v>March
2027</v>
      </c>
      <c r="E90" s="1938" t="str">
        <v>April
2027</v>
      </c>
      <c r="F90" s="1938" t="str">
        <v>May
2027</v>
      </c>
      <c r="G90" s="1938" t="str">
        <v>June
2027</v>
      </c>
      <c r="H90" s="1938" t="str">
        <v>July
2027</v>
      </c>
      <c r="I90" s="1938" t="str">
        <v>August
2027</v>
      </c>
      <c r="J90" s="1938" t="str">
        <v>September
2027</v>
      </c>
      <c r="K90" s="1938" t="str">
        <v>October
2027</v>
      </c>
      <c r="L90" s="1938" t="str">
        <v>November
2027</v>
      </c>
      <c r="M90" s="1938" t="str">
        <v>December
2027</v>
      </c>
      <c r="N90" s="2721" t="str">
        <v>January 
2028</v>
      </c>
      <c r="O90" s="2722" t="str">
        <v>February 
2028</v>
      </c>
      <c r="P90" s="2722" t="str">
        <v>March 
2028</v>
      </c>
      <c r="Q90" s="2722" t="str">
        <v>April 
2028</v>
      </c>
      <c r="R90" s="2722" t="str">
        <v>May 
2028</v>
      </c>
      <c r="S90" s="2722" t="str">
        <v>June 
2028</v>
      </c>
      <c r="T90" s="2722" t="str">
        <v>July 
2028</v>
      </c>
      <c r="U90" s="2722" t="str">
        <v>August 
2028</v>
      </c>
      <c r="V90" s="2722" t="str">
        <v>September 
2028</v>
      </c>
      <c r="W90" s="2722" t="str">
        <v>October 
2028</v>
      </c>
      <c r="X90" s="2722" t="str">
        <v>November 
2028</v>
      </c>
      <c r="Y90" s="2723" t="str">
        <v>December 
2028</v>
      </c>
      <c r="Z90" s="61"/>
    </row>
    <row r="91" spans="1:26" ht="15.75" customHeight="1">
      <c r="A91" s="1922" t="str">
        <f t="array" ref="A91:A103">A$72:A$84</f>
        <v>same month</v>
      </c>
      <c r="B91" s="1919"/>
      <c r="C91" s="1919"/>
      <c r="D91" s="1919"/>
      <c r="E91" s="1919"/>
      <c r="F91" s="1919"/>
      <c r="G91" s="1919"/>
      <c r="H91" s="1917">
        <v>0</v>
      </c>
      <c r="I91" s="1918">
        <v>0</v>
      </c>
      <c r="J91" s="1918">
        <v>0</v>
      </c>
      <c r="K91" s="1918">
        <v>0</v>
      </c>
      <c r="L91" s="1918">
        <v>0</v>
      </c>
      <c r="M91" s="1918">
        <v>0</v>
      </c>
      <c r="N91" s="579">
        <f t="array" aca="1" ref="N91" ca="1">SUM(B32:B39*Production!$N$8:$N$15)</f>
        <v>23.392845000000005</v>
      </c>
      <c r="O91" s="579">
        <f t="array" aca="1" ref="O91" ca="1">SUM(C32:C39*Production!$N$8:$N$15)</f>
        <v>23.392845000000005</v>
      </c>
      <c r="P91" s="579">
        <f t="array" aca="1" ref="P91" ca="1">SUM(D32:D39*Production!$N$8:$N$15)</f>
        <v>23.392845000000005</v>
      </c>
      <c r="Q91" s="579">
        <f t="array" aca="1" ref="Q91" ca="1">SUM(E32:E39*Production!$N$8:$N$15)</f>
        <v>23.392845000000005</v>
      </c>
      <c r="R91" s="579">
        <f t="array" aca="1" ref="R91" ca="1">SUM(F32:F39*Production!$N$8:$N$15)</f>
        <v>23.392845000000005</v>
      </c>
      <c r="S91" s="579">
        <f t="array" aca="1" ref="S91" ca="1">SUM(G32:G39*Production!$N$8:$N$15)</f>
        <v>23.392845000000005</v>
      </c>
      <c r="T91" s="579">
        <f t="array" aca="1" ref="T91" ca="1">SUM(H32:H39*Production!$N$8:$N$15)</f>
        <v>23.392845000000005</v>
      </c>
      <c r="U91" s="579">
        <f t="array" aca="1" ref="U91" ca="1">SUM(I32:I39*Production!$N$8:$N$15)</f>
        <v>23.392845000000005</v>
      </c>
      <c r="V91" s="579">
        <f t="array" aca="1" ref="V91" ca="1">SUM(J32:J39*Production!$N$8:$N$15)</f>
        <v>23.392845000000005</v>
      </c>
      <c r="W91" s="579">
        <f t="array" aca="1" ref="W91" ca="1">SUM(K32:K39*Production!$N$8:$N$15)</f>
        <v>23.392845000000005</v>
      </c>
      <c r="X91" s="579">
        <f t="array" aca="1" ref="X91" ca="1">SUM(L32:L39*Production!$N$8:$N$15)</f>
        <v>23.392845000000005</v>
      </c>
      <c r="Y91" s="1936">
        <f t="array" aca="1" ref="Y91" ca="1">SUM(M32:M39*Production!$N$8:$N$15)</f>
        <v>23.392845000000005</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f t="array" aca="1" ref="Y92:Y103" ca="1">'DC Distr 3'!M92:M103</f>
        <v>0</v>
      </c>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f t="array" aca="1" ref="X93:X103" ca="1">'DC Distr 3'!L93:L103</f>
        <v>0</v>
      </c>
      <c r="Y93" s="1934">
        <f ca="1"/>
        <v>0</v>
      </c>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f t="array" aca="1" ref="W94:W103" ca="1">'DC Distr 3'!K94:K103</f>
        <v>0</v>
      </c>
      <c r="X94" s="1916">
        <f ca="1"/>
        <v>0</v>
      </c>
      <c r="Y94" s="1934">
        <f ca="1"/>
        <v>0</v>
      </c>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f t="array" aca="1" ref="V95:V103" ca="1">'DC Distr 3'!J95:J103</f>
        <v>0</v>
      </c>
      <c r="W95" s="1916">
        <f ca="1"/>
        <v>0</v>
      </c>
      <c r="X95" s="1916">
        <f ca="1"/>
        <v>0</v>
      </c>
      <c r="Y95" s="1934">
        <f ca="1"/>
        <v>0</v>
      </c>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f t="array" aca="1" ref="U96:U103" ca="1">'DC Distr 3'!I96:I103</f>
        <v>0</v>
      </c>
      <c r="V96" s="1916">
        <f ca="1"/>
        <v>0</v>
      </c>
      <c r="W96" s="1916">
        <f ca="1"/>
        <v>0</v>
      </c>
      <c r="X96" s="1916">
        <f ca="1"/>
        <v>0</v>
      </c>
      <c r="Y96" s="1934">
        <f ca="1"/>
        <v>0</v>
      </c>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f t="array" aca="1" ref="T97:T103" ca="1">'DC Distr 3'!H97:H103</f>
        <v>0</v>
      </c>
      <c r="U97" s="1916">
        <f ca="1"/>
        <v>0</v>
      </c>
      <c r="V97" s="1916">
        <f ca="1"/>
        <v>0</v>
      </c>
      <c r="W97" s="1916">
        <f ca="1"/>
        <v>0</v>
      </c>
      <c r="X97" s="1916">
        <f ca="1"/>
        <v>0</v>
      </c>
      <c r="Y97" s="1934">
        <f ca="1"/>
        <v>0</v>
      </c>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f t="array" aca="1" ref="S98:S103" ca="1">'DC Distr 3'!G98:G103</f>
        <v>0</v>
      </c>
      <c r="T98" s="1920">
        <f ca="1"/>
        <v>0</v>
      </c>
      <c r="U98" s="1920">
        <f ca="1"/>
        <v>0</v>
      </c>
      <c r="V98" s="1920">
        <f ca="1"/>
        <v>0</v>
      </c>
      <c r="W98" s="1920">
        <f ca="1"/>
        <v>0</v>
      </c>
      <c r="X98" s="1920">
        <f ca="1"/>
        <v>0</v>
      </c>
      <c r="Y98" s="1937">
        <f ca="1"/>
        <v>0</v>
      </c>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f t="array" aca="1" ref="R99:R103" ca="1">'DC Distr 3'!F99:F103</f>
        <v>0</v>
      </c>
      <c r="S99" s="1920">
        <f ca="1"/>
        <v>0</v>
      </c>
      <c r="T99" s="1920">
        <f ca="1"/>
        <v>0</v>
      </c>
      <c r="U99" s="1920">
        <f ca="1"/>
        <v>0</v>
      </c>
      <c r="V99" s="1920">
        <f ca="1"/>
        <v>0</v>
      </c>
      <c r="W99" s="1920">
        <f ca="1"/>
        <v>0</v>
      </c>
      <c r="X99" s="1920">
        <f ca="1"/>
        <v>0</v>
      </c>
      <c r="Y99" s="1937">
        <f ca="1"/>
        <v>0</v>
      </c>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f t="array" aca="1" ref="Q100:Q103" ca="1">'DC Distr 3'!E100:E103</f>
        <v>0</v>
      </c>
      <c r="R100" s="1920">
        <f ca="1"/>
        <v>0</v>
      </c>
      <c r="S100" s="1920">
        <f ca="1"/>
        <v>0</v>
      </c>
      <c r="T100" s="1920">
        <f ca="1"/>
        <v>0</v>
      </c>
      <c r="U100" s="1920">
        <f ca="1"/>
        <v>0</v>
      </c>
      <c r="V100" s="1920">
        <f ca="1"/>
        <v>0</v>
      </c>
      <c r="W100" s="1920">
        <f ca="1"/>
        <v>0</v>
      </c>
      <c r="X100" s="1920">
        <f ca="1"/>
        <v>0</v>
      </c>
      <c r="Y100" s="1937">
        <f ca="1"/>
        <v>0</v>
      </c>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f t="array" aca="1" ref="P101:P103" ca="1">'DC Distr 3'!D101:D103</f>
        <v>0</v>
      </c>
      <c r="Q101" s="1920">
        <f ca="1"/>
        <v>0</v>
      </c>
      <c r="R101" s="1920">
        <f ca="1"/>
        <v>0</v>
      </c>
      <c r="S101" s="1920">
        <f ca="1"/>
        <v>0</v>
      </c>
      <c r="T101" s="1920">
        <f ca="1"/>
        <v>0</v>
      </c>
      <c r="U101" s="1920">
        <f ca="1"/>
        <v>0</v>
      </c>
      <c r="V101" s="1920">
        <f ca="1"/>
        <v>0</v>
      </c>
      <c r="W101" s="1920">
        <f ca="1"/>
        <v>0</v>
      </c>
      <c r="X101" s="1920">
        <f ca="1"/>
        <v>0</v>
      </c>
      <c r="Y101" s="1937">
        <f ca="1"/>
        <v>0</v>
      </c>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f ca="1">'DC Distr 3'!C102</f>
        <v>0</v>
      </c>
      <c r="P102" s="1920">
        <f ca="1"/>
        <v>0</v>
      </c>
      <c r="Q102" s="1920">
        <f ca="1"/>
        <v>0</v>
      </c>
      <c r="R102" s="1920">
        <f ca="1"/>
        <v>0</v>
      </c>
      <c r="S102" s="1920">
        <f ca="1"/>
        <v>0</v>
      </c>
      <c r="T102" s="1920">
        <f ca="1"/>
        <v>0</v>
      </c>
      <c r="U102" s="1920">
        <f ca="1"/>
        <v>0</v>
      </c>
      <c r="V102" s="1920">
        <f ca="1"/>
        <v>0</v>
      </c>
      <c r="W102" s="1920">
        <f ca="1"/>
        <v>0</v>
      </c>
      <c r="X102" s="1920">
        <f ca="1"/>
        <v>0</v>
      </c>
      <c r="Y102" s="1937">
        <f ca="1"/>
        <v>0</v>
      </c>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f ca="1">'DC Distr 3'!B103</f>
        <v>0</v>
      </c>
      <c r="O103" s="1920">
        <f ca="1">'DC Distr 3'!C103</f>
        <v>0</v>
      </c>
      <c r="P103" s="1920">
        <f ca="1"/>
        <v>0</v>
      </c>
      <c r="Q103" s="1920">
        <f ca="1"/>
        <v>0</v>
      </c>
      <c r="R103" s="1920">
        <f ca="1"/>
        <v>0</v>
      </c>
      <c r="S103" s="1920">
        <f ca="1"/>
        <v>0</v>
      </c>
      <c r="T103" s="1920">
        <f ca="1"/>
        <v>0</v>
      </c>
      <c r="U103" s="1920">
        <f ca="1"/>
        <v>0</v>
      </c>
      <c r="V103" s="1920">
        <f ca="1"/>
        <v>0</v>
      </c>
      <c r="W103" s="1920">
        <f ca="1"/>
        <v>0</v>
      </c>
      <c r="X103" s="1920">
        <f ca="1"/>
        <v>0</v>
      </c>
      <c r="Y103" s="1937">
        <f ca="1"/>
        <v>0</v>
      </c>
    </row>
    <row r="104" spans="1:26" ht="15.75" customHeight="1" thickBot="1">
      <c r="A104" s="2403" t="s">
        <v>577</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23.392845000000005</v>
      </c>
      <c r="O104" s="587">
        <f t="shared" ca="1" si="9"/>
        <v>23.392845000000005</v>
      </c>
      <c r="P104" s="587">
        <f t="shared" ca="1" si="9"/>
        <v>23.392845000000005</v>
      </c>
      <c r="Q104" s="587">
        <f t="shared" ca="1" si="9"/>
        <v>23.392845000000005</v>
      </c>
      <c r="R104" s="587">
        <f t="shared" ca="1" si="9"/>
        <v>23.392845000000005</v>
      </c>
      <c r="S104" s="587">
        <f t="shared" ca="1" si="9"/>
        <v>23.392845000000005</v>
      </c>
      <c r="T104" s="587">
        <f t="shared" ca="1" si="9"/>
        <v>23.392845000000005</v>
      </c>
      <c r="U104" s="587">
        <f t="shared" ca="1" si="9"/>
        <v>23.392845000000005</v>
      </c>
      <c r="V104" s="587">
        <f t="shared" ca="1" si="9"/>
        <v>23.392845000000005</v>
      </c>
      <c r="W104" s="587">
        <f t="shared" ca="1" si="9"/>
        <v>23.392845000000005</v>
      </c>
      <c r="X104" s="587">
        <f t="shared" ca="1" si="9"/>
        <v>23.392845000000005</v>
      </c>
      <c r="Y104" s="1935">
        <f t="shared" ca="1" si="9"/>
        <v>23.392845000000005</v>
      </c>
    </row>
    <row r="106" spans="1:26">
      <c r="A106" s="230" t="str">
        <f>"Previous "&amp;'Base Data'!$A$28</f>
        <v>Previous VAT</v>
      </c>
      <c r="B106" s="61">
        <f ca="1">SUM(B104:M104)</f>
        <v>0</v>
      </c>
    </row>
    <row r="108" spans="1:26">
      <c r="F108" s="61" t="str">
        <f>'DC Distr 0'!F108</f>
        <v>(NEEDED TO CALCULATE SUBSEQUENT MONTHLY PAYMENTS TO BE DONE)</v>
      </c>
      <c r="L108" s="2404" t="s">
        <v>615</v>
      </c>
    </row>
    <row r="109" spans="1:26" ht="18.75" thickBot="1">
      <c r="A109" s="1921" t="str">
        <f>'DC Distr 0'!A109</f>
        <v>Monthly Purchases / Production costs for product 1</v>
      </c>
      <c r="I109" s="1921" t="str">
        <f>I$18</f>
        <v>VAT NOT included</v>
      </c>
      <c r="K109" s="1932">
        <f>Parameters!$F$24</f>
        <v>0.21</v>
      </c>
    </row>
    <row r="110" spans="1:26" s="440" customFormat="1" ht="30" customHeight="1" thickBot="1">
      <c r="A110" s="441" t="s">
        <v>613</v>
      </c>
      <c r="B110" s="1938" t="str">
        <f t="array" ref="B110:Y110">B$71:Y$71</f>
        <v>January
2027</v>
      </c>
      <c r="C110" s="1938" t="str">
        <v>February
2027</v>
      </c>
      <c r="D110" s="1938" t="str">
        <v>March
2027</v>
      </c>
      <c r="E110" s="1938" t="str">
        <v>April
2027</v>
      </c>
      <c r="F110" s="1938" t="str">
        <v>May
2027</v>
      </c>
      <c r="G110" s="1938" t="str">
        <v>June
2027</v>
      </c>
      <c r="H110" s="1938" t="str">
        <v>July
2027</v>
      </c>
      <c r="I110" s="1938" t="str">
        <v>August
2027</v>
      </c>
      <c r="J110" s="1938" t="str">
        <v>September
2027</v>
      </c>
      <c r="K110" s="1938" t="str">
        <v>October
2027</v>
      </c>
      <c r="L110" s="1938" t="str">
        <v>November
2027</v>
      </c>
      <c r="M110" s="1938" t="str">
        <v>December
2027</v>
      </c>
      <c r="N110" s="2721" t="str">
        <v>January 
2028</v>
      </c>
      <c r="O110" s="2722" t="str">
        <v>February 
2028</v>
      </c>
      <c r="P110" s="2722" t="str">
        <v>March 
2028</v>
      </c>
      <c r="Q110" s="2722" t="str">
        <v>April 
2028</v>
      </c>
      <c r="R110" s="2722" t="str">
        <v>May 
2028</v>
      </c>
      <c r="S110" s="2722" t="str">
        <v>June 
2028</v>
      </c>
      <c r="T110" s="2722" t="str">
        <v>July 
2028</v>
      </c>
      <c r="U110" s="2722" t="str">
        <v>August 
2028</v>
      </c>
      <c r="V110" s="2722" t="str">
        <v>September 
2028</v>
      </c>
      <c r="W110" s="2722" t="str">
        <v>October 
2028</v>
      </c>
      <c r="X110" s="2722" t="str">
        <v>November 
2028</v>
      </c>
      <c r="Y110" s="2723" t="str">
        <v>December 
2028</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111.39450000000002</v>
      </c>
      <c r="O111" s="583">
        <f ca="1"/>
        <v>111.39450000000002</v>
      </c>
      <c r="P111" s="583">
        <f ca="1"/>
        <v>111.39450000000002</v>
      </c>
      <c r="Q111" s="583">
        <f ca="1"/>
        <v>111.39450000000002</v>
      </c>
      <c r="R111" s="583">
        <f ca="1"/>
        <v>111.39450000000002</v>
      </c>
      <c r="S111" s="583">
        <f ca="1"/>
        <v>111.39450000000002</v>
      </c>
      <c r="T111" s="583">
        <f ca="1"/>
        <v>111.39450000000002</v>
      </c>
      <c r="U111" s="583">
        <f ca="1"/>
        <v>111.39450000000002</v>
      </c>
      <c r="V111" s="583">
        <f ca="1"/>
        <v>111.39450000000002</v>
      </c>
      <c r="W111" s="583">
        <f ca="1"/>
        <v>111.39450000000002</v>
      </c>
      <c r="X111" s="583">
        <f ca="1"/>
        <v>111.39450000000002</v>
      </c>
      <c r="Y111" s="1933">
        <f ca="1"/>
        <v>111.39450000000002</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f t="array" aca="1" ref="Y112:Y123" ca="1">'DC Distr 3'!M112:M123</f>
        <v>0</v>
      </c>
    </row>
    <row r="113" spans="1:25">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6">
        <f t="array" aca="1" ref="X113:X123" ca="1">'DC Distr 3'!L113:L123</f>
        <v>0</v>
      </c>
      <c r="Y113" s="1934">
        <f ca="1"/>
        <v>0</v>
      </c>
    </row>
    <row r="114" spans="1:25">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6">
        <f t="array" aca="1" ref="W114:W123" ca="1">'DC Distr 3'!K114:K123</f>
        <v>0</v>
      </c>
      <c r="X114" s="1916">
        <f ca="1"/>
        <v>0</v>
      </c>
      <c r="Y114" s="1934">
        <f ca="1"/>
        <v>0</v>
      </c>
    </row>
    <row r="115" spans="1:25">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6">
        <f t="array" aca="1" ref="V115:V123" ca="1">'DC Distr 3'!J115:J123</f>
        <v>0</v>
      </c>
      <c r="W115" s="1916">
        <f ca="1"/>
        <v>0</v>
      </c>
      <c r="X115" s="1916">
        <f ca="1"/>
        <v>0</v>
      </c>
      <c r="Y115" s="1934">
        <f ca="1"/>
        <v>0</v>
      </c>
    </row>
    <row r="116" spans="1:25">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6">
        <f t="array" aca="1" ref="U116:U123" ca="1">'DC Distr 3'!I116:I123</f>
        <v>0</v>
      </c>
      <c r="V116" s="1916">
        <f ca="1"/>
        <v>0</v>
      </c>
      <c r="W116" s="1916">
        <f ca="1"/>
        <v>0</v>
      </c>
      <c r="X116" s="1916">
        <f ca="1"/>
        <v>0</v>
      </c>
      <c r="Y116" s="1934">
        <f ca="1"/>
        <v>0</v>
      </c>
    </row>
    <row r="117" spans="1:25">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6">
        <f t="array" aca="1" ref="T117:T123" ca="1">'DC Distr 3'!H117:H123</f>
        <v>0</v>
      </c>
      <c r="U117" s="1916">
        <f ca="1"/>
        <v>0</v>
      </c>
      <c r="V117" s="1916">
        <f ca="1"/>
        <v>0</v>
      </c>
      <c r="W117" s="1916">
        <f ca="1"/>
        <v>0</v>
      </c>
      <c r="X117" s="1916">
        <f ca="1"/>
        <v>0</v>
      </c>
      <c r="Y117" s="1934">
        <f ca="1"/>
        <v>0</v>
      </c>
    </row>
    <row r="118" spans="1:25">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0">
        <f t="array" aca="1" ref="S118:S123" ca="1">'DC Distr 3'!G118:G123</f>
        <v>0</v>
      </c>
      <c r="T118" s="1920">
        <f ca="1"/>
        <v>0</v>
      </c>
      <c r="U118" s="1920">
        <f ca="1"/>
        <v>0</v>
      </c>
      <c r="V118" s="1920">
        <f ca="1"/>
        <v>0</v>
      </c>
      <c r="W118" s="1920">
        <f ca="1"/>
        <v>0</v>
      </c>
      <c r="X118" s="1920">
        <f ca="1"/>
        <v>0</v>
      </c>
      <c r="Y118" s="1937">
        <f ca="1"/>
        <v>0</v>
      </c>
    </row>
    <row r="119" spans="1:25">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0">
        <f t="array" aca="1" ref="R119:R123" ca="1">'DC Distr 3'!F119:F123</f>
        <v>0</v>
      </c>
      <c r="S119" s="1920">
        <f ca="1"/>
        <v>0</v>
      </c>
      <c r="T119" s="1920">
        <f ca="1"/>
        <v>0</v>
      </c>
      <c r="U119" s="1920">
        <f ca="1"/>
        <v>0</v>
      </c>
      <c r="V119" s="1920">
        <f ca="1"/>
        <v>0</v>
      </c>
      <c r="W119" s="1920">
        <f ca="1"/>
        <v>0</v>
      </c>
      <c r="X119" s="1920">
        <f ca="1"/>
        <v>0</v>
      </c>
      <c r="Y119" s="1937">
        <f ca="1"/>
        <v>0</v>
      </c>
    </row>
    <row r="120" spans="1:25">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0">
        <f t="array" aca="1" ref="Q120:Q123" ca="1">'DC Distr 3'!E120:E123</f>
        <v>0</v>
      </c>
      <c r="R120" s="1920">
        <f ca="1"/>
        <v>0</v>
      </c>
      <c r="S120" s="1920">
        <f ca="1"/>
        <v>0</v>
      </c>
      <c r="T120" s="1920">
        <f ca="1"/>
        <v>0</v>
      </c>
      <c r="U120" s="1920">
        <f ca="1"/>
        <v>0</v>
      </c>
      <c r="V120" s="1920">
        <f ca="1"/>
        <v>0</v>
      </c>
      <c r="W120" s="1920">
        <f ca="1"/>
        <v>0</v>
      </c>
      <c r="X120" s="1920">
        <f ca="1"/>
        <v>0</v>
      </c>
      <c r="Y120" s="1937">
        <f ca="1"/>
        <v>0</v>
      </c>
    </row>
    <row r="121" spans="1:25">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0">
        <f t="array" aca="1" ref="P121:P123" ca="1">'DC Distr 3'!D121:D123</f>
        <v>0</v>
      </c>
      <c r="Q121" s="1920">
        <f ca="1"/>
        <v>0</v>
      </c>
      <c r="R121" s="1920">
        <f ca="1"/>
        <v>0</v>
      </c>
      <c r="S121" s="1920">
        <f ca="1"/>
        <v>0</v>
      </c>
      <c r="T121" s="1920">
        <f ca="1"/>
        <v>0</v>
      </c>
      <c r="U121" s="1920">
        <f ca="1"/>
        <v>0</v>
      </c>
      <c r="V121" s="1920">
        <f ca="1"/>
        <v>0</v>
      </c>
      <c r="W121" s="1920">
        <f ca="1"/>
        <v>0</v>
      </c>
      <c r="X121" s="1920">
        <f ca="1"/>
        <v>0</v>
      </c>
      <c r="Y121" s="1937">
        <f ca="1"/>
        <v>0</v>
      </c>
    </row>
    <row r="122" spans="1:25">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0">
        <f ca="1">'DC Distr 3'!C122</f>
        <v>0</v>
      </c>
      <c r="P122" s="1920">
        <f ca="1"/>
        <v>0</v>
      </c>
      <c r="Q122" s="1920">
        <f ca="1"/>
        <v>0</v>
      </c>
      <c r="R122" s="1920">
        <f ca="1"/>
        <v>0</v>
      </c>
      <c r="S122" s="1920">
        <f ca="1"/>
        <v>0</v>
      </c>
      <c r="T122" s="1920">
        <f ca="1"/>
        <v>0</v>
      </c>
      <c r="U122" s="1920">
        <f ca="1"/>
        <v>0</v>
      </c>
      <c r="V122" s="1920">
        <f ca="1"/>
        <v>0</v>
      </c>
      <c r="W122" s="1920">
        <f ca="1"/>
        <v>0</v>
      </c>
      <c r="X122" s="1920">
        <f ca="1"/>
        <v>0</v>
      </c>
      <c r="Y122" s="1937">
        <f ca="1"/>
        <v>0</v>
      </c>
    </row>
    <row r="123" spans="1:25"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f ca="1">'DC Distr 3'!B123</f>
        <v>0</v>
      </c>
      <c r="O123" s="1920">
        <f ca="1">'DC Distr 3'!C123</f>
        <v>0</v>
      </c>
      <c r="P123" s="1920">
        <f ca="1"/>
        <v>0</v>
      </c>
      <c r="Q123" s="1920">
        <f ca="1"/>
        <v>0</v>
      </c>
      <c r="R123" s="1920">
        <f ca="1"/>
        <v>0</v>
      </c>
      <c r="S123" s="1920">
        <f ca="1"/>
        <v>0</v>
      </c>
      <c r="T123" s="1920">
        <f ca="1"/>
        <v>0</v>
      </c>
      <c r="U123" s="1920">
        <f ca="1"/>
        <v>0</v>
      </c>
      <c r="V123" s="1920">
        <f ca="1"/>
        <v>0</v>
      </c>
      <c r="W123" s="1920">
        <f ca="1"/>
        <v>0</v>
      </c>
      <c r="X123" s="1920">
        <f ca="1"/>
        <v>0</v>
      </c>
      <c r="Y123" s="1937">
        <f ca="1"/>
        <v>0</v>
      </c>
    </row>
    <row r="124" spans="1:25"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111.39450000000002</v>
      </c>
      <c r="O124" s="587">
        <f t="shared" ca="1" si="10"/>
        <v>111.39450000000002</v>
      </c>
      <c r="P124" s="587">
        <f t="shared" ca="1" si="10"/>
        <v>111.39450000000002</v>
      </c>
      <c r="Q124" s="587">
        <f t="shared" ca="1" si="10"/>
        <v>111.39450000000002</v>
      </c>
      <c r="R124" s="587">
        <f t="shared" ca="1" si="10"/>
        <v>111.39450000000002</v>
      </c>
      <c r="S124" s="587">
        <f t="shared" ca="1" si="10"/>
        <v>111.39450000000002</v>
      </c>
      <c r="T124" s="587">
        <f t="shared" ca="1" si="10"/>
        <v>111.39450000000002</v>
      </c>
      <c r="U124" s="587">
        <f t="shared" ca="1" si="10"/>
        <v>111.39450000000002</v>
      </c>
      <c r="V124" s="587">
        <f t="shared" ca="1" si="10"/>
        <v>111.39450000000002</v>
      </c>
      <c r="W124" s="587">
        <f t="shared" ca="1" si="10"/>
        <v>111.39450000000002</v>
      </c>
      <c r="X124" s="587">
        <f t="shared" ca="1" si="10"/>
        <v>111.39450000000002</v>
      </c>
      <c r="Y124" s="1935">
        <f t="shared" ca="1" si="10"/>
        <v>111.39450000000002</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23.392845000000005</v>
      </c>
      <c r="O125" s="587">
        <f ca="1"/>
        <v>23.392845000000005</v>
      </c>
      <c r="P125" s="587">
        <f ca="1"/>
        <v>23.392845000000005</v>
      </c>
      <c r="Q125" s="587">
        <f ca="1"/>
        <v>23.392845000000005</v>
      </c>
      <c r="R125" s="587">
        <f ca="1"/>
        <v>23.392845000000005</v>
      </c>
      <c r="S125" s="587">
        <f ca="1"/>
        <v>23.392845000000005</v>
      </c>
      <c r="T125" s="587">
        <f ca="1"/>
        <v>23.392845000000005</v>
      </c>
      <c r="U125" s="587">
        <f ca="1"/>
        <v>23.392845000000005</v>
      </c>
      <c r="V125" s="587">
        <f ca="1"/>
        <v>23.392845000000005</v>
      </c>
      <c r="W125" s="587">
        <f ca="1"/>
        <v>23.392845000000005</v>
      </c>
      <c r="X125" s="587">
        <f ca="1"/>
        <v>23.392845000000005</v>
      </c>
      <c r="Y125" s="1935">
        <f ca="1"/>
        <v>23.392845000000005</v>
      </c>
    </row>
    <row r="127" spans="1:25" ht="18.75" thickBot="1">
      <c r="A127" s="1921" t="str">
        <f>'DC Distr 0'!A127</f>
        <v xml:space="preserve">Monthly Purchases / Production costs for </v>
      </c>
      <c r="I127" s="1921" t="str">
        <f>I$18</f>
        <v>VAT NOT included</v>
      </c>
      <c r="K127" s="1932">
        <f>Parameters!$F$25</f>
        <v>0.21</v>
      </c>
    </row>
    <row r="128" spans="1:25" ht="30" customHeight="1" thickBot="1">
      <c r="A128" s="441" t="str">
        <f t="array" ref="A128:A141">A$110:A$123</f>
        <v>Months before sale</v>
      </c>
      <c r="B128" s="1938" t="str">
        <f t="array" ref="B128:Y128">B$71:Y$71</f>
        <v>January
2027</v>
      </c>
      <c r="C128" s="1938" t="str">
        <v>February
2027</v>
      </c>
      <c r="D128" s="1938" t="str">
        <v>March
2027</v>
      </c>
      <c r="E128" s="1938" t="str">
        <v>April
2027</v>
      </c>
      <c r="F128" s="1938" t="str">
        <v>May
2027</v>
      </c>
      <c r="G128" s="1938" t="str">
        <v>June
2027</v>
      </c>
      <c r="H128" s="1938" t="str">
        <v>July
2027</v>
      </c>
      <c r="I128" s="1938" t="str">
        <v>August
2027</v>
      </c>
      <c r="J128" s="1938" t="str">
        <v>September
2027</v>
      </c>
      <c r="K128" s="1938" t="str">
        <v>October
2027</v>
      </c>
      <c r="L128" s="1938" t="str">
        <v>November
2027</v>
      </c>
      <c r="M128" s="1938" t="str">
        <v>December
2027</v>
      </c>
      <c r="N128" s="2721" t="str">
        <v>January 
2028</v>
      </c>
      <c r="O128" s="2722" t="str">
        <v>February 
2028</v>
      </c>
      <c r="P128" s="2722" t="str">
        <v>March 
2028</v>
      </c>
      <c r="Q128" s="2722" t="str">
        <v>April 
2028</v>
      </c>
      <c r="R128" s="2722" t="str">
        <v>May 
2028</v>
      </c>
      <c r="S128" s="2722" t="str">
        <v>June 
2028</v>
      </c>
      <c r="T128" s="2722" t="str">
        <v>July 
2028</v>
      </c>
      <c r="U128" s="2722" t="str">
        <v>August 
2028</v>
      </c>
      <c r="V128" s="2722" t="str">
        <v>September 
2028</v>
      </c>
      <c r="W128" s="2722" t="str">
        <v>October 
2028</v>
      </c>
      <c r="X128" s="2722" t="str">
        <v>November 
2028</v>
      </c>
      <c r="Y128" s="2723" t="str">
        <v>December 
2028</v>
      </c>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f t="array" aca="1" ref="Y130:Y141" ca="1">'DC Distr 3'!M130:M141</f>
        <v>0</v>
      </c>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6">
        <f t="array" aca="1" ref="X131:X141" ca="1">'DC Distr 3'!L131:L141</f>
        <v>0</v>
      </c>
      <c r="Y131" s="1934">
        <f ca="1"/>
        <v>0</v>
      </c>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6">
        <f t="array" aca="1" ref="W132:W141" ca="1">'DC Distr 3'!K132:K141</f>
        <v>0</v>
      </c>
      <c r="X132" s="1916">
        <f ca="1"/>
        <v>0</v>
      </c>
      <c r="Y132" s="1934">
        <f ca="1"/>
        <v>0</v>
      </c>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6">
        <f t="array" aca="1" ref="V133:V141" ca="1">'DC Distr 3'!J133:J141</f>
        <v>0</v>
      </c>
      <c r="W133" s="1916">
        <f ca="1"/>
        <v>0</v>
      </c>
      <c r="X133" s="1916">
        <f ca="1"/>
        <v>0</v>
      </c>
      <c r="Y133" s="1934">
        <f ca="1"/>
        <v>0</v>
      </c>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6">
        <f t="array" aca="1" ref="U134:U141" ca="1">'DC Distr 3'!I134:I141</f>
        <v>0</v>
      </c>
      <c r="V134" s="1916">
        <f ca="1"/>
        <v>0</v>
      </c>
      <c r="W134" s="1916">
        <f ca="1"/>
        <v>0</v>
      </c>
      <c r="X134" s="1916">
        <f ca="1"/>
        <v>0</v>
      </c>
      <c r="Y134" s="1934">
        <f ca="1"/>
        <v>0</v>
      </c>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6">
        <f t="array" aca="1" ref="T135:T141" ca="1">'DC Distr 3'!H135:H141</f>
        <v>0</v>
      </c>
      <c r="U135" s="1916">
        <f ca="1"/>
        <v>0</v>
      </c>
      <c r="V135" s="1916">
        <f ca="1"/>
        <v>0</v>
      </c>
      <c r="W135" s="1916">
        <f ca="1"/>
        <v>0</v>
      </c>
      <c r="X135" s="1916">
        <f ca="1"/>
        <v>0</v>
      </c>
      <c r="Y135" s="1934">
        <f ca="1"/>
        <v>0</v>
      </c>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0">
        <f t="array" aca="1" ref="S136:S141" ca="1">'DC Distr 3'!G136:G141</f>
        <v>0</v>
      </c>
      <c r="T136" s="1920">
        <f ca="1"/>
        <v>0</v>
      </c>
      <c r="U136" s="1920">
        <f ca="1"/>
        <v>0</v>
      </c>
      <c r="V136" s="1920">
        <f ca="1"/>
        <v>0</v>
      </c>
      <c r="W136" s="1920">
        <f ca="1"/>
        <v>0</v>
      </c>
      <c r="X136" s="1920">
        <f ca="1"/>
        <v>0</v>
      </c>
      <c r="Y136" s="1937">
        <f ca="1"/>
        <v>0</v>
      </c>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0">
        <f t="array" aca="1" ref="R137:R141" ca="1">'DC Distr 3'!F137:F141</f>
        <v>0</v>
      </c>
      <c r="S137" s="1920">
        <f ca="1"/>
        <v>0</v>
      </c>
      <c r="T137" s="1920">
        <f ca="1"/>
        <v>0</v>
      </c>
      <c r="U137" s="1920">
        <f ca="1"/>
        <v>0</v>
      </c>
      <c r="V137" s="1920">
        <f ca="1"/>
        <v>0</v>
      </c>
      <c r="W137" s="1920">
        <f ca="1"/>
        <v>0</v>
      </c>
      <c r="X137" s="1920">
        <f ca="1"/>
        <v>0</v>
      </c>
      <c r="Y137" s="1937">
        <f ca="1"/>
        <v>0</v>
      </c>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0">
        <f t="array" aca="1" ref="Q138:Q141" ca="1">'DC Distr 3'!E138:E141</f>
        <v>0</v>
      </c>
      <c r="R138" s="1920">
        <f ca="1"/>
        <v>0</v>
      </c>
      <c r="S138" s="1920">
        <f ca="1"/>
        <v>0</v>
      </c>
      <c r="T138" s="1920">
        <f ca="1"/>
        <v>0</v>
      </c>
      <c r="U138" s="1920">
        <f ca="1"/>
        <v>0</v>
      </c>
      <c r="V138" s="1920">
        <f ca="1"/>
        <v>0</v>
      </c>
      <c r="W138" s="1920">
        <f ca="1"/>
        <v>0</v>
      </c>
      <c r="X138" s="1920">
        <f ca="1"/>
        <v>0</v>
      </c>
      <c r="Y138" s="1937">
        <f ca="1"/>
        <v>0</v>
      </c>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0">
        <f t="array" aca="1" ref="P139:P141" ca="1">'DC Distr 3'!D139:D141</f>
        <v>0</v>
      </c>
      <c r="Q139" s="1920">
        <f ca="1"/>
        <v>0</v>
      </c>
      <c r="R139" s="1920">
        <f ca="1"/>
        <v>0</v>
      </c>
      <c r="S139" s="1920">
        <f ca="1"/>
        <v>0</v>
      </c>
      <c r="T139" s="1920">
        <f ca="1"/>
        <v>0</v>
      </c>
      <c r="U139" s="1920">
        <f ca="1"/>
        <v>0</v>
      </c>
      <c r="V139" s="1920">
        <f ca="1"/>
        <v>0</v>
      </c>
      <c r="W139" s="1920">
        <f ca="1"/>
        <v>0</v>
      </c>
      <c r="X139" s="1920">
        <f ca="1"/>
        <v>0</v>
      </c>
      <c r="Y139" s="1937">
        <f ca="1"/>
        <v>0</v>
      </c>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0">
        <f ca="1">'DC Distr 3'!C140</f>
        <v>0</v>
      </c>
      <c r="P140" s="1920">
        <f ca="1"/>
        <v>0</v>
      </c>
      <c r="Q140" s="1920">
        <f ca="1"/>
        <v>0</v>
      </c>
      <c r="R140" s="1920">
        <f ca="1"/>
        <v>0</v>
      </c>
      <c r="S140" s="1920">
        <f ca="1"/>
        <v>0</v>
      </c>
      <c r="T140" s="1920">
        <f ca="1"/>
        <v>0</v>
      </c>
      <c r="U140" s="1920">
        <f ca="1"/>
        <v>0</v>
      </c>
      <c r="V140" s="1920">
        <f ca="1"/>
        <v>0</v>
      </c>
      <c r="W140" s="1920">
        <f ca="1"/>
        <v>0</v>
      </c>
      <c r="X140" s="1920">
        <f ca="1"/>
        <v>0</v>
      </c>
      <c r="Y140" s="1937">
        <f ca="1"/>
        <v>0</v>
      </c>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f ca="1">'DC Distr 3'!B141</f>
        <v>0</v>
      </c>
      <c r="O141" s="1920">
        <f ca="1">'DC Distr 3'!C141</f>
        <v>0</v>
      </c>
      <c r="P141" s="1920">
        <f ca="1"/>
        <v>0</v>
      </c>
      <c r="Q141" s="1920">
        <f ca="1"/>
        <v>0</v>
      </c>
      <c r="R141" s="1920">
        <f ca="1"/>
        <v>0</v>
      </c>
      <c r="S141" s="1920">
        <f ca="1"/>
        <v>0</v>
      </c>
      <c r="T141" s="1920">
        <f ca="1"/>
        <v>0</v>
      </c>
      <c r="U141" s="1920">
        <f ca="1"/>
        <v>0</v>
      </c>
      <c r="V141" s="1920">
        <f ca="1"/>
        <v>0</v>
      </c>
      <c r="W141" s="1920">
        <f ca="1"/>
        <v>0</v>
      </c>
      <c r="X141" s="1920">
        <f ca="1"/>
        <v>0</v>
      </c>
      <c r="Y141" s="1937">
        <f ca="1"/>
        <v>0</v>
      </c>
    </row>
    <row r="142" spans="1:25" ht="13.5"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5">
        <f t="shared" ca="1" si="11"/>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5" ht="18.75" thickBot="1">
      <c r="A145" s="1921" t="str">
        <f>'DC Distr 0'!A145</f>
        <v xml:space="preserve">Monthly Purchases / Production costs for </v>
      </c>
      <c r="I145" s="1921" t="str">
        <f>I$18</f>
        <v>VAT NOT included</v>
      </c>
      <c r="K145" s="1932">
        <f>Parameters!$F$26</f>
        <v>0.21</v>
      </c>
    </row>
    <row r="146" spans="1:25" ht="30" customHeight="1" thickBot="1">
      <c r="A146" s="441" t="str">
        <f t="array" ref="A146:A159">A$110:A$123</f>
        <v>Months before sale</v>
      </c>
      <c r="B146" s="1938" t="str">
        <f t="array" ref="B146:Y146">B$71:Y$71</f>
        <v>January
2027</v>
      </c>
      <c r="C146" s="1938" t="str">
        <v>February
2027</v>
      </c>
      <c r="D146" s="1938" t="str">
        <v>March
2027</v>
      </c>
      <c r="E146" s="1938" t="str">
        <v>April
2027</v>
      </c>
      <c r="F146" s="1938" t="str">
        <v>May
2027</v>
      </c>
      <c r="G146" s="1938" t="str">
        <v>June
2027</v>
      </c>
      <c r="H146" s="1938" t="str">
        <v>July
2027</v>
      </c>
      <c r="I146" s="1938" t="str">
        <v>August
2027</v>
      </c>
      <c r="J146" s="1938" t="str">
        <v>September
2027</v>
      </c>
      <c r="K146" s="1938" t="str">
        <v>October
2027</v>
      </c>
      <c r="L146" s="1938" t="str">
        <v>November
2027</v>
      </c>
      <c r="M146" s="1938" t="str">
        <v>December
2027</v>
      </c>
      <c r="N146" s="2721" t="str">
        <v>January 
2028</v>
      </c>
      <c r="O146" s="2722" t="str">
        <v>February 
2028</v>
      </c>
      <c r="P146" s="2722" t="str">
        <v>March 
2028</v>
      </c>
      <c r="Q146" s="2722" t="str">
        <v>April 
2028</v>
      </c>
      <c r="R146" s="2722" t="str">
        <v>May 
2028</v>
      </c>
      <c r="S146" s="2722" t="str">
        <v>June 
2028</v>
      </c>
      <c r="T146" s="2722" t="str">
        <v>July 
2028</v>
      </c>
      <c r="U146" s="2722" t="str">
        <v>August 
2028</v>
      </c>
      <c r="V146" s="2722" t="str">
        <v>September 
2028</v>
      </c>
      <c r="W146" s="2722" t="str">
        <v>October 
2028</v>
      </c>
      <c r="X146" s="2722" t="str">
        <v>November 
2028</v>
      </c>
      <c r="Y146" s="2723" t="str">
        <v>December 
2028</v>
      </c>
    </row>
    <row r="147" spans="1:25">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5">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f t="array" aca="1" ref="Y148:Y159" ca="1">'DC Distr 3'!M148:M159</f>
        <v>0</v>
      </c>
    </row>
    <row r="149" spans="1:25">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6">
        <f t="array" aca="1" ref="X149:X159" ca="1">'DC Distr 3'!L149:L159</f>
        <v>0</v>
      </c>
      <c r="Y149" s="1934">
        <f ca="1"/>
        <v>0</v>
      </c>
    </row>
    <row r="150" spans="1:25">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6">
        <f t="array" aca="1" ref="W150:W159" ca="1">'DC Distr 3'!K150:K159</f>
        <v>0</v>
      </c>
      <c r="X150" s="1916">
        <f ca="1"/>
        <v>0</v>
      </c>
      <c r="Y150" s="1934">
        <f ca="1"/>
        <v>0</v>
      </c>
    </row>
    <row r="151" spans="1:25">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6">
        <f t="array" aca="1" ref="V151:V159" ca="1">'DC Distr 3'!J151:J159</f>
        <v>0</v>
      </c>
      <c r="W151" s="1916">
        <f ca="1"/>
        <v>0</v>
      </c>
      <c r="X151" s="1916">
        <f ca="1"/>
        <v>0</v>
      </c>
      <c r="Y151" s="1934">
        <f ca="1"/>
        <v>0</v>
      </c>
    </row>
    <row r="152" spans="1:25">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6">
        <f t="array" aca="1" ref="U152:U159" ca="1">'DC Distr 3'!I152:I159</f>
        <v>0</v>
      </c>
      <c r="V152" s="1916">
        <f ca="1"/>
        <v>0</v>
      </c>
      <c r="W152" s="1916">
        <f ca="1"/>
        <v>0</v>
      </c>
      <c r="X152" s="1916">
        <f ca="1"/>
        <v>0</v>
      </c>
      <c r="Y152" s="1934">
        <f ca="1"/>
        <v>0</v>
      </c>
    </row>
    <row r="153" spans="1:25">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6">
        <f t="array" aca="1" ref="T153:T159" ca="1">'DC Distr 3'!H153:H159</f>
        <v>0</v>
      </c>
      <c r="U153" s="1916">
        <f ca="1"/>
        <v>0</v>
      </c>
      <c r="V153" s="1916">
        <f ca="1"/>
        <v>0</v>
      </c>
      <c r="W153" s="1916">
        <f ca="1"/>
        <v>0</v>
      </c>
      <c r="X153" s="1916">
        <f ca="1"/>
        <v>0</v>
      </c>
      <c r="Y153" s="1934">
        <f ca="1"/>
        <v>0</v>
      </c>
    </row>
    <row r="154" spans="1:25">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0">
        <f t="array" aca="1" ref="S154:S159" ca="1">'DC Distr 3'!G154:G159</f>
        <v>0</v>
      </c>
      <c r="T154" s="1920">
        <f ca="1"/>
        <v>0</v>
      </c>
      <c r="U154" s="1920">
        <f ca="1"/>
        <v>0</v>
      </c>
      <c r="V154" s="1920">
        <f ca="1"/>
        <v>0</v>
      </c>
      <c r="W154" s="1920">
        <f ca="1"/>
        <v>0</v>
      </c>
      <c r="X154" s="1920">
        <f ca="1"/>
        <v>0</v>
      </c>
      <c r="Y154" s="1937">
        <f ca="1"/>
        <v>0</v>
      </c>
    </row>
    <row r="155" spans="1:25">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0">
        <f t="array" aca="1" ref="R155:R159" ca="1">'DC Distr 3'!F155:F159</f>
        <v>0</v>
      </c>
      <c r="S155" s="1920">
        <f ca="1"/>
        <v>0</v>
      </c>
      <c r="T155" s="1920">
        <f ca="1"/>
        <v>0</v>
      </c>
      <c r="U155" s="1920">
        <f ca="1"/>
        <v>0</v>
      </c>
      <c r="V155" s="1920">
        <f ca="1"/>
        <v>0</v>
      </c>
      <c r="W155" s="1920">
        <f ca="1"/>
        <v>0</v>
      </c>
      <c r="X155" s="1920">
        <f ca="1"/>
        <v>0</v>
      </c>
      <c r="Y155" s="1937">
        <f ca="1"/>
        <v>0</v>
      </c>
    </row>
    <row r="156" spans="1:25">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0">
        <f t="array" aca="1" ref="Q156:Q159" ca="1">'DC Distr 3'!E156:E159</f>
        <v>0</v>
      </c>
      <c r="R156" s="1920">
        <f ca="1"/>
        <v>0</v>
      </c>
      <c r="S156" s="1920">
        <f ca="1"/>
        <v>0</v>
      </c>
      <c r="T156" s="1920">
        <f ca="1"/>
        <v>0</v>
      </c>
      <c r="U156" s="1920">
        <f ca="1"/>
        <v>0</v>
      </c>
      <c r="V156" s="1920">
        <f ca="1"/>
        <v>0</v>
      </c>
      <c r="W156" s="1920">
        <f ca="1"/>
        <v>0</v>
      </c>
      <c r="X156" s="1920">
        <f ca="1"/>
        <v>0</v>
      </c>
      <c r="Y156" s="1937">
        <f ca="1"/>
        <v>0</v>
      </c>
    </row>
    <row r="157" spans="1:25">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0">
        <f t="array" aca="1" ref="P157:P159" ca="1">'DC Distr 3'!D157:D159</f>
        <v>0</v>
      </c>
      <c r="Q157" s="1920">
        <f ca="1"/>
        <v>0</v>
      </c>
      <c r="R157" s="1920">
        <f ca="1"/>
        <v>0</v>
      </c>
      <c r="S157" s="1920">
        <f ca="1"/>
        <v>0</v>
      </c>
      <c r="T157" s="1920">
        <f ca="1"/>
        <v>0</v>
      </c>
      <c r="U157" s="1920">
        <f ca="1"/>
        <v>0</v>
      </c>
      <c r="V157" s="1920">
        <f ca="1"/>
        <v>0</v>
      </c>
      <c r="W157" s="1920">
        <f ca="1"/>
        <v>0</v>
      </c>
      <c r="X157" s="1920">
        <f ca="1"/>
        <v>0</v>
      </c>
      <c r="Y157" s="1937">
        <f ca="1"/>
        <v>0</v>
      </c>
    </row>
    <row r="158" spans="1:25">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0">
        <f ca="1">'DC Distr 3'!C158</f>
        <v>0</v>
      </c>
      <c r="P158" s="1920">
        <f ca="1"/>
        <v>0</v>
      </c>
      <c r="Q158" s="1920">
        <f ca="1"/>
        <v>0</v>
      </c>
      <c r="R158" s="1920">
        <f ca="1"/>
        <v>0</v>
      </c>
      <c r="S158" s="1920">
        <f ca="1"/>
        <v>0</v>
      </c>
      <c r="T158" s="1920">
        <f ca="1"/>
        <v>0</v>
      </c>
      <c r="U158" s="1920">
        <f ca="1"/>
        <v>0</v>
      </c>
      <c r="V158" s="1920">
        <f ca="1"/>
        <v>0</v>
      </c>
      <c r="W158" s="1920">
        <f ca="1"/>
        <v>0</v>
      </c>
      <c r="X158" s="1920">
        <f ca="1"/>
        <v>0</v>
      </c>
      <c r="Y158" s="1937">
        <f ca="1"/>
        <v>0</v>
      </c>
    </row>
    <row r="159" spans="1:25"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f ca="1">'DC Distr 3'!B159</f>
        <v>0</v>
      </c>
      <c r="O159" s="1920">
        <f ca="1">'DC Distr 3'!C159</f>
        <v>0</v>
      </c>
      <c r="P159" s="1920">
        <f ca="1"/>
        <v>0</v>
      </c>
      <c r="Q159" s="1920">
        <f ca="1"/>
        <v>0</v>
      </c>
      <c r="R159" s="1920">
        <f ca="1"/>
        <v>0</v>
      </c>
      <c r="S159" s="1920">
        <f ca="1"/>
        <v>0</v>
      </c>
      <c r="T159" s="1920">
        <f ca="1"/>
        <v>0</v>
      </c>
      <c r="U159" s="1920">
        <f ca="1"/>
        <v>0</v>
      </c>
      <c r="V159" s="1920">
        <f ca="1"/>
        <v>0</v>
      </c>
      <c r="W159" s="1920">
        <f ca="1"/>
        <v>0</v>
      </c>
      <c r="X159" s="1920">
        <f ca="1"/>
        <v>0</v>
      </c>
      <c r="Y159" s="1937">
        <f ca="1"/>
        <v>0</v>
      </c>
    </row>
    <row r="160" spans="1:25" ht="13.5"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5">
        <f t="shared" ca="1" si="12"/>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5" ht="18.75" thickBot="1">
      <c r="A163" s="1921" t="str">
        <f>'DC Distr 0'!A163</f>
        <v xml:space="preserve">Monthly Purchases / Production costs for </v>
      </c>
      <c r="I163" s="1921" t="str">
        <f>I$18</f>
        <v>VAT NOT included</v>
      </c>
      <c r="K163" s="1932">
        <f>Parameters!$F$27</f>
        <v>0.21</v>
      </c>
    </row>
    <row r="164" spans="1:25" ht="30" customHeight="1" thickBot="1">
      <c r="A164" s="441" t="str">
        <f t="array" ref="A164:A177">A$110:A$123</f>
        <v>Months before sale</v>
      </c>
      <c r="B164" s="1938" t="str">
        <f t="array" ref="B164:Y164">B$71:Y$71</f>
        <v>January
2027</v>
      </c>
      <c r="C164" s="1938" t="str">
        <v>February
2027</v>
      </c>
      <c r="D164" s="1938" t="str">
        <v>March
2027</v>
      </c>
      <c r="E164" s="1938" t="str">
        <v>April
2027</v>
      </c>
      <c r="F164" s="1938" t="str">
        <v>May
2027</v>
      </c>
      <c r="G164" s="1938" t="str">
        <v>June
2027</v>
      </c>
      <c r="H164" s="1938" t="str">
        <v>July
2027</v>
      </c>
      <c r="I164" s="1938" t="str">
        <v>August
2027</v>
      </c>
      <c r="J164" s="1938" t="str">
        <v>September
2027</v>
      </c>
      <c r="K164" s="1938" t="str">
        <v>October
2027</v>
      </c>
      <c r="L164" s="1938" t="str">
        <v>November
2027</v>
      </c>
      <c r="M164" s="1938" t="str">
        <v>December
2027</v>
      </c>
      <c r="N164" s="2721" t="str">
        <v>January 
2028</v>
      </c>
      <c r="O164" s="2722" t="str">
        <v>February 
2028</v>
      </c>
      <c r="P164" s="2722" t="str">
        <v>March 
2028</v>
      </c>
      <c r="Q164" s="2722" t="str">
        <v>April 
2028</v>
      </c>
      <c r="R164" s="2722" t="str">
        <v>May 
2028</v>
      </c>
      <c r="S164" s="2722" t="str">
        <v>June 
2028</v>
      </c>
      <c r="T164" s="2722" t="str">
        <v>July 
2028</v>
      </c>
      <c r="U164" s="2722" t="str">
        <v>August 
2028</v>
      </c>
      <c r="V164" s="2722" t="str">
        <v>September 
2028</v>
      </c>
      <c r="W164" s="2722" t="str">
        <v>October 
2028</v>
      </c>
      <c r="X164" s="2722" t="str">
        <v>November 
2028</v>
      </c>
      <c r="Y164" s="2723" t="str">
        <v>December 
2028</v>
      </c>
    </row>
    <row r="165" spans="1:25">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5">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f t="array" aca="1" ref="Y166:Y177" ca="1">'DC Distr 3'!M166:M177</f>
        <v>0</v>
      </c>
    </row>
    <row r="167" spans="1:25">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6">
        <f t="array" aca="1" ref="X167:X177" ca="1">'DC Distr 3'!L167:L177</f>
        <v>0</v>
      </c>
      <c r="Y167" s="1934">
        <f ca="1"/>
        <v>0</v>
      </c>
    </row>
    <row r="168" spans="1:25">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6">
        <f t="array" aca="1" ref="W168:W177" ca="1">'DC Distr 3'!K168:K177</f>
        <v>0</v>
      </c>
      <c r="X168" s="1916">
        <f ca="1"/>
        <v>0</v>
      </c>
      <c r="Y168" s="1934">
        <f ca="1"/>
        <v>0</v>
      </c>
    </row>
    <row r="169" spans="1:25">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6">
        <f t="array" aca="1" ref="V169:V177" ca="1">'DC Distr 3'!J169:J177</f>
        <v>0</v>
      </c>
      <c r="W169" s="1916">
        <f ca="1"/>
        <v>0</v>
      </c>
      <c r="X169" s="1916">
        <f ca="1"/>
        <v>0</v>
      </c>
      <c r="Y169" s="1934">
        <f ca="1"/>
        <v>0</v>
      </c>
    </row>
    <row r="170" spans="1:25">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6">
        <f t="array" aca="1" ref="U170:U177" ca="1">'DC Distr 3'!I170:I177</f>
        <v>0</v>
      </c>
      <c r="V170" s="1916">
        <f ca="1"/>
        <v>0</v>
      </c>
      <c r="W170" s="1916">
        <f ca="1"/>
        <v>0</v>
      </c>
      <c r="X170" s="1916">
        <f ca="1"/>
        <v>0</v>
      </c>
      <c r="Y170" s="1934">
        <f ca="1"/>
        <v>0</v>
      </c>
    </row>
    <row r="171" spans="1:25">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6">
        <f t="array" aca="1" ref="T171:T177" ca="1">'DC Distr 3'!H171:H177</f>
        <v>0</v>
      </c>
      <c r="U171" s="1916">
        <f ca="1"/>
        <v>0</v>
      </c>
      <c r="V171" s="1916">
        <f ca="1"/>
        <v>0</v>
      </c>
      <c r="W171" s="1916">
        <f ca="1"/>
        <v>0</v>
      </c>
      <c r="X171" s="1916">
        <f ca="1"/>
        <v>0</v>
      </c>
      <c r="Y171" s="1934">
        <f ca="1"/>
        <v>0</v>
      </c>
    </row>
    <row r="172" spans="1:25">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0">
        <f t="array" aca="1" ref="S172:S177" ca="1">'DC Distr 3'!G172:G177</f>
        <v>0</v>
      </c>
      <c r="T172" s="1920">
        <f ca="1"/>
        <v>0</v>
      </c>
      <c r="U172" s="1920">
        <f ca="1"/>
        <v>0</v>
      </c>
      <c r="V172" s="1920">
        <f ca="1"/>
        <v>0</v>
      </c>
      <c r="W172" s="1920">
        <f ca="1"/>
        <v>0</v>
      </c>
      <c r="X172" s="1920">
        <f ca="1"/>
        <v>0</v>
      </c>
      <c r="Y172" s="1937">
        <f ca="1"/>
        <v>0</v>
      </c>
    </row>
    <row r="173" spans="1:25">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0">
        <f t="array" aca="1" ref="R173:R177" ca="1">'DC Distr 3'!F173:F177</f>
        <v>0</v>
      </c>
      <c r="S173" s="1920">
        <f ca="1"/>
        <v>0</v>
      </c>
      <c r="T173" s="1920">
        <f ca="1"/>
        <v>0</v>
      </c>
      <c r="U173" s="1920">
        <f ca="1"/>
        <v>0</v>
      </c>
      <c r="V173" s="1920">
        <f ca="1"/>
        <v>0</v>
      </c>
      <c r="W173" s="1920">
        <f ca="1"/>
        <v>0</v>
      </c>
      <c r="X173" s="1920">
        <f ca="1"/>
        <v>0</v>
      </c>
      <c r="Y173" s="1937">
        <f ca="1"/>
        <v>0</v>
      </c>
    </row>
    <row r="174" spans="1:25">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0">
        <f t="array" aca="1" ref="Q174:Q177" ca="1">'DC Distr 3'!E174:E177</f>
        <v>0</v>
      </c>
      <c r="R174" s="1920">
        <f ca="1"/>
        <v>0</v>
      </c>
      <c r="S174" s="1920">
        <f ca="1"/>
        <v>0</v>
      </c>
      <c r="T174" s="1920">
        <f ca="1"/>
        <v>0</v>
      </c>
      <c r="U174" s="1920">
        <f ca="1"/>
        <v>0</v>
      </c>
      <c r="V174" s="1920">
        <f ca="1"/>
        <v>0</v>
      </c>
      <c r="W174" s="1920">
        <f ca="1"/>
        <v>0</v>
      </c>
      <c r="X174" s="1920">
        <f ca="1"/>
        <v>0</v>
      </c>
      <c r="Y174" s="1937">
        <f ca="1"/>
        <v>0</v>
      </c>
    </row>
    <row r="175" spans="1:25">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0">
        <f t="array" aca="1" ref="P175:P177" ca="1">'DC Distr 3'!D175:D177</f>
        <v>0</v>
      </c>
      <c r="Q175" s="1920">
        <f ca="1"/>
        <v>0</v>
      </c>
      <c r="R175" s="1920">
        <f ca="1"/>
        <v>0</v>
      </c>
      <c r="S175" s="1920">
        <f ca="1"/>
        <v>0</v>
      </c>
      <c r="T175" s="1920">
        <f ca="1"/>
        <v>0</v>
      </c>
      <c r="U175" s="1920">
        <f ca="1"/>
        <v>0</v>
      </c>
      <c r="V175" s="1920">
        <f ca="1"/>
        <v>0</v>
      </c>
      <c r="W175" s="1920">
        <f ca="1"/>
        <v>0</v>
      </c>
      <c r="X175" s="1920">
        <f ca="1"/>
        <v>0</v>
      </c>
      <c r="Y175" s="1937">
        <f ca="1"/>
        <v>0</v>
      </c>
    </row>
    <row r="176" spans="1:25">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0">
        <f ca="1">'DC Distr 3'!C176</f>
        <v>0</v>
      </c>
      <c r="P176" s="1920">
        <f ca="1"/>
        <v>0</v>
      </c>
      <c r="Q176" s="1920">
        <f ca="1"/>
        <v>0</v>
      </c>
      <c r="R176" s="1920">
        <f ca="1"/>
        <v>0</v>
      </c>
      <c r="S176" s="1920">
        <f ca="1"/>
        <v>0</v>
      </c>
      <c r="T176" s="1920">
        <f ca="1"/>
        <v>0</v>
      </c>
      <c r="U176" s="1920">
        <f ca="1"/>
        <v>0</v>
      </c>
      <c r="V176" s="1920">
        <f ca="1"/>
        <v>0</v>
      </c>
      <c r="W176" s="1920">
        <f ca="1"/>
        <v>0</v>
      </c>
      <c r="X176" s="1920">
        <f ca="1"/>
        <v>0</v>
      </c>
      <c r="Y176" s="1937">
        <f ca="1"/>
        <v>0</v>
      </c>
    </row>
    <row r="177" spans="1:25"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f ca="1">'DC Distr 3'!B177</f>
        <v>0</v>
      </c>
      <c r="O177" s="1920">
        <f ca="1">'DC Distr 3'!C177</f>
        <v>0</v>
      </c>
      <c r="P177" s="1920">
        <f ca="1"/>
        <v>0</v>
      </c>
      <c r="Q177" s="1920">
        <f ca="1"/>
        <v>0</v>
      </c>
      <c r="R177" s="1920">
        <f ca="1"/>
        <v>0</v>
      </c>
      <c r="S177" s="1920">
        <f ca="1"/>
        <v>0</v>
      </c>
      <c r="T177" s="1920">
        <f ca="1"/>
        <v>0</v>
      </c>
      <c r="U177" s="1920">
        <f ca="1"/>
        <v>0</v>
      </c>
      <c r="V177" s="1920">
        <f ca="1"/>
        <v>0</v>
      </c>
      <c r="W177" s="1920">
        <f ca="1"/>
        <v>0</v>
      </c>
      <c r="X177" s="1920">
        <f ca="1"/>
        <v>0</v>
      </c>
      <c r="Y177" s="1937">
        <f ca="1"/>
        <v>0</v>
      </c>
    </row>
    <row r="178" spans="1:25" ht="13.5"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5">
        <f t="shared" ca="1" si="13"/>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5" ht="18.75" thickBot="1">
      <c r="A181" s="1921" t="str">
        <f>'DC Distr 0'!A181</f>
        <v xml:space="preserve">Monthly Purchases / Production costs for </v>
      </c>
      <c r="I181" s="1921" t="str">
        <f>I$18</f>
        <v>VAT NOT included</v>
      </c>
      <c r="K181" s="1932">
        <f>Parameters!$F$28</f>
        <v>0.21</v>
      </c>
    </row>
    <row r="182" spans="1:25" ht="31.5" customHeight="1" thickBot="1">
      <c r="A182" s="441" t="str">
        <f t="array" ref="A182:A195">A$110:A$123</f>
        <v>Months before sale</v>
      </c>
      <c r="B182" s="1938" t="str">
        <f t="array" ref="B182:Y182">B$71:Y$71</f>
        <v>January
2027</v>
      </c>
      <c r="C182" s="1938" t="str">
        <v>February
2027</v>
      </c>
      <c r="D182" s="1938" t="str">
        <v>March
2027</v>
      </c>
      <c r="E182" s="1938" t="str">
        <v>April
2027</v>
      </c>
      <c r="F182" s="1938" t="str">
        <v>May
2027</v>
      </c>
      <c r="G182" s="1938" t="str">
        <v>June
2027</v>
      </c>
      <c r="H182" s="1938" t="str">
        <v>July
2027</v>
      </c>
      <c r="I182" s="1938" t="str">
        <v>August
2027</v>
      </c>
      <c r="J182" s="1938" t="str">
        <v>September
2027</v>
      </c>
      <c r="K182" s="1938" t="str">
        <v>October
2027</v>
      </c>
      <c r="L182" s="1938" t="str">
        <v>November
2027</v>
      </c>
      <c r="M182" s="1938" t="str">
        <v>December
2027</v>
      </c>
      <c r="N182" s="2721" t="str">
        <v>January 
2028</v>
      </c>
      <c r="O182" s="2722" t="str">
        <v>February 
2028</v>
      </c>
      <c r="P182" s="2722" t="str">
        <v>March 
2028</v>
      </c>
      <c r="Q182" s="2722" t="str">
        <v>April 
2028</v>
      </c>
      <c r="R182" s="2722" t="str">
        <v>May 
2028</v>
      </c>
      <c r="S182" s="2722" t="str">
        <v>June 
2028</v>
      </c>
      <c r="T182" s="2722" t="str">
        <v>July 
2028</v>
      </c>
      <c r="U182" s="2722" t="str">
        <v>August 
2028</v>
      </c>
      <c r="V182" s="2722" t="str">
        <v>September 
2028</v>
      </c>
      <c r="W182" s="2722" t="str">
        <v>October 
2028</v>
      </c>
      <c r="X182" s="2722" t="str">
        <v>November 
2028</v>
      </c>
      <c r="Y182" s="2723" t="str">
        <v>December 
2028</v>
      </c>
    </row>
    <row r="183" spans="1:25">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5">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f t="array" aca="1" ref="Y184:Y195" ca="1">'DC Distr 3'!M184:M195</f>
        <v>0</v>
      </c>
    </row>
    <row r="185" spans="1:25">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6">
        <f t="array" aca="1" ref="X185:X195" ca="1">'DC Distr 3'!L185:L195</f>
        <v>0</v>
      </c>
      <c r="Y185" s="1934">
        <f ca="1"/>
        <v>0</v>
      </c>
    </row>
    <row r="186" spans="1:25">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6">
        <f t="array" aca="1" ref="W186:W195" ca="1">'DC Distr 3'!K186:K195</f>
        <v>0</v>
      </c>
      <c r="X186" s="1916">
        <f ca="1"/>
        <v>0</v>
      </c>
      <c r="Y186" s="1934">
        <f ca="1"/>
        <v>0</v>
      </c>
    </row>
    <row r="187" spans="1:25">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6">
        <f t="array" aca="1" ref="V187:V195" ca="1">'DC Distr 3'!J187:J195</f>
        <v>0</v>
      </c>
      <c r="W187" s="1916">
        <f ca="1"/>
        <v>0</v>
      </c>
      <c r="X187" s="1916">
        <f ca="1"/>
        <v>0</v>
      </c>
      <c r="Y187" s="1934">
        <f ca="1"/>
        <v>0</v>
      </c>
    </row>
    <row r="188" spans="1:25">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6">
        <f t="array" aca="1" ref="U188:U195" ca="1">'DC Distr 3'!I188:I195</f>
        <v>0</v>
      </c>
      <c r="V188" s="1916">
        <f ca="1"/>
        <v>0</v>
      </c>
      <c r="W188" s="1916">
        <f ca="1"/>
        <v>0</v>
      </c>
      <c r="X188" s="1916">
        <f ca="1"/>
        <v>0</v>
      </c>
      <c r="Y188" s="1934">
        <f ca="1"/>
        <v>0</v>
      </c>
    </row>
    <row r="189" spans="1:25">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6">
        <f t="array" aca="1" ref="T189:T195" ca="1">'DC Distr 3'!H189:H195</f>
        <v>0</v>
      </c>
      <c r="U189" s="1916">
        <f ca="1"/>
        <v>0</v>
      </c>
      <c r="V189" s="1916">
        <f ca="1"/>
        <v>0</v>
      </c>
      <c r="W189" s="1916">
        <f ca="1"/>
        <v>0</v>
      </c>
      <c r="X189" s="1916">
        <f ca="1"/>
        <v>0</v>
      </c>
      <c r="Y189" s="1934">
        <f ca="1"/>
        <v>0</v>
      </c>
    </row>
    <row r="190" spans="1:25">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0">
        <f t="array" aca="1" ref="S190:S195" ca="1">'DC Distr 3'!G190:G195</f>
        <v>0</v>
      </c>
      <c r="T190" s="1920">
        <f ca="1"/>
        <v>0</v>
      </c>
      <c r="U190" s="1920">
        <f ca="1"/>
        <v>0</v>
      </c>
      <c r="V190" s="1920">
        <f ca="1"/>
        <v>0</v>
      </c>
      <c r="W190" s="1920">
        <f ca="1"/>
        <v>0</v>
      </c>
      <c r="X190" s="1920">
        <f ca="1"/>
        <v>0</v>
      </c>
      <c r="Y190" s="1937">
        <f ca="1"/>
        <v>0</v>
      </c>
    </row>
    <row r="191" spans="1:25">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0">
        <f t="array" aca="1" ref="R191:R195" ca="1">'DC Distr 3'!F191:F195</f>
        <v>0</v>
      </c>
      <c r="S191" s="1920">
        <f ca="1"/>
        <v>0</v>
      </c>
      <c r="T191" s="1920">
        <f ca="1"/>
        <v>0</v>
      </c>
      <c r="U191" s="1920">
        <f ca="1"/>
        <v>0</v>
      </c>
      <c r="V191" s="1920">
        <f ca="1"/>
        <v>0</v>
      </c>
      <c r="W191" s="1920">
        <f ca="1"/>
        <v>0</v>
      </c>
      <c r="X191" s="1920">
        <f ca="1"/>
        <v>0</v>
      </c>
      <c r="Y191" s="1937">
        <f ca="1"/>
        <v>0</v>
      </c>
    </row>
    <row r="192" spans="1:25">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0">
        <f t="array" aca="1" ref="Q192:Q195" ca="1">'DC Distr 3'!E192:E195</f>
        <v>0</v>
      </c>
      <c r="R192" s="1920">
        <f ca="1"/>
        <v>0</v>
      </c>
      <c r="S192" s="1920">
        <f ca="1"/>
        <v>0</v>
      </c>
      <c r="T192" s="1920">
        <f ca="1"/>
        <v>0</v>
      </c>
      <c r="U192" s="1920">
        <f ca="1"/>
        <v>0</v>
      </c>
      <c r="V192" s="1920">
        <f ca="1"/>
        <v>0</v>
      </c>
      <c r="W192" s="1920">
        <f ca="1"/>
        <v>0</v>
      </c>
      <c r="X192" s="1920">
        <f ca="1"/>
        <v>0</v>
      </c>
      <c r="Y192" s="1937">
        <f ca="1"/>
        <v>0</v>
      </c>
    </row>
    <row r="193" spans="1:25">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0">
        <f t="array" aca="1" ref="P193:P195" ca="1">'DC Distr 3'!D193:D195</f>
        <v>0</v>
      </c>
      <c r="Q193" s="1920">
        <f ca="1"/>
        <v>0</v>
      </c>
      <c r="R193" s="1920">
        <f ca="1"/>
        <v>0</v>
      </c>
      <c r="S193" s="1920">
        <f ca="1"/>
        <v>0</v>
      </c>
      <c r="T193" s="1920">
        <f ca="1"/>
        <v>0</v>
      </c>
      <c r="U193" s="1920">
        <f ca="1"/>
        <v>0</v>
      </c>
      <c r="V193" s="1920">
        <f ca="1"/>
        <v>0</v>
      </c>
      <c r="W193" s="1920">
        <f ca="1"/>
        <v>0</v>
      </c>
      <c r="X193" s="1920">
        <f ca="1"/>
        <v>0</v>
      </c>
      <c r="Y193" s="1937">
        <f ca="1"/>
        <v>0</v>
      </c>
    </row>
    <row r="194" spans="1:25">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0">
        <f ca="1">'DC Distr 3'!C194</f>
        <v>0</v>
      </c>
      <c r="P194" s="1920">
        <f ca="1"/>
        <v>0</v>
      </c>
      <c r="Q194" s="1920">
        <f ca="1"/>
        <v>0</v>
      </c>
      <c r="R194" s="1920">
        <f ca="1"/>
        <v>0</v>
      </c>
      <c r="S194" s="1920">
        <f ca="1"/>
        <v>0</v>
      </c>
      <c r="T194" s="1920">
        <f ca="1"/>
        <v>0</v>
      </c>
      <c r="U194" s="1920">
        <f ca="1"/>
        <v>0</v>
      </c>
      <c r="V194" s="1920">
        <f ca="1"/>
        <v>0</v>
      </c>
      <c r="W194" s="1920">
        <f ca="1"/>
        <v>0</v>
      </c>
      <c r="X194" s="1920">
        <f ca="1"/>
        <v>0</v>
      </c>
      <c r="Y194" s="1937">
        <f ca="1"/>
        <v>0</v>
      </c>
    </row>
    <row r="195" spans="1:25"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f ca="1">'DC Distr 3'!B195</f>
        <v>0</v>
      </c>
      <c r="O195" s="1920">
        <f ca="1">'DC Distr 3'!C195</f>
        <v>0</v>
      </c>
      <c r="P195" s="1920">
        <f ca="1"/>
        <v>0</v>
      </c>
      <c r="Q195" s="1920">
        <f ca="1"/>
        <v>0</v>
      </c>
      <c r="R195" s="1920">
        <f ca="1"/>
        <v>0</v>
      </c>
      <c r="S195" s="1920">
        <f ca="1"/>
        <v>0</v>
      </c>
      <c r="T195" s="1920">
        <f ca="1"/>
        <v>0</v>
      </c>
      <c r="U195" s="1920">
        <f ca="1"/>
        <v>0</v>
      </c>
      <c r="V195" s="1920">
        <f ca="1"/>
        <v>0</v>
      </c>
      <c r="W195" s="1920">
        <f ca="1"/>
        <v>0</v>
      </c>
      <c r="X195" s="1920">
        <f ca="1"/>
        <v>0</v>
      </c>
      <c r="Y195" s="1937">
        <f ca="1"/>
        <v>0</v>
      </c>
    </row>
    <row r="196" spans="1:25" ht="13.5"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5">
        <f t="shared" ca="1" si="14"/>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5" ht="18.75" thickBot="1">
      <c r="A199" s="1921" t="str">
        <f>'DC Distr 0'!A199</f>
        <v xml:space="preserve">Monthly Purchases / Production costs for </v>
      </c>
      <c r="I199" s="1921" t="str">
        <f>I$18</f>
        <v>VAT NOT included</v>
      </c>
      <c r="K199" s="1932">
        <f>Parameters!$F$29</f>
        <v>0.21</v>
      </c>
    </row>
    <row r="200" spans="1:25" ht="33" customHeight="1" thickBot="1">
      <c r="A200" s="441" t="str">
        <f t="array" ref="A200:A213">A$110:A$123</f>
        <v>Months before sale</v>
      </c>
      <c r="B200" s="1938" t="str">
        <f t="array" ref="B200:Y200">B$71:Y$71</f>
        <v>January
2027</v>
      </c>
      <c r="C200" s="1938" t="str">
        <v>February
2027</v>
      </c>
      <c r="D200" s="1938" t="str">
        <v>March
2027</v>
      </c>
      <c r="E200" s="1938" t="str">
        <v>April
2027</v>
      </c>
      <c r="F200" s="1938" t="str">
        <v>May
2027</v>
      </c>
      <c r="G200" s="1938" t="str">
        <v>June
2027</v>
      </c>
      <c r="H200" s="1938" t="str">
        <v>July
2027</v>
      </c>
      <c r="I200" s="1938" t="str">
        <v>August
2027</v>
      </c>
      <c r="J200" s="1938" t="str">
        <v>September
2027</v>
      </c>
      <c r="K200" s="1938" t="str">
        <v>October
2027</v>
      </c>
      <c r="L200" s="1938" t="str">
        <v>November
2027</v>
      </c>
      <c r="M200" s="1938" t="str">
        <v>December
2027</v>
      </c>
      <c r="N200" s="2721" t="str">
        <v>January 
2028</v>
      </c>
      <c r="O200" s="2722" t="str">
        <v>February 
2028</v>
      </c>
      <c r="P200" s="2722" t="str">
        <v>March 
2028</v>
      </c>
      <c r="Q200" s="2722" t="str">
        <v>April 
2028</v>
      </c>
      <c r="R200" s="2722" t="str">
        <v>May 
2028</v>
      </c>
      <c r="S200" s="2722" t="str">
        <v>June 
2028</v>
      </c>
      <c r="T200" s="2722" t="str">
        <v>July 
2028</v>
      </c>
      <c r="U200" s="2722" t="str">
        <v>August 
2028</v>
      </c>
      <c r="V200" s="2722" t="str">
        <v>September 
2028</v>
      </c>
      <c r="W200" s="2722" t="str">
        <v>October 
2028</v>
      </c>
      <c r="X200" s="2722" t="str">
        <v>November 
2028</v>
      </c>
      <c r="Y200" s="2723" t="str">
        <v>December 
2028</v>
      </c>
    </row>
    <row r="201" spans="1:25">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5">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f t="array" aca="1" ref="Y202:Y213" ca="1">'DC Distr 3'!M202:M213</f>
        <v>0</v>
      </c>
    </row>
    <row r="203" spans="1:25">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6">
        <f t="array" aca="1" ref="X203:X213" ca="1">'DC Distr 3'!L203:L213</f>
        <v>0</v>
      </c>
      <c r="Y203" s="1934">
        <f ca="1"/>
        <v>0</v>
      </c>
    </row>
    <row r="204" spans="1:25">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6">
        <f t="array" aca="1" ref="W204:W213" ca="1">'DC Distr 3'!K204:K213</f>
        <v>0</v>
      </c>
      <c r="X204" s="1916">
        <f ca="1"/>
        <v>0</v>
      </c>
      <c r="Y204" s="1934">
        <f ca="1"/>
        <v>0</v>
      </c>
    </row>
    <row r="205" spans="1:25">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6">
        <f t="array" aca="1" ref="V205:V213" ca="1">'DC Distr 3'!J205:J213</f>
        <v>0</v>
      </c>
      <c r="W205" s="1916">
        <f ca="1"/>
        <v>0</v>
      </c>
      <c r="X205" s="1916">
        <f ca="1"/>
        <v>0</v>
      </c>
      <c r="Y205" s="1934">
        <f ca="1"/>
        <v>0</v>
      </c>
    </row>
    <row r="206" spans="1:25">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6">
        <f t="array" aca="1" ref="U206:U213" ca="1">'DC Distr 3'!I206:I213</f>
        <v>0</v>
      </c>
      <c r="V206" s="1916">
        <f ca="1"/>
        <v>0</v>
      </c>
      <c r="W206" s="1916">
        <f ca="1"/>
        <v>0</v>
      </c>
      <c r="X206" s="1916">
        <f ca="1"/>
        <v>0</v>
      </c>
      <c r="Y206" s="1934">
        <f ca="1"/>
        <v>0</v>
      </c>
    </row>
    <row r="207" spans="1:25">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6">
        <f t="array" aca="1" ref="T207:T213" ca="1">'DC Distr 3'!H207:H213</f>
        <v>0</v>
      </c>
      <c r="U207" s="1916">
        <f ca="1"/>
        <v>0</v>
      </c>
      <c r="V207" s="1916">
        <f ca="1"/>
        <v>0</v>
      </c>
      <c r="W207" s="1916">
        <f ca="1"/>
        <v>0</v>
      </c>
      <c r="X207" s="1916">
        <f ca="1"/>
        <v>0</v>
      </c>
      <c r="Y207" s="1934">
        <f ca="1"/>
        <v>0</v>
      </c>
    </row>
    <row r="208" spans="1:25">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0">
        <f t="array" aca="1" ref="S208:S213" ca="1">'DC Distr 3'!G208:G213</f>
        <v>0</v>
      </c>
      <c r="T208" s="1920">
        <f ca="1"/>
        <v>0</v>
      </c>
      <c r="U208" s="1920">
        <f ca="1"/>
        <v>0</v>
      </c>
      <c r="V208" s="1920">
        <f ca="1"/>
        <v>0</v>
      </c>
      <c r="W208" s="1920">
        <f ca="1"/>
        <v>0</v>
      </c>
      <c r="X208" s="1920">
        <f ca="1"/>
        <v>0</v>
      </c>
      <c r="Y208" s="1937">
        <f ca="1"/>
        <v>0</v>
      </c>
    </row>
    <row r="209" spans="1:25">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0">
        <f t="array" aca="1" ref="R209:R213" ca="1">'DC Distr 3'!F209:F213</f>
        <v>0</v>
      </c>
      <c r="S209" s="1920">
        <f ca="1"/>
        <v>0</v>
      </c>
      <c r="T209" s="1920">
        <f ca="1"/>
        <v>0</v>
      </c>
      <c r="U209" s="1920">
        <f ca="1"/>
        <v>0</v>
      </c>
      <c r="V209" s="1920">
        <f ca="1"/>
        <v>0</v>
      </c>
      <c r="W209" s="1920">
        <f ca="1"/>
        <v>0</v>
      </c>
      <c r="X209" s="1920">
        <f ca="1"/>
        <v>0</v>
      </c>
      <c r="Y209" s="1937">
        <f ca="1"/>
        <v>0</v>
      </c>
    </row>
    <row r="210" spans="1:25">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0">
        <f t="array" aca="1" ref="Q210:Q213" ca="1">'DC Distr 3'!E210:E213</f>
        <v>0</v>
      </c>
      <c r="R210" s="1920">
        <f ca="1"/>
        <v>0</v>
      </c>
      <c r="S210" s="1920">
        <f ca="1"/>
        <v>0</v>
      </c>
      <c r="T210" s="1920">
        <f ca="1"/>
        <v>0</v>
      </c>
      <c r="U210" s="1920">
        <f ca="1"/>
        <v>0</v>
      </c>
      <c r="V210" s="1920">
        <f ca="1"/>
        <v>0</v>
      </c>
      <c r="W210" s="1920">
        <f ca="1"/>
        <v>0</v>
      </c>
      <c r="X210" s="1920">
        <f ca="1"/>
        <v>0</v>
      </c>
      <c r="Y210" s="1937">
        <f ca="1"/>
        <v>0</v>
      </c>
    </row>
    <row r="211" spans="1:25">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0">
        <f t="array" aca="1" ref="P211:P213" ca="1">'DC Distr 3'!D211:D213</f>
        <v>0</v>
      </c>
      <c r="Q211" s="1920">
        <f ca="1"/>
        <v>0</v>
      </c>
      <c r="R211" s="1920">
        <f ca="1"/>
        <v>0</v>
      </c>
      <c r="S211" s="1920">
        <f ca="1"/>
        <v>0</v>
      </c>
      <c r="T211" s="1920">
        <f ca="1"/>
        <v>0</v>
      </c>
      <c r="U211" s="1920">
        <f ca="1"/>
        <v>0</v>
      </c>
      <c r="V211" s="1920">
        <f ca="1"/>
        <v>0</v>
      </c>
      <c r="W211" s="1920">
        <f ca="1"/>
        <v>0</v>
      </c>
      <c r="X211" s="1920">
        <f ca="1"/>
        <v>0</v>
      </c>
      <c r="Y211" s="1937">
        <f ca="1"/>
        <v>0</v>
      </c>
    </row>
    <row r="212" spans="1:25">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0">
        <f ca="1">'DC Distr 3'!C212</f>
        <v>0</v>
      </c>
      <c r="P212" s="1920">
        <f ca="1"/>
        <v>0</v>
      </c>
      <c r="Q212" s="1920">
        <f ca="1"/>
        <v>0</v>
      </c>
      <c r="R212" s="1920">
        <f ca="1"/>
        <v>0</v>
      </c>
      <c r="S212" s="1920">
        <f ca="1"/>
        <v>0</v>
      </c>
      <c r="T212" s="1920">
        <f ca="1"/>
        <v>0</v>
      </c>
      <c r="U212" s="1920">
        <f ca="1"/>
        <v>0</v>
      </c>
      <c r="V212" s="1920">
        <f ca="1"/>
        <v>0</v>
      </c>
      <c r="W212" s="1920">
        <f ca="1"/>
        <v>0</v>
      </c>
      <c r="X212" s="1920">
        <f ca="1"/>
        <v>0</v>
      </c>
      <c r="Y212" s="1937">
        <f ca="1"/>
        <v>0</v>
      </c>
    </row>
    <row r="213" spans="1:25"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f ca="1">'DC Distr 3'!B213</f>
        <v>0</v>
      </c>
      <c r="O213" s="1920">
        <f ca="1">'DC Distr 3'!C213</f>
        <v>0</v>
      </c>
      <c r="P213" s="1920">
        <f ca="1"/>
        <v>0</v>
      </c>
      <c r="Q213" s="1920">
        <f ca="1"/>
        <v>0</v>
      </c>
      <c r="R213" s="1920">
        <f ca="1"/>
        <v>0</v>
      </c>
      <c r="S213" s="1920">
        <f ca="1"/>
        <v>0</v>
      </c>
      <c r="T213" s="1920">
        <f ca="1"/>
        <v>0</v>
      </c>
      <c r="U213" s="1920">
        <f ca="1"/>
        <v>0</v>
      </c>
      <c r="V213" s="1920">
        <f ca="1"/>
        <v>0</v>
      </c>
      <c r="W213" s="1920">
        <f ca="1"/>
        <v>0</v>
      </c>
      <c r="X213" s="1920">
        <f ca="1"/>
        <v>0</v>
      </c>
      <c r="Y213" s="1937">
        <f ca="1"/>
        <v>0</v>
      </c>
    </row>
    <row r="214" spans="1:25" ht="13.5"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5">
        <f t="shared" ca="1" si="15"/>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5" ht="18.75" thickBot="1">
      <c r="A217" s="1921" t="str">
        <f>'DC Distr 0'!A217</f>
        <v xml:space="preserve">Monthly Purchases / Production costs for </v>
      </c>
      <c r="I217" s="1921" t="str">
        <f>I$18</f>
        <v>VAT NOT included</v>
      </c>
      <c r="K217" s="1932">
        <f>Parameters!$F$30</f>
        <v>0.21</v>
      </c>
    </row>
    <row r="218" spans="1:25" ht="33" customHeight="1" thickBot="1">
      <c r="A218" s="441" t="str">
        <f t="array" ref="A218:A231">A$110:A$123</f>
        <v>Months before sale</v>
      </c>
      <c r="B218" s="1938" t="str">
        <f t="array" ref="B218:Y218">B$71:Y$71</f>
        <v>January
2027</v>
      </c>
      <c r="C218" s="1938" t="str">
        <v>February
2027</v>
      </c>
      <c r="D218" s="1938" t="str">
        <v>March
2027</v>
      </c>
      <c r="E218" s="1938" t="str">
        <v>April
2027</v>
      </c>
      <c r="F218" s="1938" t="str">
        <v>May
2027</v>
      </c>
      <c r="G218" s="1938" t="str">
        <v>June
2027</v>
      </c>
      <c r="H218" s="1938" t="str">
        <v>July
2027</v>
      </c>
      <c r="I218" s="1938" t="str">
        <v>August
2027</v>
      </c>
      <c r="J218" s="1938" t="str">
        <v>September
2027</v>
      </c>
      <c r="K218" s="1938" t="str">
        <v>October
2027</v>
      </c>
      <c r="L218" s="1938" t="str">
        <v>November
2027</v>
      </c>
      <c r="M218" s="1938" t="str">
        <v>December
2027</v>
      </c>
      <c r="N218" s="2721" t="str">
        <v>January 
2028</v>
      </c>
      <c r="O218" s="2722" t="str">
        <v>February 
2028</v>
      </c>
      <c r="P218" s="2722" t="str">
        <v>March 
2028</v>
      </c>
      <c r="Q218" s="2722" t="str">
        <v>April 
2028</v>
      </c>
      <c r="R218" s="2722" t="str">
        <v>May 
2028</v>
      </c>
      <c r="S218" s="2722" t="str">
        <v>June 
2028</v>
      </c>
      <c r="T218" s="2722" t="str">
        <v>July 
2028</v>
      </c>
      <c r="U218" s="2722" t="str">
        <v>August 
2028</v>
      </c>
      <c r="V218" s="2722" t="str">
        <v>September 
2028</v>
      </c>
      <c r="W218" s="2722" t="str">
        <v>October 
2028</v>
      </c>
      <c r="X218" s="2722" t="str">
        <v>November 
2028</v>
      </c>
      <c r="Y218" s="2723" t="str">
        <v>December 
2028</v>
      </c>
    </row>
    <row r="219" spans="1:25">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5">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f t="array" aca="1" ref="Y220:Y231" ca="1">'DC Distr 3'!M220:M231</f>
        <v>0</v>
      </c>
    </row>
    <row r="221" spans="1:25">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6">
        <f t="array" aca="1" ref="X221:X231" ca="1">'DC Distr 3'!L221:L231</f>
        <v>0</v>
      </c>
      <c r="Y221" s="1934">
        <f ca="1"/>
        <v>0</v>
      </c>
    </row>
    <row r="222" spans="1:25">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6">
        <f t="array" aca="1" ref="W222:W231" ca="1">'DC Distr 3'!K222:K231</f>
        <v>0</v>
      </c>
      <c r="X222" s="1916">
        <f ca="1"/>
        <v>0</v>
      </c>
      <c r="Y222" s="1934">
        <f ca="1"/>
        <v>0</v>
      </c>
    </row>
    <row r="223" spans="1:25">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6">
        <f t="array" aca="1" ref="V223:V231" ca="1">'DC Distr 3'!J223:J231</f>
        <v>0</v>
      </c>
      <c r="W223" s="1916">
        <f ca="1"/>
        <v>0</v>
      </c>
      <c r="X223" s="1916">
        <f ca="1"/>
        <v>0</v>
      </c>
      <c r="Y223" s="1934">
        <f ca="1"/>
        <v>0</v>
      </c>
    </row>
    <row r="224" spans="1:25">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6">
        <f t="array" aca="1" ref="U224:U231" ca="1">'DC Distr 3'!I224:I231</f>
        <v>0</v>
      </c>
      <c r="V224" s="1916">
        <f ca="1"/>
        <v>0</v>
      </c>
      <c r="W224" s="1916">
        <f ca="1"/>
        <v>0</v>
      </c>
      <c r="X224" s="1916">
        <f ca="1"/>
        <v>0</v>
      </c>
      <c r="Y224" s="1934">
        <f ca="1"/>
        <v>0</v>
      </c>
    </row>
    <row r="225" spans="1:25">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6">
        <f t="array" aca="1" ref="T225:T231" ca="1">'DC Distr 3'!H225:H231</f>
        <v>0</v>
      </c>
      <c r="U225" s="1916">
        <f ca="1"/>
        <v>0</v>
      </c>
      <c r="V225" s="1916">
        <f ca="1"/>
        <v>0</v>
      </c>
      <c r="W225" s="1916">
        <f ca="1"/>
        <v>0</v>
      </c>
      <c r="X225" s="1916">
        <f ca="1"/>
        <v>0</v>
      </c>
      <c r="Y225" s="1934">
        <f ca="1"/>
        <v>0</v>
      </c>
    </row>
    <row r="226" spans="1:25">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0">
        <f t="array" aca="1" ref="S226:S231" ca="1">'DC Distr 3'!G226:G231</f>
        <v>0</v>
      </c>
      <c r="T226" s="1920">
        <f ca="1"/>
        <v>0</v>
      </c>
      <c r="U226" s="1920">
        <f ca="1"/>
        <v>0</v>
      </c>
      <c r="V226" s="1920">
        <f ca="1"/>
        <v>0</v>
      </c>
      <c r="W226" s="1920">
        <f ca="1"/>
        <v>0</v>
      </c>
      <c r="X226" s="1920">
        <f ca="1"/>
        <v>0</v>
      </c>
      <c r="Y226" s="1937">
        <f ca="1"/>
        <v>0</v>
      </c>
    </row>
    <row r="227" spans="1:25">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0">
        <f t="array" aca="1" ref="R227:R231" ca="1">'DC Distr 3'!F227:F231</f>
        <v>0</v>
      </c>
      <c r="S227" s="1920">
        <f ca="1"/>
        <v>0</v>
      </c>
      <c r="T227" s="1920">
        <f ca="1"/>
        <v>0</v>
      </c>
      <c r="U227" s="1920">
        <f ca="1"/>
        <v>0</v>
      </c>
      <c r="V227" s="1920">
        <f ca="1"/>
        <v>0</v>
      </c>
      <c r="W227" s="1920">
        <f ca="1"/>
        <v>0</v>
      </c>
      <c r="X227" s="1920">
        <f ca="1"/>
        <v>0</v>
      </c>
      <c r="Y227" s="1937">
        <f ca="1"/>
        <v>0</v>
      </c>
    </row>
    <row r="228" spans="1:25">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0">
        <f t="array" aca="1" ref="Q228:Q231" ca="1">'DC Distr 3'!E228:E231</f>
        <v>0</v>
      </c>
      <c r="R228" s="1920">
        <f ca="1"/>
        <v>0</v>
      </c>
      <c r="S228" s="1920">
        <f ca="1"/>
        <v>0</v>
      </c>
      <c r="T228" s="1920">
        <f ca="1"/>
        <v>0</v>
      </c>
      <c r="U228" s="1920">
        <f ca="1"/>
        <v>0</v>
      </c>
      <c r="V228" s="1920">
        <f ca="1"/>
        <v>0</v>
      </c>
      <c r="W228" s="1920">
        <f ca="1"/>
        <v>0</v>
      </c>
      <c r="X228" s="1920">
        <f ca="1"/>
        <v>0</v>
      </c>
      <c r="Y228" s="1937">
        <f ca="1"/>
        <v>0</v>
      </c>
    </row>
    <row r="229" spans="1:25">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0">
        <f t="array" aca="1" ref="P229:P231" ca="1">'DC Distr 3'!D229:D231</f>
        <v>0</v>
      </c>
      <c r="Q229" s="1920">
        <f ca="1"/>
        <v>0</v>
      </c>
      <c r="R229" s="1920">
        <f ca="1"/>
        <v>0</v>
      </c>
      <c r="S229" s="1920">
        <f ca="1"/>
        <v>0</v>
      </c>
      <c r="T229" s="1920">
        <f ca="1"/>
        <v>0</v>
      </c>
      <c r="U229" s="1920">
        <f ca="1"/>
        <v>0</v>
      </c>
      <c r="V229" s="1920">
        <f ca="1"/>
        <v>0</v>
      </c>
      <c r="W229" s="1920">
        <f ca="1"/>
        <v>0</v>
      </c>
      <c r="X229" s="1920">
        <f ca="1"/>
        <v>0</v>
      </c>
      <c r="Y229" s="1937">
        <f ca="1"/>
        <v>0</v>
      </c>
    </row>
    <row r="230" spans="1:25">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0">
        <f ca="1">'DC Distr 3'!C230</f>
        <v>0</v>
      </c>
      <c r="P230" s="1920">
        <f ca="1"/>
        <v>0</v>
      </c>
      <c r="Q230" s="1920">
        <f ca="1"/>
        <v>0</v>
      </c>
      <c r="R230" s="1920">
        <f ca="1"/>
        <v>0</v>
      </c>
      <c r="S230" s="1920">
        <f ca="1"/>
        <v>0</v>
      </c>
      <c r="T230" s="1920">
        <f ca="1"/>
        <v>0</v>
      </c>
      <c r="U230" s="1920">
        <f ca="1"/>
        <v>0</v>
      </c>
      <c r="V230" s="1920">
        <f ca="1"/>
        <v>0</v>
      </c>
      <c r="W230" s="1920">
        <f ca="1"/>
        <v>0</v>
      </c>
      <c r="X230" s="1920">
        <f ca="1"/>
        <v>0</v>
      </c>
      <c r="Y230" s="1937">
        <f ca="1"/>
        <v>0</v>
      </c>
    </row>
    <row r="231" spans="1:25"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f ca="1">'DC Distr 3'!B231</f>
        <v>0</v>
      </c>
      <c r="O231" s="1920">
        <f ca="1">'DC Distr 3'!C231</f>
        <v>0</v>
      </c>
      <c r="P231" s="1920">
        <f ca="1"/>
        <v>0</v>
      </c>
      <c r="Q231" s="1920">
        <f ca="1"/>
        <v>0</v>
      </c>
      <c r="R231" s="1920">
        <f ca="1"/>
        <v>0</v>
      </c>
      <c r="S231" s="1920">
        <f ca="1"/>
        <v>0</v>
      </c>
      <c r="T231" s="1920">
        <f ca="1"/>
        <v>0</v>
      </c>
      <c r="U231" s="1920">
        <f ca="1"/>
        <v>0</v>
      </c>
      <c r="V231" s="1920">
        <f ca="1"/>
        <v>0</v>
      </c>
      <c r="W231" s="1920">
        <f ca="1"/>
        <v>0</v>
      </c>
      <c r="X231" s="1920">
        <f ca="1"/>
        <v>0</v>
      </c>
      <c r="Y231" s="1937">
        <f ca="1"/>
        <v>0</v>
      </c>
    </row>
    <row r="232" spans="1:25" ht="13.5"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5">
        <f t="shared" ca="1" si="16"/>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5" ht="18.75" thickBot="1">
      <c r="A235" s="1921" t="str">
        <f>'DC Distr 0'!A235</f>
        <v xml:space="preserve">Monthly Purchases / Production costs for </v>
      </c>
      <c r="I235" s="1921" t="str">
        <f>I$18</f>
        <v>VAT NOT included</v>
      </c>
      <c r="K235" s="1932">
        <f>Parameters!$F$31</f>
        <v>0.21</v>
      </c>
    </row>
    <row r="236" spans="1:25" ht="30" customHeight="1" thickBot="1">
      <c r="A236" s="441" t="str">
        <f t="array" ref="A236:A249">A$110:A$123</f>
        <v>Months before sale</v>
      </c>
      <c r="B236" s="1938" t="str">
        <f t="array" ref="B236:Y236">B$71:Y$71</f>
        <v>January
2027</v>
      </c>
      <c r="C236" s="1938" t="str">
        <v>February
2027</v>
      </c>
      <c r="D236" s="1938" t="str">
        <v>March
2027</v>
      </c>
      <c r="E236" s="1938" t="str">
        <v>April
2027</v>
      </c>
      <c r="F236" s="1938" t="str">
        <v>May
2027</v>
      </c>
      <c r="G236" s="1938" t="str">
        <v>June
2027</v>
      </c>
      <c r="H236" s="1938" t="str">
        <v>July
2027</v>
      </c>
      <c r="I236" s="1938" t="str">
        <v>August
2027</v>
      </c>
      <c r="J236" s="1938" t="str">
        <v>September
2027</v>
      </c>
      <c r="K236" s="1938" t="str">
        <v>October
2027</v>
      </c>
      <c r="L236" s="1938" t="str">
        <v>November
2027</v>
      </c>
      <c r="M236" s="1938" t="str">
        <v>December
2027</v>
      </c>
      <c r="N236" s="2721" t="str">
        <v>January 
2028</v>
      </c>
      <c r="O236" s="2722" t="str">
        <v>February 
2028</v>
      </c>
      <c r="P236" s="2722" t="str">
        <v>March 
2028</v>
      </c>
      <c r="Q236" s="2722" t="str">
        <v>April 
2028</v>
      </c>
      <c r="R236" s="2722" t="str">
        <v>May 
2028</v>
      </c>
      <c r="S236" s="2722" t="str">
        <v>June 
2028</v>
      </c>
      <c r="T236" s="2722" t="str">
        <v>July 
2028</v>
      </c>
      <c r="U236" s="2722" t="str">
        <v>August 
2028</v>
      </c>
      <c r="V236" s="2722" t="str">
        <v>September 
2028</v>
      </c>
      <c r="W236" s="2722" t="str">
        <v>October 
2028</v>
      </c>
      <c r="X236" s="2722" t="str">
        <v>November 
2028</v>
      </c>
      <c r="Y236" s="2723" t="str">
        <v>December 
2028</v>
      </c>
    </row>
    <row r="237" spans="1:25">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5">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f t="array" aca="1" ref="Y238:Y249" ca="1">'DC Distr 3'!M238:M249</f>
        <v>0</v>
      </c>
    </row>
    <row r="239" spans="1:25">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6">
        <f t="array" aca="1" ref="X239:X249" ca="1">'DC Distr 3'!L239:L249</f>
        <v>0</v>
      </c>
      <c r="Y239" s="1934">
        <f ca="1"/>
        <v>0</v>
      </c>
    </row>
    <row r="240" spans="1:25">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6">
        <f t="array" aca="1" ref="W240:W249" ca="1">'DC Distr 3'!K240:K249</f>
        <v>0</v>
      </c>
      <c r="X240" s="1916">
        <f ca="1"/>
        <v>0</v>
      </c>
      <c r="Y240" s="1934">
        <f ca="1"/>
        <v>0</v>
      </c>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6">
        <f t="array" aca="1" ref="V241:V249" ca="1">'DC Distr 3'!J241:J249</f>
        <v>0</v>
      </c>
      <c r="W241" s="1916">
        <f ca="1"/>
        <v>0</v>
      </c>
      <c r="X241" s="1916">
        <f ca="1"/>
        <v>0</v>
      </c>
      <c r="Y241" s="1934">
        <f ca="1"/>
        <v>0</v>
      </c>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6">
        <f t="array" aca="1" ref="U242:U249" ca="1">'DC Distr 3'!I242:I249</f>
        <v>0</v>
      </c>
      <c r="V242" s="1916">
        <f ca="1"/>
        <v>0</v>
      </c>
      <c r="W242" s="1916">
        <f ca="1"/>
        <v>0</v>
      </c>
      <c r="X242" s="1916">
        <f ca="1"/>
        <v>0</v>
      </c>
      <c r="Y242" s="1934">
        <f ca="1"/>
        <v>0</v>
      </c>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6">
        <f t="array" aca="1" ref="T243:T249" ca="1">'DC Distr 3'!H243:H249</f>
        <v>0</v>
      </c>
      <c r="U243" s="1916">
        <f ca="1"/>
        <v>0</v>
      </c>
      <c r="V243" s="1916">
        <f ca="1"/>
        <v>0</v>
      </c>
      <c r="W243" s="1916">
        <f ca="1"/>
        <v>0</v>
      </c>
      <c r="X243" s="1916">
        <f ca="1"/>
        <v>0</v>
      </c>
      <c r="Y243" s="1934">
        <f ca="1"/>
        <v>0</v>
      </c>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0">
        <f t="array" aca="1" ref="S244:S249" ca="1">'DC Distr 3'!G244:G249</f>
        <v>0</v>
      </c>
      <c r="T244" s="1920">
        <f ca="1"/>
        <v>0</v>
      </c>
      <c r="U244" s="1920">
        <f ca="1"/>
        <v>0</v>
      </c>
      <c r="V244" s="1920">
        <f ca="1"/>
        <v>0</v>
      </c>
      <c r="W244" s="1920">
        <f ca="1"/>
        <v>0</v>
      </c>
      <c r="X244" s="1920">
        <f ca="1"/>
        <v>0</v>
      </c>
      <c r="Y244" s="1937">
        <f ca="1"/>
        <v>0</v>
      </c>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0">
        <f t="array" aca="1" ref="R245:R249" ca="1">'DC Distr 3'!F245:F249</f>
        <v>0</v>
      </c>
      <c r="S245" s="1920">
        <f ca="1"/>
        <v>0</v>
      </c>
      <c r="T245" s="1920">
        <f ca="1"/>
        <v>0</v>
      </c>
      <c r="U245" s="1920">
        <f ca="1"/>
        <v>0</v>
      </c>
      <c r="V245" s="1920">
        <f ca="1"/>
        <v>0</v>
      </c>
      <c r="W245" s="1920">
        <f ca="1"/>
        <v>0</v>
      </c>
      <c r="X245" s="1920">
        <f ca="1"/>
        <v>0</v>
      </c>
      <c r="Y245" s="1937">
        <f ca="1"/>
        <v>0</v>
      </c>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0">
        <f t="array" aca="1" ref="Q246:Q249" ca="1">'DC Distr 3'!E246:E249</f>
        <v>0</v>
      </c>
      <c r="R246" s="1920">
        <f ca="1"/>
        <v>0</v>
      </c>
      <c r="S246" s="1920">
        <f ca="1"/>
        <v>0</v>
      </c>
      <c r="T246" s="1920">
        <f ca="1"/>
        <v>0</v>
      </c>
      <c r="U246" s="1920">
        <f ca="1"/>
        <v>0</v>
      </c>
      <c r="V246" s="1920">
        <f ca="1"/>
        <v>0</v>
      </c>
      <c r="W246" s="1920">
        <f ca="1"/>
        <v>0</v>
      </c>
      <c r="X246" s="1920">
        <f ca="1"/>
        <v>0</v>
      </c>
      <c r="Y246" s="1937">
        <f ca="1"/>
        <v>0</v>
      </c>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0">
        <f t="array" aca="1" ref="P247:P249" ca="1">'DC Distr 3'!D247:D249</f>
        <v>0</v>
      </c>
      <c r="Q247" s="1920">
        <f ca="1"/>
        <v>0</v>
      </c>
      <c r="R247" s="1920">
        <f ca="1"/>
        <v>0</v>
      </c>
      <c r="S247" s="1920">
        <f ca="1"/>
        <v>0</v>
      </c>
      <c r="T247" s="1920">
        <f ca="1"/>
        <v>0</v>
      </c>
      <c r="U247" s="1920">
        <f ca="1"/>
        <v>0</v>
      </c>
      <c r="V247" s="1920">
        <f ca="1"/>
        <v>0</v>
      </c>
      <c r="W247" s="1920">
        <f ca="1"/>
        <v>0</v>
      </c>
      <c r="X247" s="1920">
        <f ca="1"/>
        <v>0</v>
      </c>
      <c r="Y247" s="1937">
        <f ca="1"/>
        <v>0</v>
      </c>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0">
        <f ca="1">'DC Distr 3'!C248</f>
        <v>0</v>
      </c>
      <c r="P248" s="1920">
        <f ca="1"/>
        <v>0</v>
      </c>
      <c r="Q248" s="1920">
        <f ca="1"/>
        <v>0</v>
      </c>
      <c r="R248" s="1920">
        <f ca="1"/>
        <v>0</v>
      </c>
      <c r="S248" s="1920">
        <f ca="1"/>
        <v>0</v>
      </c>
      <c r="T248" s="1920">
        <f ca="1"/>
        <v>0</v>
      </c>
      <c r="U248" s="1920">
        <f ca="1"/>
        <v>0</v>
      </c>
      <c r="V248" s="1920">
        <f ca="1"/>
        <v>0</v>
      </c>
      <c r="W248" s="1920">
        <f ca="1"/>
        <v>0</v>
      </c>
      <c r="X248" s="1920">
        <f ca="1"/>
        <v>0</v>
      </c>
      <c r="Y248" s="1937">
        <f ca="1"/>
        <v>0</v>
      </c>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f ca="1">'DC Distr 3'!B249</f>
        <v>0</v>
      </c>
      <c r="O249" s="1920">
        <f ca="1">'DC Distr 3'!C249</f>
        <v>0</v>
      </c>
      <c r="P249" s="1920">
        <f ca="1"/>
        <v>0</v>
      </c>
      <c r="Q249" s="1920">
        <f ca="1"/>
        <v>0</v>
      </c>
      <c r="R249" s="1920">
        <f ca="1"/>
        <v>0</v>
      </c>
      <c r="S249" s="1920">
        <f ca="1"/>
        <v>0</v>
      </c>
      <c r="T249" s="1920">
        <f ca="1"/>
        <v>0</v>
      </c>
      <c r="U249" s="1920">
        <f ca="1"/>
        <v>0</v>
      </c>
      <c r="V249" s="1920">
        <f ca="1"/>
        <v>0</v>
      </c>
      <c r="W249" s="1920">
        <f ca="1"/>
        <v>0</v>
      </c>
      <c r="X249" s="1920">
        <f ca="1"/>
        <v>0</v>
      </c>
      <c r="Y249" s="1937">
        <f ca="1"/>
        <v>0</v>
      </c>
    </row>
    <row r="250" spans="1:25" ht="13.5"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5">
        <f t="shared" ca="1" si="17"/>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65">
    <tabColor indexed="10"/>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6384" width="11" style="61"/>
  </cols>
  <sheetData>
    <row r="1" spans="1:15" ht="22.5">
      <c r="A1" s="66" t="s">
        <v>609</v>
      </c>
      <c r="K1" s="2398" t="str">
        <f>Parameters!E$77</f>
        <v>Year 3:   2029</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1"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5" ht="15.75" customHeight="1">
      <c r="A8" s="2399" t="str">
        <f t="array" ref="A8:A15">productos</f>
        <v>product 1</v>
      </c>
      <c r="B8" s="569">
        <f t="array" aca="1" ref="B8:M15" ca="1">'Sales Forecast 3'!B5:M12</f>
        <v>1103</v>
      </c>
      <c r="C8" s="570">
        <f ca="1"/>
        <v>1103</v>
      </c>
      <c r="D8" s="570">
        <f ca="1"/>
        <v>1103</v>
      </c>
      <c r="E8" s="570">
        <f ca="1"/>
        <v>1103</v>
      </c>
      <c r="F8" s="570">
        <f ca="1"/>
        <v>1103</v>
      </c>
      <c r="G8" s="570">
        <f ca="1"/>
        <v>1103</v>
      </c>
      <c r="H8" s="570">
        <f ca="1"/>
        <v>1103</v>
      </c>
      <c r="I8" s="570">
        <f ca="1"/>
        <v>1103</v>
      </c>
      <c r="J8" s="570">
        <f ca="1"/>
        <v>1103</v>
      </c>
      <c r="K8" s="570">
        <f ca="1"/>
        <v>1103</v>
      </c>
      <c r="L8" s="570">
        <f ca="1"/>
        <v>1103</v>
      </c>
      <c r="M8" s="592">
        <f ca="1"/>
        <v>1103</v>
      </c>
      <c r="N8" s="571">
        <f t="shared" ref="N8:N15" ca="1" si="0">SUM(B8:M8)</f>
        <v>13236</v>
      </c>
      <c r="O8" s="61"/>
    </row>
    <row r="9" spans="1:15"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1" t="str">
        <f>'DC Distr 0'!A18</f>
        <v>Production Costs (Direct) Forecasts for the units sold during the year</v>
      </c>
      <c r="G18" s="2716" t="str">
        <f>$K$1</f>
        <v>Year 3:   2029</v>
      </c>
      <c r="I18" s="1921"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399" t="str">
        <f t="array" ref="A20:A27">productos</f>
        <v>product 1</v>
      </c>
      <c r="B20" s="578">
        <f t="array" aca="1" ref="B20:M27" ca="1">B8:M15*'Prices - DC'!$H19:$H26</f>
        <v>120.52778810000001</v>
      </c>
      <c r="C20" s="579">
        <f ca="1"/>
        <v>120.52778810000001</v>
      </c>
      <c r="D20" s="579">
        <f ca="1"/>
        <v>120.52778810000001</v>
      </c>
      <c r="E20" s="579">
        <f ca="1"/>
        <v>120.52778810000001</v>
      </c>
      <c r="F20" s="579">
        <f ca="1"/>
        <v>120.52778810000001</v>
      </c>
      <c r="G20" s="579">
        <f ca="1"/>
        <v>120.52778810000001</v>
      </c>
      <c r="H20" s="579">
        <f ca="1"/>
        <v>120.52778810000001</v>
      </c>
      <c r="I20" s="579">
        <f ca="1"/>
        <v>120.52778810000001</v>
      </c>
      <c r="J20" s="579">
        <f ca="1"/>
        <v>120.52778810000001</v>
      </c>
      <c r="K20" s="579">
        <f ca="1"/>
        <v>120.52778810000001</v>
      </c>
      <c r="L20" s="579">
        <f ca="1"/>
        <v>120.52778810000001</v>
      </c>
      <c r="M20" s="589">
        <f ca="1"/>
        <v>120.52778810000001</v>
      </c>
      <c r="N20" s="571">
        <f t="shared" ref="N20:N39" ca="1" si="1">SUM(B20:M20)</f>
        <v>1446.3334571999997</v>
      </c>
      <c r="O20" s="61"/>
    </row>
    <row r="21" spans="1:15"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3" t="s">
        <v>577</v>
      </c>
      <c r="B28" s="586">
        <f t="shared" ref="B28:M28" ca="1" si="2">SUM(B20:B27)</f>
        <v>120.52778810000001</v>
      </c>
      <c r="C28" s="587">
        <f t="shared" ca="1" si="2"/>
        <v>120.52778810000001</v>
      </c>
      <c r="D28" s="587">
        <f t="shared" ca="1" si="2"/>
        <v>120.52778810000001</v>
      </c>
      <c r="E28" s="587">
        <f t="shared" ca="1" si="2"/>
        <v>120.52778810000001</v>
      </c>
      <c r="F28" s="587">
        <f t="shared" ca="1" si="2"/>
        <v>120.52778810000001</v>
      </c>
      <c r="G28" s="587">
        <f t="shared" ca="1" si="2"/>
        <v>120.52778810000001</v>
      </c>
      <c r="H28" s="587">
        <f t="shared" ca="1" si="2"/>
        <v>120.52778810000001</v>
      </c>
      <c r="I28" s="587">
        <f t="shared" ca="1" si="2"/>
        <v>120.52778810000001</v>
      </c>
      <c r="J28" s="587">
        <f t="shared" ca="1" si="2"/>
        <v>120.52778810000001</v>
      </c>
      <c r="K28" s="587">
        <f t="shared" ca="1" si="2"/>
        <v>120.52778810000001</v>
      </c>
      <c r="L28" s="587">
        <f t="shared" ca="1" si="2"/>
        <v>120.52778810000001</v>
      </c>
      <c r="M28" s="588">
        <f t="shared" ca="1" si="2"/>
        <v>120.52778810000001</v>
      </c>
      <c r="N28" s="585">
        <f t="shared" ca="1" si="1"/>
        <v>1446.3334571999997</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399" t="str">
        <f t="array" ref="A32:A39">productos</f>
        <v>product 1</v>
      </c>
      <c r="B32" s="578">
        <f t="array" aca="1" ref="B32:M39" ca="1">B20:M27*Parameters!$F24:$F31</f>
        <v>25.310835501</v>
      </c>
      <c r="C32" s="579">
        <f ca="1"/>
        <v>25.310835501</v>
      </c>
      <c r="D32" s="579">
        <f ca="1"/>
        <v>25.310835501</v>
      </c>
      <c r="E32" s="579">
        <f ca="1"/>
        <v>25.310835501</v>
      </c>
      <c r="F32" s="579">
        <f ca="1"/>
        <v>25.310835501</v>
      </c>
      <c r="G32" s="579">
        <f ca="1"/>
        <v>25.310835501</v>
      </c>
      <c r="H32" s="579">
        <f ca="1"/>
        <v>25.310835501</v>
      </c>
      <c r="I32" s="579">
        <f ca="1"/>
        <v>25.310835501</v>
      </c>
      <c r="J32" s="579">
        <f ca="1"/>
        <v>25.310835501</v>
      </c>
      <c r="K32" s="579">
        <f ca="1"/>
        <v>25.310835501</v>
      </c>
      <c r="L32" s="579">
        <f ca="1"/>
        <v>25.310835501</v>
      </c>
      <c r="M32" s="589">
        <f ca="1"/>
        <v>25.310835501</v>
      </c>
      <c r="N32" s="571">
        <f t="shared" ca="1" si="1"/>
        <v>303.73002601199994</v>
      </c>
      <c r="O32" s="61"/>
    </row>
    <row r="33" spans="1:15"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5"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5"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5"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5"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5"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5"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5" ht="15.75" customHeight="1" thickBot="1">
      <c r="A40" s="2403" t="str">
        <f>A$28</f>
        <v>Monthly Totals</v>
      </c>
      <c r="B40" s="586">
        <f t="shared" ref="B40:M40" ca="1" si="3">SUM(B32:B39)</f>
        <v>25.310835501</v>
      </c>
      <c r="C40" s="587">
        <f t="shared" ca="1" si="3"/>
        <v>25.310835501</v>
      </c>
      <c r="D40" s="587">
        <f t="shared" ca="1" si="3"/>
        <v>25.310835501</v>
      </c>
      <c r="E40" s="587">
        <f t="shared" ca="1" si="3"/>
        <v>25.310835501</v>
      </c>
      <c r="F40" s="587">
        <f t="shared" ca="1" si="3"/>
        <v>25.310835501</v>
      </c>
      <c r="G40" s="587">
        <f t="shared" ca="1" si="3"/>
        <v>25.310835501</v>
      </c>
      <c r="H40" s="587">
        <f t="shared" ca="1" si="3"/>
        <v>25.310835501</v>
      </c>
      <c r="I40" s="587">
        <f t="shared" ca="1" si="3"/>
        <v>25.310835501</v>
      </c>
      <c r="J40" s="587">
        <f t="shared" ca="1" si="3"/>
        <v>25.310835501</v>
      </c>
      <c r="K40" s="587">
        <f t="shared" ca="1" si="3"/>
        <v>25.310835501</v>
      </c>
      <c r="L40" s="587">
        <f t="shared" ca="1" si="3"/>
        <v>25.310835501</v>
      </c>
      <c r="M40" s="588">
        <f t="shared" ca="1" si="3"/>
        <v>25.310835501</v>
      </c>
      <c r="N40" s="585">
        <f ca="1">SUM(B40:M40)</f>
        <v>303.73002601199994</v>
      </c>
      <c r="O40" s="61"/>
    </row>
    <row r="41" spans="1:15" ht="15">
      <c r="A41" s="211"/>
    </row>
    <row r="42" spans="1:15" ht="15">
      <c r="A42" s="211"/>
    </row>
    <row r="43" spans="1:15" ht="15">
      <c r="A43" s="211"/>
    </row>
    <row r="44" spans="1:15" ht="18.75" thickBot="1">
      <c r="A44" s="1921" t="str">
        <f>'DC Distr 0'!A44</f>
        <v>Production Costs during the year</v>
      </c>
      <c r="G44" s="2717" t="str">
        <f>$K$1</f>
        <v>Year 3:   2029</v>
      </c>
      <c r="I44" s="1921"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row>
    <row r="46" spans="1:15" ht="15.75" customHeight="1">
      <c r="A46" s="2399" t="str">
        <f t="array" ref="A46:A53">productos</f>
        <v>product 1</v>
      </c>
      <c r="B46" s="578">
        <f t="array" aca="1" ref="B46:M46" ca="1">N124:Y124</f>
        <v>120.52778810000001</v>
      </c>
      <c r="C46" s="579">
        <f ca="1"/>
        <v>120.52778810000001</v>
      </c>
      <c r="D46" s="579">
        <f ca="1"/>
        <v>120.52778810000001</v>
      </c>
      <c r="E46" s="579">
        <f ca="1"/>
        <v>120.52778810000001</v>
      </c>
      <c r="F46" s="579">
        <f ca="1"/>
        <v>120.52778810000001</v>
      </c>
      <c r="G46" s="579">
        <f ca="1"/>
        <v>120.52778810000001</v>
      </c>
      <c r="H46" s="579">
        <f ca="1"/>
        <v>120.52778810000001</v>
      </c>
      <c r="I46" s="579">
        <f ca="1"/>
        <v>120.52778810000001</v>
      </c>
      <c r="J46" s="579">
        <f ca="1"/>
        <v>120.52778810000001</v>
      </c>
      <c r="K46" s="579">
        <f ca="1"/>
        <v>120.52778810000001</v>
      </c>
      <c r="L46" s="579">
        <f ca="1"/>
        <v>120.52778810000001</v>
      </c>
      <c r="M46" s="589">
        <f ca="1"/>
        <v>120.52778810000001</v>
      </c>
      <c r="N46" s="571">
        <f t="shared" ref="N46:N54" ca="1" si="4">SUM(B46:M46)</f>
        <v>1446.3334571999997</v>
      </c>
      <c r="O46" s="61"/>
    </row>
    <row r="47" spans="1:15" ht="15.75" customHeight="1">
      <c r="A47" s="2400"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5" ht="15.75" customHeight="1">
      <c r="A48" s="2400"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5" ht="15.75" customHeight="1">
      <c r="A49" s="2400"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5" ht="15.75" customHeight="1">
      <c r="A50" s="2400"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5" ht="15.75" customHeight="1">
      <c r="A51" s="2400"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5" ht="15.75" customHeight="1">
      <c r="A52" s="2400"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5" ht="15.75" customHeight="1" thickBot="1">
      <c r="A53" s="2402"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5" ht="15.75" customHeight="1" thickBot="1">
      <c r="A54" s="2403" t="s">
        <v>577</v>
      </c>
      <c r="B54" s="586">
        <f t="shared" ref="B54:M54" ca="1" si="5">SUM(B46:B53)</f>
        <v>120.52778810000001</v>
      </c>
      <c r="C54" s="587">
        <f t="shared" ca="1" si="5"/>
        <v>120.52778810000001</v>
      </c>
      <c r="D54" s="587">
        <f t="shared" ca="1" si="5"/>
        <v>120.52778810000001</v>
      </c>
      <c r="E54" s="587">
        <f t="shared" ca="1" si="5"/>
        <v>120.52778810000001</v>
      </c>
      <c r="F54" s="587">
        <f t="shared" ca="1" si="5"/>
        <v>120.52778810000001</v>
      </c>
      <c r="G54" s="587">
        <f t="shared" ca="1" si="5"/>
        <v>120.52778810000001</v>
      </c>
      <c r="H54" s="587">
        <f t="shared" ca="1" si="5"/>
        <v>120.52778810000001</v>
      </c>
      <c r="I54" s="587">
        <f t="shared" ca="1" si="5"/>
        <v>120.52778810000001</v>
      </c>
      <c r="J54" s="587">
        <f t="shared" ca="1" si="5"/>
        <v>120.52778810000001</v>
      </c>
      <c r="K54" s="587">
        <f t="shared" ca="1" si="5"/>
        <v>120.52778810000001</v>
      </c>
      <c r="L54" s="587">
        <f t="shared" ca="1" si="5"/>
        <v>120.52778810000001</v>
      </c>
      <c r="M54" s="588">
        <f t="shared" ca="1" si="5"/>
        <v>120.52778810000001</v>
      </c>
      <c r="N54" s="585">
        <f t="shared" ca="1" si="4"/>
        <v>1446.3334571999997</v>
      </c>
      <c r="O54" s="61"/>
    </row>
    <row r="55" spans="1:15">
      <c r="A55" s="981" t="s">
        <v>610</v>
      </c>
      <c r="B55" s="981">
        <f ca="1">SUM(B124:M124,B142:M142,B160:M160,B178:M178,B196:M196,B214:M214,B232:M232,B250:M250)</f>
        <v>0</v>
      </c>
    </row>
    <row r="57" spans="1:15" ht="18.75" thickBot="1">
      <c r="A57" s="1921" t="str">
        <f>'DC Distr 0'!A57</f>
        <v>Input VAT of production costs for year</v>
      </c>
      <c r="G57" s="2717" t="str">
        <f>$K$1</f>
        <v>Year 3:   2029</v>
      </c>
      <c r="I57" s="1921"/>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5" ht="15.75" customHeight="1">
      <c r="A59" s="2399" t="str">
        <f t="array" ref="A59:A66">productos</f>
        <v>product 1</v>
      </c>
      <c r="B59" s="578">
        <f t="array" aca="1" ref="B59:M59" ca="1">N125:Y125</f>
        <v>25.310835501</v>
      </c>
      <c r="C59" s="579">
        <f ca="1"/>
        <v>25.310835501</v>
      </c>
      <c r="D59" s="579">
        <f ca="1"/>
        <v>25.310835501</v>
      </c>
      <c r="E59" s="579">
        <f ca="1"/>
        <v>25.310835501</v>
      </c>
      <c r="F59" s="579">
        <f ca="1"/>
        <v>25.310835501</v>
      </c>
      <c r="G59" s="579">
        <f ca="1"/>
        <v>25.310835501</v>
      </c>
      <c r="H59" s="579">
        <f ca="1"/>
        <v>25.310835501</v>
      </c>
      <c r="I59" s="579">
        <f ca="1"/>
        <v>25.310835501</v>
      </c>
      <c r="J59" s="579">
        <f ca="1"/>
        <v>25.310835501</v>
      </c>
      <c r="K59" s="579">
        <f ca="1"/>
        <v>25.310835501</v>
      </c>
      <c r="L59" s="579">
        <f ca="1"/>
        <v>25.310835501</v>
      </c>
      <c r="M59" s="589">
        <f ca="1"/>
        <v>25.310835501</v>
      </c>
      <c r="N59" s="571">
        <f t="shared" ref="N59:N67" ca="1" si="6">SUM(B59:M59)</f>
        <v>303.73002601199994</v>
      </c>
      <c r="O59" s="61"/>
    </row>
    <row r="60" spans="1:15" ht="15.75" customHeight="1">
      <c r="A60" s="2400"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row>
    <row r="61" spans="1:15" ht="15.75" customHeight="1">
      <c r="A61" s="2400"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row>
    <row r="62" spans="1:15" ht="15.75" customHeight="1">
      <c r="A62" s="2400"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row>
    <row r="63" spans="1:15" ht="15.75" customHeight="1">
      <c r="A63" s="2400"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row>
    <row r="64" spans="1:15" ht="15.75" customHeight="1">
      <c r="A64" s="2400"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row>
    <row r="65" spans="1:26" ht="15.75" customHeight="1">
      <c r="A65" s="2400"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row>
    <row r="66" spans="1:26" ht="15.75" customHeight="1" thickBot="1">
      <c r="A66" s="2402"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row>
    <row r="67" spans="1:26" ht="15.75" customHeight="1" thickBot="1">
      <c r="A67" s="2403" t="s">
        <v>577</v>
      </c>
      <c r="B67" s="586">
        <f t="shared" ref="B67:M67" ca="1" si="7">SUM(B59:B66)</f>
        <v>25.310835501</v>
      </c>
      <c r="C67" s="587">
        <f t="shared" ca="1" si="7"/>
        <v>25.310835501</v>
      </c>
      <c r="D67" s="587">
        <f t="shared" ca="1" si="7"/>
        <v>25.310835501</v>
      </c>
      <c r="E67" s="587">
        <f t="shared" ca="1" si="7"/>
        <v>25.310835501</v>
      </c>
      <c r="F67" s="587">
        <f t="shared" ca="1" si="7"/>
        <v>25.310835501</v>
      </c>
      <c r="G67" s="587">
        <f t="shared" ca="1" si="7"/>
        <v>25.310835501</v>
      </c>
      <c r="H67" s="587">
        <f t="shared" ca="1" si="7"/>
        <v>25.310835501</v>
      </c>
      <c r="I67" s="587">
        <f t="shared" ca="1" si="7"/>
        <v>25.310835501</v>
      </c>
      <c r="J67" s="587">
        <f t="shared" ca="1" si="7"/>
        <v>25.310835501</v>
      </c>
      <c r="K67" s="587">
        <f t="shared" ca="1" si="7"/>
        <v>25.310835501</v>
      </c>
      <c r="L67" s="587">
        <f t="shared" ca="1" si="7"/>
        <v>25.310835501</v>
      </c>
      <c r="M67" s="588">
        <f t="shared" ca="1" si="7"/>
        <v>25.310835501</v>
      </c>
      <c r="N67" s="585">
        <f t="shared" ca="1" si="6"/>
        <v>303.73002601199994</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1" t="str">
        <f>'DC Distr 0'!A70</f>
        <v xml:space="preserve">Monthy distribution of Production Costs for the units sold during the year </v>
      </c>
      <c r="I70" s="1921" t="str">
        <f>I$18</f>
        <v>VAT NOT included</v>
      </c>
    </row>
    <row r="71" spans="1:26" s="440" customFormat="1" ht="32.25" customHeight="1" thickBot="1">
      <c r="A71" s="441" t="s">
        <v>595</v>
      </c>
      <c r="B71" s="1938" t="str">
        <f t="array" ref="B71:M71">CONCATENATE(meses,"
",Parameters!B76:M76+2)</f>
        <v>January
2028</v>
      </c>
      <c r="C71" s="1938" t="str">
        <v>February
2028</v>
      </c>
      <c r="D71" s="1938" t="str">
        <v>March
2028</v>
      </c>
      <c r="E71" s="1938" t="str">
        <v>April
2028</v>
      </c>
      <c r="F71" s="1938" t="str">
        <v>May
2028</v>
      </c>
      <c r="G71" s="1938" t="str">
        <v>June
2028</v>
      </c>
      <c r="H71" s="1938" t="str">
        <v>July
2028</v>
      </c>
      <c r="I71" s="1938" t="str">
        <v>August
2028</v>
      </c>
      <c r="J71" s="1938" t="str">
        <v>September
2028</v>
      </c>
      <c r="K71" s="1938" t="str">
        <v>October
2028</v>
      </c>
      <c r="L71" s="1938" t="str">
        <v>November
2028</v>
      </c>
      <c r="M71" s="1938" t="str">
        <v>December
2028</v>
      </c>
      <c r="N71" s="2718" t="str">
        <f t="array" ref="N71:Y71">'Sales Forecasts'!B44:M44</f>
        <v>January 
2029</v>
      </c>
      <c r="O71" s="2719" t="str">
        <v>February 
2029</v>
      </c>
      <c r="P71" s="2719" t="str">
        <v>March 
2029</v>
      </c>
      <c r="Q71" s="2719" t="str">
        <v>April 
2029</v>
      </c>
      <c r="R71" s="2719" t="str">
        <v>May 
2029</v>
      </c>
      <c r="S71" s="2719" t="str">
        <v>June 
2029</v>
      </c>
      <c r="T71" s="2719" t="str">
        <v>July 
2029</v>
      </c>
      <c r="U71" s="2719" t="str">
        <v>August 
2029</v>
      </c>
      <c r="V71" s="2719" t="str">
        <v>September 
2029</v>
      </c>
      <c r="W71" s="2719" t="str">
        <v>October 
2029</v>
      </c>
      <c r="X71" s="2719" t="str">
        <v>November 
2029</v>
      </c>
      <c r="Y71" s="2720" t="str">
        <v>December 
2029</v>
      </c>
      <c r="Z71" s="61"/>
    </row>
    <row r="72" spans="1:26" ht="15.75" customHeight="1">
      <c r="A72" s="1922" t="s">
        <v>596</v>
      </c>
      <c r="B72" s="1919"/>
      <c r="C72" s="1919"/>
      <c r="D72" s="1919"/>
      <c r="E72" s="1919"/>
      <c r="F72" s="1919"/>
      <c r="G72" s="1919"/>
      <c r="H72" s="1917">
        <v>0</v>
      </c>
      <c r="I72" s="1918">
        <v>0</v>
      </c>
      <c r="J72" s="1918">
        <v>0</v>
      </c>
      <c r="K72" s="1918">
        <v>0</v>
      </c>
      <c r="L72" s="1918">
        <v>0</v>
      </c>
      <c r="M72" s="1918">
        <v>0</v>
      </c>
      <c r="N72" s="579">
        <f t="array" aca="1" ref="N72" ca="1">SUM(B20:B27*Production!$N$8:$N$15)</f>
        <v>120.52778810000001</v>
      </c>
      <c r="O72" s="579">
        <f t="array" aca="1" ref="O72" ca="1">SUM(C20:C27*Production!$N$8:$N$15)</f>
        <v>120.52778810000001</v>
      </c>
      <c r="P72" s="579">
        <f t="array" aca="1" ref="P72" ca="1">SUM(D20:D27*Production!$N$8:$N$15)</f>
        <v>120.52778810000001</v>
      </c>
      <c r="Q72" s="579">
        <f t="array" aca="1" ref="Q72" ca="1">SUM(E20:E27*Production!$N$8:$N$15)</f>
        <v>120.52778810000001</v>
      </c>
      <c r="R72" s="579">
        <f t="array" aca="1" ref="R72" ca="1">SUM(F20:F27*Production!$N$8:$N$15)</f>
        <v>120.52778810000001</v>
      </c>
      <c r="S72" s="579">
        <f t="array" aca="1" ref="S72" ca="1">SUM(G20:G27*Production!$N$8:$N$15)</f>
        <v>120.52778810000001</v>
      </c>
      <c r="T72" s="579">
        <f t="array" aca="1" ref="T72" ca="1">SUM(H20:H27*Production!$N$8:$N$15)</f>
        <v>120.52778810000001</v>
      </c>
      <c r="U72" s="579">
        <f t="array" aca="1" ref="U72" ca="1">SUM(I20:I27*Production!$N$8:$N$15)</f>
        <v>120.52778810000001</v>
      </c>
      <c r="V72" s="579">
        <f t="array" aca="1" ref="V72" ca="1">SUM(J20:J27*Production!$N$8:$N$15)</f>
        <v>120.52778810000001</v>
      </c>
      <c r="W72" s="579">
        <f t="array" aca="1" ref="W72" ca="1">SUM(K20:K27*Production!$N$8:$N$15)</f>
        <v>120.52778810000001</v>
      </c>
      <c r="X72" s="579">
        <f t="array" aca="1" ref="X72" ca="1">SUM(L20:L27*Production!$N$8:$N$15)</f>
        <v>120.52778810000001</v>
      </c>
      <c r="Y72" s="1936">
        <f t="array" aca="1" ref="Y72" ca="1">SUM(M20:M27*Production!$N$8:$N$15)</f>
        <v>120.52778810000001</v>
      </c>
    </row>
    <row r="73" spans="1:26" ht="15.75" customHeight="1">
      <c r="A73" s="1923" t="s">
        <v>597</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f t="array" aca="1" ref="Y73:Y84" ca="1">'DC Distr 4'!M73:M84</f>
        <v>0</v>
      </c>
    </row>
    <row r="74" spans="1:26" ht="15.75" customHeight="1">
      <c r="A74" s="1923" t="s">
        <v>598</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f t="array" aca="1" ref="X74:X84" ca="1">'DC Distr 4'!L74:L84</f>
        <v>0</v>
      </c>
      <c r="Y74" s="1934">
        <f ca="1"/>
        <v>0</v>
      </c>
    </row>
    <row r="75" spans="1:26" ht="15.75" customHeight="1">
      <c r="A75" s="1923" t="s">
        <v>599</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f t="array" aca="1" ref="W75:W84" ca="1">'DC Distr 4'!K75:K84</f>
        <v>0</v>
      </c>
      <c r="X75" s="1916">
        <f ca="1"/>
        <v>0</v>
      </c>
      <c r="Y75" s="1934">
        <f ca="1"/>
        <v>0</v>
      </c>
    </row>
    <row r="76" spans="1:26" ht="15.75" customHeight="1">
      <c r="A76" s="1923" t="s">
        <v>600</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f t="array" aca="1" ref="V76:V84" ca="1">'DC Distr 4'!J76:J84</f>
        <v>0</v>
      </c>
      <c r="W76" s="1916">
        <f ca="1"/>
        <v>0</v>
      </c>
      <c r="X76" s="1916">
        <f ca="1"/>
        <v>0</v>
      </c>
      <c r="Y76" s="1934">
        <f ca="1"/>
        <v>0</v>
      </c>
    </row>
    <row r="77" spans="1:26" ht="15.75" customHeight="1">
      <c r="A77" s="1923" t="s">
        <v>601</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f t="array" aca="1" ref="U77:U84" ca="1">'DC Distr 4'!I77:I84</f>
        <v>0</v>
      </c>
      <c r="V77" s="1916">
        <f ca="1"/>
        <v>0</v>
      </c>
      <c r="W77" s="1916">
        <f ca="1"/>
        <v>0</v>
      </c>
      <c r="X77" s="1916">
        <f ca="1"/>
        <v>0</v>
      </c>
      <c r="Y77" s="1934">
        <f ca="1"/>
        <v>0</v>
      </c>
    </row>
    <row r="78" spans="1:26" ht="15.75" customHeight="1">
      <c r="A78" s="1923" t="s">
        <v>602</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f t="array" aca="1" ref="T78:T84" ca="1">'DC Distr 4'!H78:H84</f>
        <v>0</v>
      </c>
      <c r="U78" s="1916">
        <f ca="1"/>
        <v>0</v>
      </c>
      <c r="V78" s="1916">
        <f ca="1"/>
        <v>0</v>
      </c>
      <c r="W78" s="1916">
        <f ca="1"/>
        <v>0</v>
      </c>
      <c r="X78" s="1916">
        <f ca="1"/>
        <v>0</v>
      </c>
      <c r="Y78" s="1934">
        <f ca="1"/>
        <v>0</v>
      </c>
    </row>
    <row r="79" spans="1:26" ht="15.75" customHeight="1">
      <c r="A79" s="1923" t="s">
        <v>603</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f t="array" aca="1" ref="S79:S84" ca="1">'DC Distr 4'!G79:G84</f>
        <v>0</v>
      </c>
      <c r="T79" s="1920">
        <f ca="1"/>
        <v>0</v>
      </c>
      <c r="U79" s="1920">
        <f ca="1"/>
        <v>0</v>
      </c>
      <c r="V79" s="1920">
        <f ca="1"/>
        <v>0</v>
      </c>
      <c r="W79" s="1920">
        <f ca="1"/>
        <v>0</v>
      </c>
      <c r="X79" s="1920">
        <f ca="1"/>
        <v>0</v>
      </c>
      <c r="Y79" s="1937">
        <f ca="1"/>
        <v>0</v>
      </c>
    </row>
    <row r="80" spans="1:26" ht="15.75" customHeight="1">
      <c r="A80" s="1923" t="s">
        <v>604</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f t="array" aca="1" ref="R80:R84" ca="1">'DC Distr 4'!F80:F84</f>
        <v>0</v>
      </c>
      <c r="S80" s="1920">
        <f ca="1"/>
        <v>0</v>
      </c>
      <c r="T80" s="1920">
        <f ca="1"/>
        <v>0</v>
      </c>
      <c r="U80" s="1920">
        <f ca="1"/>
        <v>0</v>
      </c>
      <c r="V80" s="1920">
        <f ca="1"/>
        <v>0</v>
      </c>
      <c r="W80" s="1920">
        <f ca="1"/>
        <v>0</v>
      </c>
      <c r="X80" s="1920">
        <f ca="1"/>
        <v>0</v>
      </c>
      <c r="Y80" s="1937">
        <f ca="1"/>
        <v>0</v>
      </c>
    </row>
    <row r="81" spans="1:26" ht="15.75" customHeight="1">
      <c r="A81" s="1923" t="s">
        <v>605</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f t="array" aca="1" ref="Q81:Q84" ca="1">'DC Distr 4'!E81:E84</f>
        <v>0</v>
      </c>
      <c r="R81" s="1920">
        <f ca="1"/>
        <v>0</v>
      </c>
      <c r="S81" s="1920">
        <f ca="1"/>
        <v>0</v>
      </c>
      <c r="T81" s="1920">
        <f ca="1"/>
        <v>0</v>
      </c>
      <c r="U81" s="1920">
        <f ca="1"/>
        <v>0</v>
      </c>
      <c r="V81" s="1920">
        <f ca="1"/>
        <v>0</v>
      </c>
      <c r="W81" s="1920">
        <f ca="1"/>
        <v>0</v>
      </c>
      <c r="X81" s="1920">
        <f ca="1"/>
        <v>0</v>
      </c>
      <c r="Y81" s="1937">
        <f ca="1"/>
        <v>0</v>
      </c>
    </row>
    <row r="82" spans="1:26" ht="15.75" customHeight="1">
      <c r="A82" s="1923" t="s">
        <v>606</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f t="array" aca="1" ref="P82:P84" ca="1">'DC Distr 4'!D82:D84</f>
        <v>0</v>
      </c>
      <c r="Q82" s="1920">
        <f ca="1"/>
        <v>0</v>
      </c>
      <c r="R82" s="1920">
        <f ca="1"/>
        <v>0</v>
      </c>
      <c r="S82" s="1920">
        <f ca="1"/>
        <v>0</v>
      </c>
      <c r="T82" s="1920">
        <f ca="1"/>
        <v>0</v>
      </c>
      <c r="U82" s="1920">
        <f ca="1"/>
        <v>0</v>
      </c>
      <c r="V82" s="1920">
        <f ca="1"/>
        <v>0</v>
      </c>
      <c r="W82" s="1920">
        <f ca="1"/>
        <v>0</v>
      </c>
      <c r="X82" s="1920">
        <f ca="1"/>
        <v>0</v>
      </c>
      <c r="Y82" s="1937">
        <f ca="1"/>
        <v>0</v>
      </c>
    </row>
    <row r="83" spans="1:26" ht="15.75" customHeight="1">
      <c r="A83" s="1923" t="s">
        <v>607</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f t="array" aca="1" ref="O83:O84" ca="1">'DC Distr 4'!C83:C84</f>
        <v>0</v>
      </c>
      <c r="P83" s="1920">
        <f ca="1"/>
        <v>0</v>
      </c>
      <c r="Q83" s="1920">
        <f ca="1"/>
        <v>0</v>
      </c>
      <c r="R83" s="1920">
        <f ca="1"/>
        <v>0</v>
      </c>
      <c r="S83" s="1920">
        <f ca="1"/>
        <v>0</v>
      </c>
      <c r="T83" s="1920">
        <f ca="1"/>
        <v>0</v>
      </c>
      <c r="U83" s="1920">
        <f ca="1"/>
        <v>0</v>
      </c>
      <c r="V83" s="1920">
        <f ca="1"/>
        <v>0</v>
      </c>
      <c r="W83" s="1920">
        <f ca="1"/>
        <v>0</v>
      </c>
      <c r="X83" s="1920">
        <f ca="1"/>
        <v>0</v>
      </c>
      <c r="Y83" s="1937">
        <f ca="1"/>
        <v>0</v>
      </c>
    </row>
    <row r="84" spans="1:26" ht="15.75" customHeight="1" thickBot="1">
      <c r="A84" s="1923"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f ca="1">'DC Distr 4'!B84</f>
        <v>0</v>
      </c>
      <c r="O84" s="1920">
        <f ca="1"/>
        <v>0</v>
      </c>
      <c r="P84" s="1920">
        <f ca="1"/>
        <v>0</v>
      </c>
      <c r="Q84" s="1920">
        <f ca="1"/>
        <v>0</v>
      </c>
      <c r="R84" s="1920">
        <f ca="1"/>
        <v>0</v>
      </c>
      <c r="S84" s="1920">
        <f ca="1"/>
        <v>0</v>
      </c>
      <c r="T84" s="1920">
        <f ca="1"/>
        <v>0</v>
      </c>
      <c r="U84" s="1920">
        <f ca="1"/>
        <v>0</v>
      </c>
      <c r="V84" s="1920">
        <f ca="1"/>
        <v>0</v>
      </c>
      <c r="W84" s="1920">
        <f ca="1"/>
        <v>0</v>
      </c>
      <c r="X84" s="1920">
        <f ca="1"/>
        <v>0</v>
      </c>
      <c r="Y84" s="1937">
        <f ca="1"/>
        <v>0</v>
      </c>
    </row>
    <row r="85" spans="1:26" ht="15.75" customHeight="1" thickBot="1">
      <c r="A85" s="2403" t="s">
        <v>577</v>
      </c>
      <c r="B85" s="587">
        <f t="shared" ref="B85:Y85" ca="1" si="8">SUM(B72:B84)</f>
        <v>0</v>
      </c>
      <c r="C85" s="587">
        <f t="shared" ca="1" si="8"/>
        <v>0</v>
      </c>
      <c r="D85" s="587">
        <f t="shared" ca="1" si="8"/>
        <v>0</v>
      </c>
      <c r="E85" s="587">
        <f t="shared" ca="1" si="8"/>
        <v>0</v>
      </c>
      <c r="F85" s="587">
        <f t="shared" ca="1" si="8"/>
        <v>0</v>
      </c>
      <c r="G85" s="587">
        <f t="shared" ca="1" si="8"/>
        <v>0</v>
      </c>
      <c r="H85" s="587">
        <f t="shared" ca="1" si="8"/>
        <v>0</v>
      </c>
      <c r="I85" s="587">
        <f t="shared" ca="1" si="8"/>
        <v>0</v>
      </c>
      <c r="J85" s="587">
        <f t="shared" ca="1" si="8"/>
        <v>0</v>
      </c>
      <c r="K85" s="587">
        <f t="shared" ca="1" si="8"/>
        <v>0</v>
      </c>
      <c r="L85" s="587">
        <f t="shared" ca="1" si="8"/>
        <v>0</v>
      </c>
      <c r="M85" s="587">
        <f t="shared" ca="1" si="8"/>
        <v>0</v>
      </c>
      <c r="N85" s="587">
        <f t="shared" ca="1" si="8"/>
        <v>120.52778810000001</v>
      </c>
      <c r="O85" s="587">
        <f t="shared" ca="1" si="8"/>
        <v>120.52778810000001</v>
      </c>
      <c r="P85" s="587">
        <f t="shared" ca="1" si="8"/>
        <v>120.52778810000001</v>
      </c>
      <c r="Q85" s="587">
        <f t="shared" ca="1" si="8"/>
        <v>120.52778810000001</v>
      </c>
      <c r="R85" s="587">
        <f t="shared" ca="1" si="8"/>
        <v>120.52778810000001</v>
      </c>
      <c r="S85" s="587">
        <f t="shared" ca="1" si="8"/>
        <v>120.52778810000001</v>
      </c>
      <c r="T85" s="587">
        <f t="shared" ca="1" si="8"/>
        <v>120.52778810000001</v>
      </c>
      <c r="U85" s="587">
        <f t="shared" ca="1" si="8"/>
        <v>120.52778810000001</v>
      </c>
      <c r="V85" s="587">
        <f t="shared" ca="1" si="8"/>
        <v>120.52778810000001</v>
      </c>
      <c r="W85" s="587">
        <f t="shared" ca="1" si="8"/>
        <v>120.52778810000001</v>
      </c>
      <c r="X85" s="587">
        <f t="shared" ca="1" si="8"/>
        <v>120.52778810000001</v>
      </c>
      <c r="Y85" s="1935">
        <f t="shared" ca="1" si="8"/>
        <v>120.52778810000001</v>
      </c>
    </row>
    <row r="86" spans="1:26">
      <c r="B86" s="61"/>
    </row>
    <row r="87" spans="1:26">
      <c r="A87" s="230" t="s">
        <v>610</v>
      </c>
      <c r="B87" s="61">
        <f ca="1">SUM(B85:M85)</f>
        <v>0</v>
      </c>
    </row>
    <row r="88" spans="1:26">
      <c r="B88" s="61"/>
    </row>
    <row r="89" spans="1:26" ht="18.75" thickBot="1">
      <c r="A89" s="1921" t="str">
        <f>'DC Distr 0'!A89</f>
        <v>Input VAT of production costs by purchasing (effective) cost months</v>
      </c>
      <c r="I89" s="1921"/>
    </row>
    <row r="90" spans="1:26" s="440" customFormat="1" ht="35.25" customHeight="1" thickBot="1">
      <c r="A90" s="441" t="str">
        <f>A71&amp;" "&amp;'Base Data'!$A$28</f>
        <v>Production Costs VAT</v>
      </c>
      <c r="B90" s="1938" t="str">
        <f t="array" ref="B90:Y90">B$71:Y$71</f>
        <v>January
2028</v>
      </c>
      <c r="C90" s="1938" t="str">
        <v>February
2028</v>
      </c>
      <c r="D90" s="1938" t="str">
        <v>March
2028</v>
      </c>
      <c r="E90" s="1938" t="str">
        <v>April
2028</v>
      </c>
      <c r="F90" s="1938" t="str">
        <v>May
2028</v>
      </c>
      <c r="G90" s="1938" t="str">
        <v>June
2028</v>
      </c>
      <c r="H90" s="1938" t="str">
        <v>July
2028</v>
      </c>
      <c r="I90" s="1938" t="str">
        <v>August
2028</v>
      </c>
      <c r="J90" s="1938" t="str">
        <v>September
2028</v>
      </c>
      <c r="K90" s="1938" t="str">
        <v>October
2028</v>
      </c>
      <c r="L90" s="1938" t="str">
        <v>November
2028</v>
      </c>
      <c r="M90" s="1938" t="str">
        <v>December
2028</v>
      </c>
      <c r="N90" s="2721" t="str">
        <v>January 
2029</v>
      </c>
      <c r="O90" s="2722" t="str">
        <v>February 
2029</v>
      </c>
      <c r="P90" s="2722" t="str">
        <v>March 
2029</v>
      </c>
      <c r="Q90" s="2722" t="str">
        <v>April 
2029</v>
      </c>
      <c r="R90" s="2722" t="str">
        <v>May 
2029</v>
      </c>
      <c r="S90" s="2722" t="str">
        <v>June 
2029</v>
      </c>
      <c r="T90" s="2722" t="str">
        <v>July 
2029</v>
      </c>
      <c r="U90" s="2722" t="str">
        <v>August 
2029</v>
      </c>
      <c r="V90" s="2722" t="str">
        <v>September 
2029</v>
      </c>
      <c r="W90" s="2722" t="str">
        <v>October 
2029</v>
      </c>
      <c r="X90" s="2722" t="str">
        <v>November 
2029</v>
      </c>
      <c r="Y90" s="2723" t="str">
        <v>December 
2029</v>
      </c>
      <c r="Z90" s="61"/>
    </row>
    <row r="91" spans="1:26" ht="15.75" customHeight="1">
      <c r="A91" s="1922" t="str">
        <f t="array" ref="A91:A103">A$72:A$84</f>
        <v>same month</v>
      </c>
      <c r="B91" s="1919"/>
      <c r="C91" s="1919"/>
      <c r="D91" s="1919"/>
      <c r="E91" s="1919"/>
      <c r="F91" s="1919"/>
      <c r="G91" s="1919"/>
      <c r="H91" s="1917">
        <v>0</v>
      </c>
      <c r="I91" s="1918">
        <v>0</v>
      </c>
      <c r="J91" s="1918">
        <v>0</v>
      </c>
      <c r="K91" s="1918">
        <v>0</v>
      </c>
      <c r="L91" s="1918">
        <v>0</v>
      </c>
      <c r="M91" s="1918">
        <v>0</v>
      </c>
      <c r="N91" s="579">
        <f t="array" aca="1" ref="N91" ca="1">SUM(B32:B39*Production!$N$8:$N$15)</f>
        <v>25.310835501</v>
      </c>
      <c r="O91" s="579">
        <f t="array" aca="1" ref="O91" ca="1">SUM(C32:C39*Production!$N$8:$N$15)</f>
        <v>25.310835501</v>
      </c>
      <c r="P91" s="579">
        <f t="array" aca="1" ref="P91" ca="1">SUM(D32:D39*Production!$N$8:$N$15)</f>
        <v>25.310835501</v>
      </c>
      <c r="Q91" s="579">
        <f t="array" aca="1" ref="Q91" ca="1">SUM(E32:E39*Production!$N$8:$N$15)</f>
        <v>25.310835501</v>
      </c>
      <c r="R91" s="579">
        <f t="array" aca="1" ref="R91" ca="1">SUM(F32:F39*Production!$N$8:$N$15)</f>
        <v>25.310835501</v>
      </c>
      <c r="S91" s="579">
        <f t="array" aca="1" ref="S91" ca="1">SUM(G32:G39*Production!$N$8:$N$15)</f>
        <v>25.310835501</v>
      </c>
      <c r="T91" s="579">
        <f t="array" aca="1" ref="T91" ca="1">SUM(H32:H39*Production!$N$8:$N$15)</f>
        <v>25.310835501</v>
      </c>
      <c r="U91" s="579">
        <f t="array" aca="1" ref="U91" ca="1">SUM(I32:I39*Production!$N$8:$N$15)</f>
        <v>25.310835501</v>
      </c>
      <c r="V91" s="579">
        <f t="array" aca="1" ref="V91" ca="1">SUM(J32:J39*Production!$N$8:$N$15)</f>
        <v>25.310835501</v>
      </c>
      <c r="W91" s="579">
        <f t="array" aca="1" ref="W91" ca="1">SUM(K32:K39*Production!$N$8:$N$15)</f>
        <v>25.310835501</v>
      </c>
      <c r="X91" s="579">
        <f t="array" aca="1" ref="X91" ca="1">SUM(L32:L39*Production!$N$8:$N$15)</f>
        <v>25.310835501</v>
      </c>
      <c r="Y91" s="1936">
        <f t="array" aca="1" ref="Y91" ca="1">SUM(M32:M39*Production!$N$8:$N$15)</f>
        <v>25.310835501</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f t="array" aca="1" ref="Y92:Y103" ca="1">'DC Distr 4'!M92:M103</f>
        <v>0</v>
      </c>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f t="array" aca="1" ref="X93:X103" ca="1">'DC Distr 4'!L93:L103</f>
        <v>0</v>
      </c>
      <c r="Y93" s="1934">
        <f ca="1"/>
        <v>0</v>
      </c>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f t="array" aca="1" ref="W94:W103" ca="1">'DC Distr 4'!K94:K103</f>
        <v>0</v>
      </c>
      <c r="X94" s="1916">
        <f ca="1"/>
        <v>0</v>
      </c>
      <c r="Y94" s="1934">
        <f ca="1"/>
        <v>0</v>
      </c>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f t="array" aca="1" ref="V95:V103" ca="1">'DC Distr 4'!J95:J103</f>
        <v>0</v>
      </c>
      <c r="W95" s="1916">
        <f ca="1"/>
        <v>0</v>
      </c>
      <c r="X95" s="1916">
        <f ca="1"/>
        <v>0</v>
      </c>
      <c r="Y95" s="1934">
        <f ca="1"/>
        <v>0</v>
      </c>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f t="array" aca="1" ref="U96:U103" ca="1">'DC Distr 4'!I96:I103</f>
        <v>0</v>
      </c>
      <c r="V96" s="1916">
        <f ca="1"/>
        <v>0</v>
      </c>
      <c r="W96" s="1916">
        <f ca="1"/>
        <v>0</v>
      </c>
      <c r="X96" s="1916">
        <f ca="1"/>
        <v>0</v>
      </c>
      <c r="Y96" s="1934">
        <f ca="1"/>
        <v>0</v>
      </c>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f t="array" aca="1" ref="T97:T103" ca="1">'DC Distr 4'!H97:H103</f>
        <v>0</v>
      </c>
      <c r="U97" s="1916">
        <f ca="1"/>
        <v>0</v>
      </c>
      <c r="V97" s="1916">
        <f ca="1"/>
        <v>0</v>
      </c>
      <c r="W97" s="1916">
        <f ca="1"/>
        <v>0</v>
      </c>
      <c r="X97" s="1916">
        <f ca="1"/>
        <v>0</v>
      </c>
      <c r="Y97" s="1934">
        <f ca="1"/>
        <v>0</v>
      </c>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f t="array" aca="1" ref="S98:S103" ca="1">'DC Distr 4'!G98:G103</f>
        <v>0</v>
      </c>
      <c r="T98" s="1920">
        <f ca="1"/>
        <v>0</v>
      </c>
      <c r="U98" s="1920">
        <f ca="1"/>
        <v>0</v>
      </c>
      <c r="V98" s="1920">
        <f ca="1"/>
        <v>0</v>
      </c>
      <c r="W98" s="1920">
        <f ca="1"/>
        <v>0</v>
      </c>
      <c r="X98" s="1920">
        <f ca="1"/>
        <v>0</v>
      </c>
      <c r="Y98" s="1937">
        <f ca="1"/>
        <v>0</v>
      </c>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f t="array" aca="1" ref="R99:R103" ca="1">'DC Distr 4'!F99:F103</f>
        <v>0</v>
      </c>
      <c r="S99" s="1920">
        <f ca="1"/>
        <v>0</v>
      </c>
      <c r="T99" s="1920">
        <f ca="1"/>
        <v>0</v>
      </c>
      <c r="U99" s="1920">
        <f ca="1"/>
        <v>0</v>
      </c>
      <c r="V99" s="1920">
        <f ca="1"/>
        <v>0</v>
      </c>
      <c r="W99" s="1920">
        <f ca="1"/>
        <v>0</v>
      </c>
      <c r="X99" s="1920">
        <f ca="1"/>
        <v>0</v>
      </c>
      <c r="Y99" s="1937">
        <f ca="1"/>
        <v>0</v>
      </c>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f t="array" aca="1" ref="Q100:Q103" ca="1">'DC Distr 4'!E100:E103</f>
        <v>0</v>
      </c>
      <c r="R100" s="1920">
        <f ca="1"/>
        <v>0</v>
      </c>
      <c r="S100" s="1920">
        <f ca="1"/>
        <v>0</v>
      </c>
      <c r="T100" s="1920">
        <f ca="1"/>
        <v>0</v>
      </c>
      <c r="U100" s="1920">
        <f ca="1"/>
        <v>0</v>
      </c>
      <c r="V100" s="1920">
        <f ca="1"/>
        <v>0</v>
      </c>
      <c r="W100" s="1920">
        <f ca="1"/>
        <v>0</v>
      </c>
      <c r="X100" s="1920">
        <f ca="1"/>
        <v>0</v>
      </c>
      <c r="Y100" s="1937">
        <f ca="1"/>
        <v>0</v>
      </c>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f t="array" aca="1" ref="P101:P103" ca="1">'DC Distr 4'!D101:D103</f>
        <v>0</v>
      </c>
      <c r="Q101" s="1920">
        <f ca="1"/>
        <v>0</v>
      </c>
      <c r="R101" s="1920">
        <f ca="1"/>
        <v>0</v>
      </c>
      <c r="S101" s="1920">
        <f ca="1"/>
        <v>0</v>
      </c>
      <c r="T101" s="1920">
        <f ca="1"/>
        <v>0</v>
      </c>
      <c r="U101" s="1920">
        <f ca="1"/>
        <v>0</v>
      </c>
      <c r="V101" s="1920">
        <f ca="1"/>
        <v>0</v>
      </c>
      <c r="W101" s="1920">
        <f ca="1"/>
        <v>0</v>
      </c>
      <c r="X101" s="1920">
        <f ca="1"/>
        <v>0</v>
      </c>
      <c r="Y101" s="1937">
        <f ca="1"/>
        <v>0</v>
      </c>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f ca="1">'DC Distr 4'!C102</f>
        <v>0</v>
      </c>
      <c r="P102" s="1920">
        <f ca="1"/>
        <v>0</v>
      </c>
      <c r="Q102" s="1920">
        <f ca="1"/>
        <v>0</v>
      </c>
      <c r="R102" s="1920">
        <f ca="1"/>
        <v>0</v>
      </c>
      <c r="S102" s="1920">
        <f ca="1"/>
        <v>0</v>
      </c>
      <c r="T102" s="1920">
        <f ca="1"/>
        <v>0</v>
      </c>
      <c r="U102" s="1920">
        <f ca="1"/>
        <v>0</v>
      </c>
      <c r="V102" s="1920">
        <f ca="1"/>
        <v>0</v>
      </c>
      <c r="W102" s="1920">
        <f ca="1"/>
        <v>0</v>
      </c>
      <c r="X102" s="1920">
        <f ca="1"/>
        <v>0</v>
      </c>
      <c r="Y102" s="1937">
        <f ca="1"/>
        <v>0</v>
      </c>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f ca="1">'DC Distr 4'!B103</f>
        <v>0</v>
      </c>
      <c r="O103" s="1920">
        <f ca="1">'DC Distr 4'!C103</f>
        <v>0</v>
      </c>
      <c r="P103" s="1920">
        <f ca="1"/>
        <v>0</v>
      </c>
      <c r="Q103" s="1920">
        <f ca="1"/>
        <v>0</v>
      </c>
      <c r="R103" s="1920">
        <f ca="1"/>
        <v>0</v>
      </c>
      <c r="S103" s="1920">
        <f ca="1"/>
        <v>0</v>
      </c>
      <c r="T103" s="1920">
        <f ca="1"/>
        <v>0</v>
      </c>
      <c r="U103" s="1920">
        <f ca="1"/>
        <v>0</v>
      </c>
      <c r="V103" s="1920">
        <f ca="1"/>
        <v>0</v>
      </c>
      <c r="W103" s="1920">
        <f ca="1"/>
        <v>0</v>
      </c>
      <c r="X103" s="1920">
        <f ca="1"/>
        <v>0</v>
      </c>
      <c r="Y103" s="1937">
        <f ca="1"/>
        <v>0</v>
      </c>
    </row>
    <row r="104" spans="1:26" ht="15.75" customHeight="1" thickBot="1">
      <c r="A104" s="2403" t="s">
        <v>577</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25.310835501</v>
      </c>
      <c r="O104" s="587">
        <f t="shared" ca="1" si="9"/>
        <v>25.310835501</v>
      </c>
      <c r="P104" s="587">
        <f t="shared" ca="1" si="9"/>
        <v>25.310835501</v>
      </c>
      <c r="Q104" s="587">
        <f t="shared" ca="1" si="9"/>
        <v>25.310835501</v>
      </c>
      <c r="R104" s="587">
        <f t="shared" ca="1" si="9"/>
        <v>25.310835501</v>
      </c>
      <c r="S104" s="587">
        <f t="shared" ca="1" si="9"/>
        <v>25.310835501</v>
      </c>
      <c r="T104" s="587">
        <f t="shared" ca="1" si="9"/>
        <v>25.310835501</v>
      </c>
      <c r="U104" s="587">
        <f t="shared" ca="1" si="9"/>
        <v>25.310835501</v>
      </c>
      <c r="V104" s="587">
        <f t="shared" ca="1" si="9"/>
        <v>25.310835501</v>
      </c>
      <c r="W104" s="587">
        <f t="shared" ca="1" si="9"/>
        <v>25.310835501</v>
      </c>
      <c r="X104" s="587">
        <f t="shared" ca="1" si="9"/>
        <v>25.310835501</v>
      </c>
      <c r="Y104" s="1935">
        <f t="shared" ca="1" si="9"/>
        <v>25.310835501</v>
      </c>
    </row>
    <row r="106" spans="1:26">
      <c r="A106" s="230" t="str">
        <f>"Previous "&amp;'Base Data'!$A$28</f>
        <v>Previous VAT</v>
      </c>
      <c r="B106" s="61">
        <f ca="1">SUM(B104:M104)</f>
        <v>0</v>
      </c>
    </row>
    <row r="108" spans="1:26">
      <c r="F108" s="61" t="str">
        <f>'DC Distr 0'!F108</f>
        <v>(NEEDED TO CALCULATE SUBSEQUENT MONTHLY PAYMENTS TO BE DONE)</v>
      </c>
      <c r="L108" s="2404" t="s">
        <v>615</v>
      </c>
    </row>
    <row r="109" spans="1:26" ht="18.75" thickBot="1">
      <c r="A109" s="1921" t="str">
        <f>'DC Distr 0'!A109</f>
        <v>Monthly Purchases / Production costs for product 1</v>
      </c>
      <c r="I109" s="1921" t="str">
        <f>I$18</f>
        <v>VAT NOT included</v>
      </c>
      <c r="K109" s="1932">
        <f>Parameters!$F$24</f>
        <v>0.21</v>
      </c>
    </row>
    <row r="110" spans="1:26" s="440" customFormat="1" ht="30" customHeight="1" thickBot="1">
      <c r="A110" s="441" t="s">
        <v>613</v>
      </c>
      <c r="B110" s="1938" t="str">
        <f t="array" ref="B110:Y110">B$71:Y$71</f>
        <v>January
2028</v>
      </c>
      <c r="C110" s="1938" t="str">
        <v>February
2028</v>
      </c>
      <c r="D110" s="1938" t="str">
        <v>March
2028</v>
      </c>
      <c r="E110" s="1938" t="str">
        <v>April
2028</v>
      </c>
      <c r="F110" s="1938" t="str">
        <v>May
2028</v>
      </c>
      <c r="G110" s="1938" t="str">
        <v>June
2028</v>
      </c>
      <c r="H110" s="1938" t="str">
        <v>July
2028</v>
      </c>
      <c r="I110" s="1938" t="str">
        <v>August
2028</v>
      </c>
      <c r="J110" s="1938" t="str">
        <v>September
2028</v>
      </c>
      <c r="K110" s="1938" t="str">
        <v>October
2028</v>
      </c>
      <c r="L110" s="1938" t="str">
        <v>November
2028</v>
      </c>
      <c r="M110" s="1938" t="str">
        <v>December
2028</v>
      </c>
      <c r="N110" s="2721" t="str">
        <v>January 
2029</v>
      </c>
      <c r="O110" s="2722" t="str">
        <v>February 
2029</v>
      </c>
      <c r="P110" s="2722" t="str">
        <v>March 
2029</v>
      </c>
      <c r="Q110" s="2722" t="str">
        <v>April 
2029</v>
      </c>
      <c r="R110" s="2722" t="str">
        <v>May 
2029</v>
      </c>
      <c r="S110" s="2722" t="str">
        <v>June 
2029</v>
      </c>
      <c r="T110" s="2722" t="str">
        <v>July 
2029</v>
      </c>
      <c r="U110" s="2722" t="str">
        <v>August 
2029</v>
      </c>
      <c r="V110" s="2722" t="str">
        <v>September 
2029</v>
      </c>
      <c r="W110" s="2722" t="str">
        <v>October 
2029</v>
      </c>
      <c r="X110" s="2722" t="str">
        <v>November 
2029</v>
      </c>
      <c r="Y110" s="2723" t="str">
        <v>December 
2029</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120.52778810000001</v>
      </c>
      <c r="O111" s="583">
        <f ca="1"/>
        <v>120.52778810000001</v>
      </c>
      <c r="P111" s="583">
        <f ca="1"/>
        <v>120.52778810000001</v>
      </c>
      <c r="Q111" s="583">
        <f ca="1"/>
        <v>120.52778810000001</v>
      </c>
      <c r="R111" s="583">
        <f ca="1"/>
        <v>120.52778810000001</v>
      </c>
      <c r="S111" s="583">
        <f ca="1"/>
        <v>120.52778810000001</v>
      </c>
      <c r="T111" s="583">
        <f ca="1"/>
        <v>120.52778810000001</v>
      </c>
      <c r="U111" s="583">
        <f ca="1"/>
        <v>120.52778810000001</v>
      </c>
      <c r="V111" s="583">
        <f ca="1"/>
        <v>120.52778810000001</v>
      </c>
      <c r="W111" s="583">
        <f ca="1"/>
        <v>120.52778810000001</v>
      </c>
      <c r="X111" s="583">
        <f ca="1"/>
        <v>120.52778810000001</v>
      </c>
      <c r="Y111" s="1933">
        <f ca="1"/>
        <v>120.52778810000001</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f t="array" aca="1" ref="Y112:Y123" ca="1">'DC Distr 4'!M112:M123</f>
        <v>0</v>
      </c>
    </row>
    <row r="113" spans="1:25">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6">
        <f t="array" aca="1" ref="X113:X123" ca="1">'DC Distr 4'!L113:L123</f>
        <v>0</v>
      </c>
      <c r="Y113" s="1934">
        <f ca="1"/>
        <v>0</v>
      </c>
    </row>
    <row r="114" spans="1:25">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6">
        <f t="array" aca="1" ref="W114:W123" ca="1">'DC Distr 4'!K114:K123</f>
        <v>0</v>
      </c>
      <c r="X114" s="1916">
        <f ca="1"/>
        <v>0</v>
      </c>
      <c r="Y114" s="1934">
        <f ca="1"/>
        <v>0</v>
      </c>
    </row>
    <row r="115" spans="1:25">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6">
        <f t="array" aca="1" ref="V115:V123" ca="1">'DC Distr 4'!J115:J123</f>
        <v>0</v>
      </c>
      <c r="W115" s="1916">
        <f ca="1"/>
        <v>0</v>
      </c>
      <c r="X115" s="1916">
        <f ca="1"/>
        <v>0</v>
      </c>
      <c r="Y115" s="1934">
        <f ca="1"/>
        <v>0</v>
      </c>
    </row>
    <row r="116" spans="1:25">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6">
        <f t="array" aca="1" ref="U116:U123" ca="1">'DC Distr 4'!I116:I123</f>
        <v>0</v>
      </c>
      <c r="V116" s="1916">
        <f ca="1"/>
        <v>0</v>
      </c>
      <c r="W116" s="1916">
        <f ca="1"/>
        <v>0</v>
      </c>
      <c r="X116" s="1916">
        <f ca="1"/>
        <v>0</v>
      </c>
      <c r="Y116" s="1934">
        <f ca="1"/>
        <v>0</v>
      </c>
    </row>
    <row r="117" spans="1:25">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6">
        <f t="array" aca="1" ref="T117:T123" ca="1">'DC Distr 4'!H117:H123</f>
        <v>0</v>
      </c>
      <c r="U117" s="1916">
        <f ca="1"/>
        <v>0</v>
      </c>
      <c r="V117" s="1916">
        <f ca="1"/>
        <v>0</v>
      </c>
      <c r="W117" s="1916">
        <f ca="1"/>
        <v>0</v>
      </c>
      <c r="X117" s="1916">
        <f ca="1"/>
        <v>0</v>
      </c>
      <c r="Y117" s="1934">
        <f ca="1"/>
        <v>0</v>
      </c>
    </row>
    <row r="118" spans="1:25">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0">
        <f t="array" aca="1" ref="S118:S123" ca="1">'DC Distr 4'!G118:G123</f>
        <v>0</v>
      </c>
      <c r="T118" s="1920">
        <f ca="1"/>
        <v>0</v>
      </c>
      <c r="U118" s="1920">
        <f ca="1"/>
        <v>0</v>
      </c>
      <c r="V118" s="1920">
        <f ca="1"/>
        <v>0</v>
      </c>
      <c r="W118" s="1920">
        <f ca="1"/>
        <v>0</v>
      </c>
      <c r="X118" s="1920">
        <f ca="1"/>
        <v>0</v>
      </c>
      <c r="Y118" s="1937">
        <f ca="1"/>
        <v>0</v>
      </c>
    </row>
    <row r="119" spans="1:25">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0">
        <f t="array" aca="1" ref="R119:R123" ca="1">'DC Distr 4'!F119:F123</f>
        <v>0</v>
      </c>
      <c r="S119" s="1920">
        <f ca="1"/>
        <v>0</v>
      </c>
      <c r="T119" s="1920">
        <f ca="1"/>
        <v>0</v>
      </c>
      <c r="U119" s="1920">
        <f ca="1"/>
        <v>0</v>
      </c>
      <c r="V119" s="1920">
        <f ca="1"/>
        <v>0</v>
      </c>
      <c r="W119" s="1920">
        <f ca="1"/>
        <v>0</v>
      </c>
      <c r="X119" s="1920">
        <f ca="1"/>
        <v>0</v>
      </c>
      <c r="Y119" s="1937">
        <f ca="1"/>
        <v>0</v>
      </c>
    </row>
    <row r="120" spans="1:25">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0">
        <f t="array" aca="1" ref="Q120:Q123" ca="1">'DC Distr 4'!E120:E123</f>
        <v>0</v>
      </c>
      <c r="R120" s="1920">
        <f ca="1"/>
        <v>0</v>
      </c>
      <c r="S120" s="1920">
        <f ca="1"/>
        <v>0</v>
      </c>
      <c r="T120" s="1920">
        <f ca="1"/>
        <v>0</v>
      </c>
      <c r="U120" s="1920">
        <f ca="1"/>
        <v>0</v>
      </c>
      <c r="V120" s="1920">
        <f ca="1"/>
        <v>0</v>
      </c>
      <c r="W120" s="1920">
        <f ca="1"/>
        <v>0</v>
      </c>
      <c r="X120" s="1920">
        <f ca="1"/>
        <v>0</v>
      </c>
      <c r="Y120" s="1937">
        <f ca="1"/>
        <v>0</v>
      </c>
    </row>
    <row r="121" spans="1:25">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0">
        <f t="array" aca="1" ref="P121:P123" ca="1">'DC Distr 4'!D121:D123</f>
        <v>0</v>
      </c>
      <c r="Q121" s="1920">
        <f ca="1"/>
        <v>0</v>
      </c>
      <c r="R121" s="1920">
        <f ca="1"/>
        <v>0</v>
      </c>
      <c r="S121" s="1920">
        <f ca="1"/>
        <v>0</v>
      </c>
      <c r="T121" s="1920">
        <f ca="1"/>
        <v>0</v>
      </c>
      <c r="U121" s="1920">
        <f ca="1"/>
        <v>0</v>
      </c>
      <c r="V121" s="1920">
        <f ca="1"/>
        <v>0</v>
      </c>
      <c r="W121" s="1920">
        <f ca="1"/>
        <v>0</v>
      </c>
      <c r="X121" s="1920">
        <f ca="1"/>
        <v>0</v>
      </c>
      <c r="Y121" s="1937">
        <f ca="1"/>
        <v>0</v>
      </c>
    </row>
    <row r="122" spans="1:25">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0">
        <f ca="1">'DC Distr 4'!C122</f>
        <v>0</v>
      </c>
      <c r="P122" s="1920">
        <f ca="1"/>
        <v>0</v>
      </c>
      <c r="Q122" s="1920">
        <f ca="1"/>
        <v>0</v>
      </c>
      <c r="R122" s="1920">
        <f ca="1"/>
        <v>0</v>
      </c>
      <c r="S122" s="1920">
        <f ca="1"/>
        <v>0</v>
      </c>
      <c r="T122" s="1920">
        <f ca="1"/>
        <v>0</v>
      </c>
      <c r="U122" s="1920">
        <f ca="1"/>
        <v>0</v>
      </c>
      <c r="V122" s="1920">
        <f ca="1"/>
        <v>0</v>
      </c>
      <c r="W122" s="1920">
        <f ca="1"/>
        <v>0</v>
      </c>
      <c r="X122" s="1920">
        <f ca="1"/>
        <v>0</v>
      </c>
      <c r="Y122" s="1937">
        <f ca="1"/>
        <v>0</v>
      </c>
    </row>
    <row r="123" spans="1:25"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f ca="1">'DC Distr 4'!B123</f>
        <v>0</v>
      </c>
      <c r="O123" s="1920">
        <f ca="1">'DC Distr 4'!C123</f>
        <v>0</v>
      </c>
      <c r="P123" s="1920">
        <f ca="1"/>
        <v>0</v>
      </c>
      <c r="Q123" s="1920">
        <f ca="1"/>
        <v>0</v>
      </c>
      <c r="R123" s="1920">
        <f ca="1"/>
        <v>0</v>
      </c>
      <c r="S123" s="1920">
        <f ca="1"/>
        <v>0</v>
      </c>
      <c r="T123" s="1920">
        <f ca="1"/>
        <v>0</v>
      </c>
      <c r="U123" s="1920">
        <f ca="1"/>
        <v>0</v>
      </c>
      <c r="V123" s="1920">
        <f ca="1"/>
        <v>0</v>
      </c>
      <c r="W123" s="1920">
        <f ca="1"/>
        <v>0</v>
      </c>
      <c r="X123" s="1920">
        <f ca="1"/>
        <v>0</v>
      </c>
      <c r="Y123" s="1937">
        <f ca="1"/>
        <v>0</v>
      </c>
    </row>
    <row r="124" spans="1:25"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120.52778810000001</v>
      </c>
      <c r="O124" s="587">
        <f t="shared" ca="1" si="10"/>
        <v>120.52778810000001</v>
      </c>
      <c r="P124" s="587">
        <f t="shared" ca="1" si="10"/>
        <v>120.52778810000001</v>
      </c>
      <c r="Q124" s="587">
        <f t="shared" ca="1" si="10"/>
        <v>120.52778810000001</v>
      </c>
      <c r="R124" s="587">
        <f t="shared" ca="1" si="10"/>
        <v>120.52778810000001</v>
      </c>
      <c r="S124" s="587">
        <f t="shared" ca="1" si="10"/>
        <v>120.52778810000001</v>
      </c>
      <c r="T124" s="587">
        <f t="shared" ca="1" si="10"/>
        <v>120.52778810000001</v>
      </c>
      <c r="U124" s="587">
        <f t="shared" ca="1" si="10"/>
        <v>120.52778810000001</v>
      </c>
      <c r="V124" s="587">
        <f t="shared" ca="1" si="10"/>
        <v>120.52778810000001</v>
      </c>
      <c r="W124" s="587">
        <f t="shared" ca="1" si="10"/>
        <v>120.52778810000001</v>
      </c>
      <c r="X124" s="587">
        <f t="shared" ca="1" si="10"/>
        <v>120.52778810000001</v>
      </c>
      <c r="Y124" s="1935">
        <f t="shared" ca="1" si="10"/>
        <v>120.52778810000001</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25.310835501</v>
      </c>
      <c r="O125" s="587">
        <f ca="1"/>
        <v>25.310835501</v>
      </c>
      <c r="P125" s="587">
        <f ca="1"/>
        <v>25.310835501</v>
      </c>
      <c r="Q125" s="587">
        <f ca="1"/>
        <v>25.310835501</v>
      </c>
      <c r="R125" s="587">
        <f ca="1"/>
        <v>25.310835501</v>
      </c>
      <c r="S125" s="587">
        <f ca="1"/>
        <v>25.310835501</v>
      </c>
      <c r="T125" s="587">
        <f ca="1"/>
        <v>25.310835501</v>
      </c>
      <c r="U125" s="587">
        <f ca="1"/>
        <v>25.310835501</v>
      </c>
      <c r="V125" s="587">
        <f ca="1"/>
        <v>25.310835501</v>
      </c>
      <c r="W125" s="587">
        <f ca="1"/>
        <v>25.310835501</v>
      </c>
      <c r="X125" s="587">
        <f ca="1"/>
        <v>25.310835501</v>
      </c>
      <c r="Y125" s="1935">
        <f ca="1"/>
        <v>25.310835501</v>
      </c>
    </row>
    <row r="127" spans="1:25" ht="18.75" thickBot="1">
      <c r="A127" s="1921" t="str">
        <f>'DC Distr 0'!A127</f>
        <v xml:space="preserve">Monthly Purchases / Production costs for </v>
      </c>
      <c r="I127" s="1921" t="str">
        <f>I$18</f>
        <v>VAT NOT included</v>
      </c>
      <c r="K127" s="1932">
        <f>Parameters!$F$25</f>
        <v>0.21</v>
      </c>
    </row>
    <row r="128" spans="1:25" ht="30" customHeight="1" thickBot="1">
      <c r="A128" s="441" t="str">
        <f t="array" ref="A128:A141">A$110:A$123</f>
        <v>Months before sale</v>
      </c>
      <c r="B128" s="1938" t="str">
        <f t="array" ref="B128:Y128">B$71:Y$71</f>
        <v>January
2028</v>
      </c>
      <c r="C128" s="1938" t="str">
        <v>February
2028</v>
      </c>
      <c r="D128" s="1938" t="str">
        <v>March
2028</v>
      </c>
      <c r="E128" s="1938" t="str">
        <v>April
2028</v>
      </c>
      <c r="F128" s="1938" t="str">
        <v>May
2028</v>
      </c>
      <c r="G128" s="1938" t="str">
        <v>June
2028</v>
      </c>
      <c r="H128" s="1938" t="str">
        <v>July
2028</v>
      </c>
      <c r="I128" s="1938" t="str">
        <v>August
2028</v>
      </c>
      <c r="J128" s="1938" t="str">
        <v>September
2028</v>
      </c>
      <c r="K128" s="1938" t="str">
        <v>October
2028</v>
      </c>
      <c r="L128" s="1938" t="str">
        <v>November
2028</v>
      </c>
      <c r="M128" s="1938" t="str">
        <v>December
2028</v>
      </c>
      <c r="N128" s="2721" t="str">
        <v>January 
2029</v>
      </c>
      <c r="O128" s="2722" t="str">
        <v>February 
2029</v>
      </c>
      <c r="P128" s="2722" t="str">
        <v>March 
2029</v>
      </c>
      <c r="Q128" s="2722" t="str">
        <v>April 
2029</v>
      </c>
      <c r="R128" s="2722" t="str">
        <v>May 
2029</v>
      </c>
      <c r="S128" s="2722" t="str">
        <v>June 
2029</v>
      </c>
      <c r="T128" s="2722" t="str">
        <v>July 
2029</v>
      </c>
      <c r="U128" s="2722" t="str">
        <v>August 
2029</v>
      </c>
      <c r="V128" s="2722" t="str">
        <v>September 
2029</v>
      </c>
      <c r="W128" s="2722" t="str">
        <v>October 
2029</v>
      </c>
      <c r="X128" s="2722" t="str">
        <v>November 
2029</v>
      </c>
      <c r="Y128" s="2723" t="str">
        <v>December 
2029</v>
      </c>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f t="array" aca="1" ref="Y130:Y141" ca="1">'DC Distr 4'!M130:M141</f>
        <v>0</v>
      </c>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6">
        <f t="array" aca="1" ref="X131:X141" ca="1">'DC Distr 4'!L131:L141</f>
        <v>0</v>
      </c>
      <c r="Y131" s="1934">
        <f ca="1"/>
        <v>0</v>
      </c>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6">
        <f t="array" aca="1" ref="W132:W141" ca="1">'DC Distr 4'!K132:K141</f>
        <v>0</v>
      </c>
      <c r="X132" s="1916">
        <f ca="1"/>
        <v>0</v>
      </c>
      <c r="Y132" s="1934">
        <f ca="1"/>
        <v>0</v>
      </c>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6">
        <f t="array" aca="1" ref="V133:V141" ca="1">'DC Distr 4'!J133:J141</f>
        <v>0</v>
      </c>
      <c r="W133" s="1916">
        <f ca="1"/>
        <v>0</v>
      </c>
      <c r="X133" s="1916">
        <f ca="1"/>
        <v>0</v>
      </c>
      <c r="Y133" s="1934">
        <f ca="1"/>
        <v>0</v>
      </c>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6">
        <f t="array" aca="1" ref="U134:U141" ca="1">'DC Distr 4'!I134:I141</f>
        <v>0</v>
      </c>
      <c r="V134" s="1916">
        <f ca="1"/>
        <v>0</v>
      </c>
      <c r="W134" s="1916">
        <f ca="1"/>
        <v>0</v>
      </c>
      <c r="X134" s="1916">
        <f ca="1"/>
        <v>0</v>
      </c>
      <c r="Y134" s="1934">
        <f ca="1"/>
        <v>0</v>
      </c>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6">
        <f t="array" aca="1" ref="T135:T141" ca="1">'DC Distr 4'!H135:H141</f>
        <v>0</v>
      </c>
      <c r="U135" s="1916">
        <f ca="1"/>
        <v>0</v>
      </c>
      <c r="V135" s="1916">
        <f ca="1"/>
        <v>0</v>
      </c>
      <c r="W135" s="1916">
        <f ca="1"/>
        <v>0</v>
      </c>
      <c r="X135" s="1916">
        <f ca="1"/>
        <v>0</v>
      </c>
      <c r="Y135" s="1934">
        <f ca="1"/>
        <v>0</v>
      </c>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0">
        <f t="array" aca="1" ref="S136:S141" ca="1">'DC Distr 4'!G136:G141</f>
        <v>0</v>
      </c>
      <c r="T136" s="1920">
        <f ca="1"/>
        <v>0</v>
      </c>
      <c r="U136" s="1920">
        <f ca="1"/>
        <v>0</v>
      </c>
      <c r="V136" s="1920">
        <f ca="1"/>
        <v>0</v>
      </c>
      <c r="W136" s="1920">
        <f ca="1"/>
        <v>0</v>
      </c>
      <c r="X136" s="1920">
        <f ca="1"/>
        <v>0</v>
      </c>
      <c r="Y136" s="1937">
        <f ca="1"/>
        <v>0</v>
      </c>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0">
        <f t="array" aca="1" ref="R137:R141" ca="1">'DC Distr 4'!F137:F141</f>
        <v>0</v>
      </c>
      <c r="S137" s="1920">
        <f ca="1"/>
        <v>0</v>
      </c>
      <c r="T137" s="1920">
        <f ca="1"/>
        <v>0</v>
      </c>
      <c r="U137" s="1920">
        <f ca="1"/>
        <v>0</v>
      </c>
      <c r="V137" s="1920">
        <f ca="1"/>
        <v>0</v>
      </c>
      <c r="W137" s="1920">
        <f ca="1"/>
        <v>0</v>
      </c>
      <c r="X137" s="1920">
        <f ca="1"/>
        <v>0</v>
      </c>
      <c r="Y137" s="1937">
        <f ca="1"/>
        <v>0</v>
      </c>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0">
        <f t="array" aca="1" ref="Q138:Q141" ca="1">'DC Distr 4'!E138:E141</f>
        <v>0</v>
      </c>
      <c r="R138" s="1920">
        <f ca="1"/>
        <v>0</v>
      </c>
      <c r="S138" s="1920">
        <f ca="1"/>
        <v>0</v>
      </c>
      <c r="T138" s="1920">
        <f ca="1"/>
        <v>0</v>
      </c>
      <c r="U138" s="1920">
        <f ca="1"/>
        <v>0</v>
      </c>
      <c r="V138" s="1920">
        <f ca="1"/>
        <v>0</v>
      </c>
      <c r="W138" s="1920">
        <f ca="1"/>
        <v>0</v>
      </c>
      <c r="X138" s="1920">
        <f ca="1"/>
        <v>0</v>
      </c>
      <c r="Y138" s="1937">
        <f ca="1"/>
        <v>0</v>
      </c>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0">
        <f t="array" aca="1" ref="P139:P141" ca="1">'DC Distr 4'!D139:D141</f>
        <v>0</v>
      </c>
      <c r="Q139" s="1920">
        <f ca="1"/>
        <v>0</v>
      </c>
      <c r="R139" s="1920">
        <f ca="1"/>
        <v>0</v>
      </c>
      <c r="S139" s="1920">
        <f ca="1"/>
        <v>0</v>
      </c>
      <c r="T139" s="1920">
        <f ca="1"/>
        <v>0</v>
      </c>
      <c r="U139" s="1920">
        <f ca="1"/>
        <v>0</v>
      </c>
      <c r="V139" s="1920">
        <f ca="1"/>
        <v>0</v>
      </c>
      <c r="W139" s="1920">
        <f ca="1"/>
        <v>0</v>
      </c>
      <c r="X139" s="1920">
        <f ca="1"/>
        <v>0</v>
      </c>
      <c r="Y139" s="1937">
        <f ca="1"/>
        <v>0</v>
      </c>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0">
        <f ca="1">'DC Distr 4'!C140</f>
        <v>0</v>
      </c>
      <c r="P140" s="1920">
        <f ca="1"/>
        <v>0</v>
      </c>
      <c r="Q140" s="1920">
        <f ca="1"/>
        <v>0</v>
      </c>
      <c r="R140" s="1920">
        <f ca="1"/>
        <v>0</v>
      </c>
      <c r="S140" s="1920">
        <f ca="1"/>
        <v>0</v>
      </c>
      <c r="T140" s="1920">
        <f ca="1"/>
        <v>0</v>
      </c>
      <c r="U140" s="1920">
        <f ca="1"/>
        <v>0</v>
      </c>
      <c r="V140" s="1920">
        <f ca="1"/>
        <v>0</v>
      </c>
      <c r="W140" s="1920">
        <f ca="1"/>
        <v>0</v>
      </c>
      <c r="X140" s="1920">
        <f ca="1"/>
        <v>0</v>
      </c>
      <c r="Y140" s="1937">
        <f ca="1"/>
        <v>0</v>
      </c>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f ca="1">'DC Distr 4'!B141</f>
        <v>0</v>
      </c>
      <c r="O141" s="1920">
        <f ca="1">'DC Distr 4'!C141</f>
        <v>0</v>
      </c>
      <c r="P141" s="1920">
        <f ca="1"/>
        <v>0</v>
      </c>
      <c r="Q141" s="1920">
        <f ca="1"/>
        <v>0</v>
      </c>
      <c r="R141" s="1920">
        <f ca="1"/>
        <v>0</v>
      </c>
      <c r="S141" s="1920">
        <f ca="1"/>
        <v>0</v>
      </c>
      <c r="T141" s="1920">
        <f ca="1"/>
        <v>0</v>
      </c>
      <c r="U141" s="1920">
        <f ca="1"/>
        <v>0</v>
      </c>
      <c r="V141" s="1920">
        <f ca="1"/>
        <v>0</v>
      </c>
      <c r="W141" s="1920">
        <f ca="1"/>
        <v>0</v>
      </c>
      <c r="X141" s="1920">
        <f ca="1"/>
        <v>0</v>
      </c>
      <c r="Y141" s="1937">
        <f ca="1"/>
        <v>0</v>
      </c>
    </row>
    <row r="142" spans="1:25" ht="13.5"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5">
        <f t="shared" ca="1" si="11"/>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5" ht="18.75" thickBot="1">
      <c r="A145" s="1921" t="str">
        <f>'DC Distr 0'!A145</f>
        <v xml:space="preserve">Monthly Purchases / Production costs for </v>
      </c>
      <c r="I145" s="1921" t="str">
        <f>I$18</f>
        <v>VAT NOT included</v>
      </c>
      <c r="K145" s="1932">
        <f>Parameters!$F$26</f>
        <v>0.21</v>
      </c>
    </row>
    <row r="146" spans="1:25" ht="30" customHeight="1" thickBot="1">
      <c r="A146" s="441" t="str">
        <f t="array" ref="A146:A159">A$110:A$123</f>
        <v>Months before sale</v>
      </c>
      <c r="B146" s="1938" t="str">
        <f t="array" ref="B146:Y146">B$71:Y$71</f>
        <v>January
2028</v>
      </c>
      <c r="C146" s="1938" t="str">
        <v>February
2028</v>
      </c>
      <c r="D146" s="1938" t="str">
        <v>March
2028</v>
      </c>
      <c r="E146" s="1938" t="str">
        <v>April
2028</v>
      </c>
      <c r="F146" s="1938" t="str">
        <v>May
2028</v>
      </c>
      <c r="G146" s="1938" t="str">
        <v>June
2028</v>
      </c>
      <c r="H146" s="1938" t="str">
        <v>July
2028</v>
      </c>
      <c r="I146" s="1938" t="str">
        <v>August
2028</v>
      </c>
      <c r="J146" s="1938" t="str">
        <v>September
2028</v>
      </c>
      <c r="K146" s="1938" t="str">
        <v>October
2028</v>
      </c>
      <c r="L146" s="1938" t="str">
        <v>November
2028</v>
      </c>
      <c r="M146" s="1938" t="str">
        <v>December
2028</v>
      </c>
      <c r="N146" s="2721" t="str">
        <v>January 
2029</v>
      </c>
      <c r="O146" s="2722" t="str">
        <v>February 
2029</v>
      </c>
      <c r="P146" s="2722" t="str">
        <v>March 
2029</v>
      </c>
      <c r="Q146" s="2722" t="str">
        <v>April 
2029</v>
      </c>
      <c r="R146" s="2722" t="str">
        <v>May 
2029</v>
      </c>
      <c r="S146" s="2722" t="str">
        <v>June 
2029</v>
      </c>
      <c r="T146" s="2722" t="str">
        <v>July 
2029</v>
      </c>
      <c r="U146" s="2722" t="str">
        <v>August 
2029</v>
      </c>
      <c r="V146" s="2722" t="str">
        <v>September 
2029</v>
      </c>
      <c r="W146" s="2722" t="str">
        <v>October 
2029</v>
      </c>
      <c r="X146" s="2722" t="str">
        <v>November 
2029</v>
      </c>
      <c r="Y146" s="2723" t="str">
        <v>December 
2029</v>
      </c>
    </row>
    <row r="147" spans="1:25">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5">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f t="array" aca="1" ref="Y148:Y159" ca="1">'DC Distr 4'!M148:M159</f>
        <v>0</v>
      </c>
    </row>
    <row r="149" spans="1:25">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6">
        <f t="array" aca="1" ref="X149:X159" ca="1">'DC Distr 4'!L149:L159</f>
        <v>0</v>
      </c>
      <c r="Y149" s="1934">
        <f ca="1"/>
        <v>0</v>
      </c>
    </row>
    <row r="150" spans="1:25">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6">
        <f t="array" aca="1" ref="W150:W159" ca="1">'DC Distr 4'!K150:K159</f>
        <v>0</v>
      </c>
      <c r="X150" s="1916">
        <f ca="1"/>
        <v>0</v>
      </c>
      <c r="Y150" s="1934">
        <f ca="1"/>
        <v>0</v>
      </c>
    </row>
    <row r="151" spans="1:25">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6">
        <f t="array" aca="1" ref="V151:V159" ca="1">'DC Distr 4'!J151:J159</f>
        <v>0</v>
      </c>
      <c r="W151" s="1916">
        <f ca="1"/>
        <v>0</v>
      </c>
      <c r="X151" s="1916">
        <f ca="1"/>
        <v>0</v>
      </c>
      <c r="Y151" s="1934">
        <f ca="1"/>
        <v>0</v>
      </c>
    </row>
    <row r="152" spans="1:25">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6">
        <f t="array" aca="1" ref="U152:U159" ca="1">'DC Distr 4'!I152:I159</f>
        <v>0</v>
      </c>
      <c r="V152" s="1916">
        <f ca="1"/>
        <v>0</v>
      </c>
      <c r="W152" s="1916">
        <f ca="1"/>
        <v>0</v>
      </c>
      <c r="X152" s="1916">
        <f ca="1"/>
        <v>0</v>
      </c>
      <c r="Y152" s="1934">
        <f ca="1"/>
        <v>0</v>
      </c>
    </row>
    <row r="153" spans="1:25">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6">
        <f t="array" aca="1" ref="T153:T159" ca="1">'DC Distr 4'!H153:H159</f>
        <v>0</v>
      </c>
      <c r="U153" s="1916">
        <f ca="1"/>
        <v>0</v>
      </c>
      <c r="V153" s="1916">
        <f ca="1"/>
        <v>0</v>
      </c>
      <c r="W153" s="1916">
        <f ca="1"/>
        <v>0</v>
      </c>
      <c r="X153" s="1916">
        <f ca="1"/>
        <v>0</v>
      </c>
      <c r="Y153" s="1934">
        <f ca="1"/>
        <v>0</v>
      </c>
    </row>
    <row r="154" spans="1:25">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0">
        <f t="array" aca="1" ref="S154:S159" ca="1">'DC Distr 4'!G154:G159</f>
        <v>0</v>
      </c>
      <c r="T154" s="1920">
        <f ca="1"/>
        <v>0</v>
      </c>
      <c r="U154" s="1920">
        <f ca="1"/>
        <v>0</v>
      </c>
      <c r="V154" s="1920">
        <f ca="1"/>
        <v>0</v>
      </c>
      <c r="W154" s="1920">
        <f ca="1"/>
        <v>0</v>
      </c>
      <c r="X154" s="1920">
        <f ca="1"/>
        <v>0</v>
      </c>
      <c r="Y154" s="1937">
        <f ca="1"/>
        <v>0</v>
      </c>
    </row>
    <row r="155" spans="1:25">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0">
        <f t="array" aca="1" ref="R155:R159" ca="1">'DC Distr 4'!F155:F159</f>
        <v>0</v>
      </c>
      <c r="S155" s="1920">
        <f ca="1"/>
        <v>0</v>
      </c>
      <c r="T155" s="1920">
        <f ca="1"/>
        <v>0</v>
      </c>
      <c r="U155" s="1920">
        <f ca="1"/>
        <v>0</v>
      </c>
      <c r="V155" s="1920">
        <f ca="1"/>
        <v>0</v>
      </c>
      <c r="W155" s="1920">
        <f ca="1"/>
        <v>0</v>
      </c>
      <c r="X155" s="1920">
        <f ca="1"/>
        <v>0</v>
      </c>
      <c r="Y155" s="1937">
        <f ca="1"/>
        <v>0</v>
      </c>
    </row>
    <row r="156" spans="1:25">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0">
        <f t="array" aca="1" ref="Q156:Q159" ca="1">'DC Distr 4'!E156:E159</f>
        <v>0</v>
      </c>
      <c r="R156" s="1920">
        <f ca="1"/>
        <v>0</v>
      </c>
      <c r="S156" s="1920">
        <f ca="1"/>
        <v>0</v>
      </c>
      <c r="T156" s="1920">
        <f ca="1"/>
        <v>0</v>
      </c>
      <c r="U156" s="1920">
        <f ca="1"/>
        <v>0</v>
      </c>
      <c r="V156" s="1920">
        <f ca="1"/>
        <v>0</v>
      </c>
      <c r="W156" s="1920">
        <f ca="1"/>
        <v>0</v>
      </c>
      <c r="X156" s="1920">
        <f ca="1"/>
        <v>0</v>
      </c>
      <c r="Y156" s="1937">
        <f ca="1"/>
        <v>0</v>
      </c>
    </row>
    <row r="157" spans="1:25">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0">
        <f t="array" aca="1" ref="P157:P159" ca="1">'DC Distr 4'!D157:D159</f>
        <v>0</v>
      </c>
      <c r="Q157" s="1920">
        <f ca="1"/>
        <v>0</v>
      </c>
      <c r="R157" s="1920">
        <f ca="1"/>
        <v>0</v>
      </c>
      <c r="S157" s="1920">
        <f ca="1"/>
        <v>0</v>
      </c>
      <c r="T157" s="1920">
        <f ca="1"/>
        <v>0</v>
      </c>
      <c r="U157" s="1920">
        <f ca="1"/>
        <v>0</v>
      </c>
      <c r="V157" s="1920">
        <f ca="1"/>
        <v>0</v>
      </c>
      <c r="W157" s="1920">
        <f ca="1"/>
        <v>0</v>
      </c>
      <c r="X157" s="1920">
        <f ca="1"/>
        <v>0</v>
      </c>
      <c r="Y157" s="1937">
        <f ca="1"/>
        <v>0</v>
      </c>
    </row>
    <row r="158" spans="1:25">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0">
        <f ca="1">'DC Distr 4'!C158</f>
        <v>0</v>
      </c>
      <c r="P158" s="1920">
        <f ca="1"/>
        <v>0</v>
      </c>
      <c r="Q158" s="1920">
        <f ca="1"/>
        <v>0</v>
      </c>
      <c r="R158" s="1920">
        <f ca="1"/>
        <v>0</v>
      </c>
      <c r="S158" s="1920">
        <f ca="1"/>
        <v>0</v>
      </c>
      <c r="T158" s="1920">
        <f ca="1"/>
        <v>0</v>
      </c>
      <c r="U158" s="1920">
        <f ca="1"/>
        <v>0</v>
      </c>
      <c r="V158" s="1920">
        <f ca="1"/>
        <v>0</v>
      </c>
      <c r="W158" s="1920">
        <f ca="1"/>
        <v>0</v>
      </c>
      <c r="X158" s="1920">
        <f ca="1"/>
        <v>0</v>
      </c>
      <c r="Y158" s="1937">
        <f ca="1"/>
        <v>0</v>
      </c>
    </row>
    <row r="159" spans="1:25"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f ca="1">'DC Distr 4'!B159</f>
        <v>0</v>
      </c>
      <c r="O159" s="1920">
        <f ca="1">'DC Distr 4'!C159</f>
        <v>0</v>
      </c>
      <c r="P159" s="1920">
        <f ca="1"/>
        <v>0</v>
      </c>
      <c r="Q159" s="1920">
        <f ca="1"/>
        <v>0</v>
      </c>
      <c r="R159" s="1920">
        <f ca="1"/>
        <v>0</v>
      </c>
      <c r="S159" s="1920">
        <f ca="1"/>
        <v>0</v>
      </c>
      <c r="T159" s="1920">
        <f ca="1"/>
        <v>0</v>
      </c>
      <c r="U159" s="1920">
        <f ca="1"/>
        <v>0</v>
      </c>
      <c r="V159" s="1920">
        <f ca="1"/>
        <v>0</v>
      </c>
      <c r="W159" s="1920">
        <f ca="1"/>
        <v>0</v>
      </c>
      <c r="X159" s="1920">
        <f ca="1"/>
        <v>0</v>
      </c>
      <c r="Y159" s="1937">
        <f ca="1"/>
        <v>0</v>
      </c>
    </row>
    <row r="160" spans="1:25" ht="13.5"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5">
        <f t="shared" ca="1" si="12"/>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5" ht="18.75" thickBot="1">
      <c r="A163" s="1921" t="str">
        <f>'DC Distr 0'!A163</f>
        <v xml:space="preserve">Monthly Purchases / Production costs for </v>
      </c>
      <c r="I163" s="1921" t="str">
        <f>I$18</f>
        <v>VAT NOT included</v>
      </c>
      <c r="K163" s="1932">
        <f>Parameters!$F$27</f>
        <v>0.21</v>
      </c>
    </row>
    <row r="164" spans="1:25" ht="30" customHeight="1" thickBot="1">
      <c r="A164" s="441" t="str">
        <f t="array" ref="A164:A177">A$110:A$123</f>
        <v>Months before sale</v>
      </c>
      <c r="B164" s="1938" t="str">
        <f t="array" ref="B164:Y164">B$71:Y$71</f>
        <v>January
2028</v>
      </c>
      <c r="C164" s="1938" t="str">
        <v>February
2028</v>
      </c>
      <c r="D164" s="1938" t="str">
        <v>March
2028</v>
      </c>
      <c r="E164" s="1938" t="str">
        <v>April
2028</v>
      </c>
      <c r="F164" s="1938" t="str">
        <v>May
2028</v>
      </c>
      <c r="G164" s="1938" t="str">
        <v>June
2028</v>
      </c>
      <c r="H164" s="1938" t="str">
        <v>July
2028</v>
      </c>
      <c r="I164" s="1938" t="str">
        <v>August
2028</v>
      </c>
      <c r="J164" s="1938" t="str">
        <v>September
2028</v>
      </c>
      <c r="K164" s="1938" t="str">
        <v>October
2028</v>
      </c>
      <c r="L164" s="1938" t="str">
        <v>November
2028</v>
      </c>
      <c r="M164" s="1938" t="str">
        <v>December
2028</v>
      </c>
      <c r="N164" s="2721" t="str">
        <v>January 
2029</v>
      </c>
      <c r="O164" s="2722" t="str">
        <v>February 
2029</v>
      </c>
      <c r="P164" s="2722" t="str">
        <v>March 
2029</v>
      </c>
      <c r="Q164" s="2722" t="str">
        <v>April 
2029</v>
      </c>
      <c r="R164" s="2722" t="str">
        <v>May 
2029</v>
      </c>
      <c r="S164" s="2722" t="str">
        <v>June 
2029</v>
      </c>
      <c r="T164" s="2722" t="str">
        <v>July 
2029</v>
      </c>
      <c r="U164" s="2722" t="str">
        <v>August 
2029</v>
      </c>
      <c r="V164" s="2722" t="str">
        <v>September 
2029</v>
      </c>
      <c r="W164" s="2722" t="str">
        <v>October 
2029</v>
      </c>
      <c r="X164" s="2722" t="str">
        <v>November 
2029</v>
      </c>
      <c r="Y164" s="2723" t="str">
        <v>December 
2029</v>
      </c>
    </row>
    <row r="165" spans="1:25">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5">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f t="array" aca="1" ref="Y166:Y177" ca="1">'DC Distr 4'!M166:M177</f>
        <v>0</v>
      </c>
    </row>
    <row r="167" spans="1:25">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6">
        <f t="array" aca="1" ref="X167:X177" ca="1">'DC Distr 4'!L167:L177</f>
        <v>0</v>
      </c>
      <c r="Y167" s="1934">
        <f ca="1"/>
        <v>0</v>
      </c>
    </row>
    <row r="168" spans="1:25">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6">
        <f t="array" aca="1" ref="W168:W177" ca="1">'DC Distr 4'!K168:K177</f>
        <v>0</v>
      </c>
      <c r="X168" s="1916">
        <f ca="1"/>
        <v>0</v>
      </c>
      <c r="Y168" s="1934">
        <f ca="1"/>
        <v>0</v>
      </c>
    </row>
    <row r="169" spans="1:25">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6">
        <f t="array" aca="1" ref="V169:V177" ca="1">'DC Distr 4'!J169:J177</f>
        <v>0</v>
      </c>
      <c r="W169" s="1916">
        <f ca="1"/>
        <v>0</v>
      </c>
      <c r="X169" s="1916">
        <f ca="1"/>
        <v>0</v>
      </c>
      <c r="Y169" s="1934">
        <f ca="1"/>
        <v>0</v>
      </c>
    </row>
    <row r="170" spans="1:25">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6">
        <f t="array" aca="1" ref="U170:U177" ca="1">'DC Distr 4'!I170:I177</f>
        <v>0</v>
      </c>
      <c r="V170" s="1916">
        <f ca="1"/>
        <v>0</v>
      </c>
      <c r="W170" s="1916">
        <f ca="1"/>
        <v>0</v>
      </c>
      <c r="X170" s="1916">
        <f ca="1"/>
        <v>0</v>
      </c>
      <c r="Y170" s="1934">
        <f ca="1"/>
        <v>0</v>
      </c>
    </row>
    <row r="171" spans="1:25">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6">
        <f t="array" aca="1" ref="T171:T177" ca="1">'DC Distr 4'!H171:H177</f>
        <v>0</v>
      </c>
      <c r="U171" s="1916">
        <f ca="1"/>
        <v>0</v>
      </c>
      <c r="V171" s="1916">
        <f ca="1"/>
        <v>0</v>
      </c>
      <c r="W171" s="1916">
        <f ca="1"/>
        <v>0</v>
      </c>
      <c r="X171" s="1916">
        <f ca="1"/>
        <v>0</v>
      </c>
      <c r="Y171" s="1934">
        <f ca="1"/>
        <v>0</v>
      </c>
    </row>
    <row r="172" spans="1:25">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0">
        <f t="array" aca="1" ref="S172:S177" ca="1">'DC Distr 4'!G172:G177</f>
        <v>0</v>
      </c>
      <c r="T172" s="1920">
        <f ca="1"/>
        <v>0</v>
      </c>
      <c r="U172" s="1920">
        <f ca="1"/>
        <v>0</v>
      </c>
      <c r="V172" s="1920">
        <f ca="1"/>
        <v>0</v>
      </c>
      <c r="W172" s="1920">
        <f ca="1"/>
        <v>0</v>
      </c>
      <c r="X172" s="1920">
        <f ca="1"/>
        <v>0</v>
      </c>
      <c r="Y172" s="1937">
        <f ca="1"/>
        <v>0</v>
      </c>
    </row>
    <row r="173" spans="1:25">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0">
        <f t="array" aca="1" ref="R173:R177" ca="1">'DC Distr 4'!F173:F177</f>
        <v>0</v>
      </c>
      <c r="S173" s="1920">
        <f ca="1"/>
        <v>0</v>
      </c>
      <c r="T173" s="1920">
        <f ca="1"/>
        <v>0</v>
      </c>
      <c r="U173" s="1920">
        <f ca="1"/>
        <v>0</v>
      </c>
      <c r="V173" s="1920">
        <f ca="1"/>
        <v>0</v>
      </c>
      <c r="W173" s="1920">
        <f ca="1"/>
        <v>0</v>
      </c>
      <c r="X173" s="1920">
        <f ca="1"/>
        <v>0</v>
      </c>
      <c r="Y173" s="1937">
        <f ca="1"/>
        <v>0</v>
      </c>
    </row>
    <row r="174" spans="1:25">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0">
        <f t="array" aca="1" ref="Q174:Q177" ca="1">'DC Distr 4'!E174:E177</f>
        <v>0</v>
      </c>
      <c r="R174" s="1920">
        <f ca="1"/>
        <v>0</v>
      </c>
      <c r="S174" s="1920">
        <f ca="1"/>
        <v>0</v>
      </c>
      <c r="T174" s="1920">
        <f ca="1"/>
        <v>0</v>
      </c>
      <c r="U174" s="1920">
        <f ca="1"/>
        <v>0</v>
      </c>
      <c r="V174" s="1920">
        <f ca="1"/>
        <v>0</v>
      </c>
      <c r="W174" s="1920">
        <f ca="1"/>
        <v>0</v>
      </c>
      <c r="X174" s="1920">
        <f ca="1"/>
        <v>0</v>
      </c>
      <c r="Y174" s="1937">
        <f ca="1"/>
        <v>0</v>
      </c>
    </row>
    <row r="175" spans="1:25">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0">
        <f t="array" aca="1" ref="P175:P177" ca="1">'DC Distr 4'!D175:D177</f>
        <v>0</v>
      </c>
      <c r="Q175" s="1920">
        <f ca="1"/>
        <v>0</v>
      </c>
      <c r="R175" s="1920">
        <f ca="1"/>
        <v>0</v>
      </c>
      <c r="S175" s="1920">
        <f ca="1"/>
        <v>0</v>
      </c>
      <c r="T175" s="1920">
        <f ca="1"/>
        <v>0</v>
      </c>
      <c r="U175" s="1920">
        <f ca="1"/>
        <v>0</v>
      </c>
      <c r="V175" s="1920">
        <f ca="1"/>
        <v>0</v>
      </c>
      <c r="W175" s="1920">
        <f ca="1"/>
        <v>0</v>
      </c>
      <c r="X175" s="1920">
        <f ca="1"/>
        <v>0</v>
      </c>
      <c r="Y175" s="1937">
        <f ca="1"/>
        <v>0</v>
      </c>
    </row>
    <row r="176" spans="1:25">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0">
        <f ca="1">'DC Distr 4'!C176</f>
        <v>0</v>
      </c>
      <c r="P176" s="1920">
        <f ca="1"/>
        <v>0</v>
      </c>
      <c r="Q176" s="1920">
        <f ca="1"/>
        <v>0</v>
      </c>
      <c r="R176" s="1920">
        <f ca="1"/>
        <v>0</v>
      </c>
      <c r="S176" s="1920">
        <f ca="1"/>
        <v>0</v>
      </c>
      <c r="T176" s="1920">
        <f ca="1"/>
        <v>0</v>
      </c>
      <c r="U176" s="1920">
        <f ca="1"/>
        <v>0</v>
      </c>
      <c r="V176" s="1920">
        <f ca="1"/>
        <v>0</v>
      </c>
      <c r="W176" s="1920">
        <f ca="1"/>
        <v>0</v>
      </c>
      <c r="X176" s="1920">
        <f ca="1"/>
        <v>0</v>
      </c>
      <c r="Y176" s="1937">
        <f ca="1"/>
        <v>0</v>
      </c>
    </row>
    <row r="177" spans="1:25"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f ca="1">'DC Distr 4'!B177</f>
        <v>0</v>
      </c>
      <c r="O177" s="1920">
        <f ca="1">'DC Distr 4'!C177</f>
        <v>0</v>
      </c>
      <c r="P177" s="1920">
        <f ca="1"/>
        <v>0</v>
      </c>
      <c r="Q177" s="1920">
        <f ca="1"/>
        <v>0</v>
      </c>
      <c r="R177" s="1920">
        <f ca="1"/>
        <v>0</v>
      </c>
      <c r="S177" s="1920">
        <f ca="1"/>
        <v>0</v>
      </c>
      <c r="T177" s="1920">
        <f ca="1"/>
        <v>0</v>
      </c>
      <c r="U177" s="1920">
        <f ca="1"/>
        <v>0</v>
      </c>
      <c r="V177" s="1920">
        <f ca="1"/>
        <v>0</v>
      </c>
      <c r="W177" s="1920">
        <f ca="1"/>
        <v>0</v>
      </c>
      <c r="X177" s="1920">
        <f ca="1"/>
        <v>0</v>
      </c>
      <c r="Y177" s="1937">
        <f ca="1"/>
        <v>0</v>
      </c>
    </row>
    <row r="178" spans="1:25" ht="13.5"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5">
        <f t="shared" ca="1" si="13"/>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5" ht="18.75" thickBot="1">
      <c r="A181" s="1921" t="str">
        <f>'DC Distr 0'!A181</f>
        <v xml:space="preserve">Monthly Purchases / Production costs for </v>
      </c>
      <c r="I181" s="1921" t="str">
        <f>I$18</f>
        <v>VAT NOT included</v>
      </c>
      <c r="K181" s="1932">
        <f>Parameters!$F$28</f>
        <v>0.21</v>
      </c>
    </row>
    <row r="182" spans="1:25" ht="31.5" customHeight="1" thickBot="1">
      <c r="A182" s="441" t="str">
        <f t="array" ref="A182:A195">A$110:A$123</f>
        <v>Months before sale</v>
      </c>
      <c r="B182" s="1938" t="str">
        <f t="array" ref="B182:Y182">B$71:Y$71</f>
        <v>January
2028</v>
      </c>
      <c r="C182" s="1938" t="str">
        <v>February
2028</v>
      </c>
      <c r="D182" s="1938" t="str">
        <v>March
2028</v>
      </c>
      <c r="E182" s="1938" t="str">
        <v>April
2028</v>
      </c>
      <c r="F182" s="1938" t="str">
        <v>May
2028</v>
      </c>
      <c r="G182" s="1938" t="str">
        <v>June
2028</v>
      </c>
      <c r="H182" s="1938" t="str">
        <v>July
2028</v>
      </c>
      <c r="I182" s="1938" t="str">
        <v>August
2028</v>
      </c>
      <c r="J182" s="1938" t="str">
        <v>September
2028</v>
      </c>
      <c r="K182" s="1938" t="str">
        <v>October
2028</v>
      </c>
      <c r="L182" s="1938" t="str">
        <v>November
2028</v>
      </c>
      <c r="M182" s="1938" t="str">
        <v>December
2028</v>
      </c>
      <c r="N182" s="2721" t="str">
        <v>January 
2029</v>
      </c>
      <c r="O182" s="2722" t="str">
        <v>February 
2029</v>
      </c>
      <c r="P182" s="2722" t="str">
        <v>March 
2029</v>
      </c>
      <c r="Q182" s="2722" t="str">
        <v>April 
2029</v>
      </c>
      <c r="R182" s="2722" t="str">
        <v>May 
2029</v>
      </c>
      <c r="S182" s="2722" t="str">
        <v>June 
2029</v>
      </c>
      <c r="T182" s="2722" t="str">
        <v>July 
2029</v>
      </c>
      <c r="U182" s="2722" t="str">
        <v>August 
2029</v>
      </c>
      <c r="V182" s="2722" t="str">
        <v>September 
2029</v>
      </c>
      <c r="W182" s="2722" t="str">
        <v>October 
2029</v>
      </c>
      <c r="X182" s="2722" t="str">
        <v>November 
2029</v>
      </c>
      <c r="Y182" s="2723" t="str">
        <v>December 
2029</v>
      </c>
    </row>
    <row r="183" spans="1:25">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5">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f t="array" aca="1" ref="Y184:Y195" ca="1">'DC Distr 4'!M184:M195</f>
        <v>0</v>
      </c>
    </row>
    <row r="185" spans="1:25">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6">
        <f t="array" aca="1" ref="X185:X195" ca="1">'DC Distr 4'!L185:L195</f>
        <v>0</v>
      </c>
      <c r="Y185" s="1934">
        <f ca="1"/>
        <v>0</v>
      </c>
    </row>
    <row r="186" spans="1:25">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6">
        <f t="array" aca="1" ref="W186:W195" ca="1">'DC Distr 4'!K186:K195</f>
        <v>0</v>
      </c>
      <c r="X186" s="1916">
        <f ca="1"/>
        <v>0</v>
      </c>
      <c r="Y186" s="1934">
        <f ca="1"/>
        <v>0</v>
      </c>
    </row>
    <row r="187" spans="1:25">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6">
        <f t="array" aca="1" ref="V187:V195" ca="1">'DC Distr 4'!J187:J195</f>
        <v>0</v>
      </c>
      <c r="W187" s="1916">
        <f ca="1"/>
        <v>0</v>
      </c>
      <c r="X187" s="1916">
        <f ca="1"/>
        <v>0</v>
      </c>
      <c r="Y187" s="1934">
        <f ca="1"/>
        <v>0</v>
      </c>
    </row>
    <row r="188" spans="1:25">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6">
        <f t="array" aca="1" ref="U188:U195" ca="1">'DC Distr 4'!I188:I195</f>
        <v>0</v>
      </c>
      <c r="V188" s="1916">
        <f ca="1"/>
        <v>0</v>
      </c>
      <c r="W188" s="1916">
        <f ca="1"/>
        <v>0</v>
      </c>
      <c r="X188" s="1916">
        <f ca="1"/>
        <v>0</v>
      </c>
      <c r="Y188" s="1934">
        <f ca="1"/>
        <v>0</v>
      </c>
    </row>
    <row r="189" spans="1:25">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6">
        <f t="array" aca="1" ref="T189:T195" ca="1">'DC Distr 4'!H189:H195</f>
        <v>0</v>
      </c>
      <c r="U189" s="1916">
        <f ca="1"/>
        <v>0</v>
      </c>
      <c r="V189" s="1916">
        <f ca="1"/>
        <v>0</v>
      </c>
      <c r="W189" s="1916">
        <f ca="1"/>
        <v>0</v>
      </c>
      <c r="X189" s="1916">
        <f ca="1"/>
        <v>0</v>
      </c>
      <c r="Y189" s="1934">
        <f ca="1"/>
        <v>0</v>
      </c>
    </row>
    <row r="190" spans="1:25">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0">
        <f t="array" aca="1" ref="S190:S195" ca="1">'DC Distr 4'!G190:G195</f>
        <v>0</v>
      </c>
      <c r="T190" s="1920">
        <f ca="1"/>
        <v>0</v>
      </c>
      <c r="U190" s="1920">
        <f ca="1"/>
        <v>0</v>
      </c>
      <c r="V190" s="1920">
        <f ca="1"/>
        <v>0</v>
      </c>
      <c r="W190" s="1920">
        <f ca="1"/>
        <v>0</v>
      </c>
      <c r="X190" s="1920">
        <f ca="1"/>
        <v>0</v>
      </c>
      <c r="Y190" s="1937">
        <f ca="1"/>
        <v>0</v>
      </c>
    </row>
    <row r="191" spans="1:25">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0">
        <f t="array" aca="1" ref="R191:R195" ca="1">'DC Distr 4'!F191:F195</f>
        <v>0</v>
      </c>
      <c r="S191" s="1920">
        <f ca="1"/>
        <v>0</v>
      </c>
      <c r="T191" s="1920">
        <f ca="1"/>
        <v>0</v>
      </c>
      <c r="U191" s="1920">
        <f ca="1"/>
        <v>0</v>
      </c>
      <c r="V191" s="1920">
        <f ca="1"/>
        <v>0</v>
      </c>
      <c r="W191" s="1920">
        <f ca="1"/>
        <v>0</v>
      </c>
      <c r="X191" s="1920">
        <f ca="1"/>
        <v>0</v>
      </c>
      <c r="Y191" s="1937">
        <f ca="1"/>
        <v>0</v>
      </c>
    </row>
    <row r="192" spans="1:25">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0">
        <f t="array" aca="1" ref="Q192:Q195" ca="1">'DC Distr 4'!E192:E195</f>
        <v>0</v>
      </c>
      <c r="R192" s="1920">
        <f ca="1"/>
        <v>0</v>
      </c>
      <c r="S192" s="1920">
        <f ca="1"/>
        <v>0</v>
      </c>
      <c r="T192" s="1920">
        <f ca="1"/>
        <v>0</v>
      </c>
      <c r="U192" s="1920">
        <f ca="1"/>
        <v>0</v>
      </c>
      <c r="V192" s="1920">
        <f ca="1"/>
        <v>0</v>
      </c>
      <c r="W192" s="1920">
        <f ca="1"/>
        <v>0</v>
      </c>
      <c r="X192" s="1920">
        <f ca="1"/>
        <v>0</v>
      </c>
      <c r="Y192" s="1937">
        <f ca="1"/>
        <v>0</v>
      </c>
    </row>
    <row r="193" spans="1:25">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0">
        <f t="array" aca="1" ref="P193:P195" ca="1">'DC Distr 4'!D193:D195</f>
        <v>0</v>
      </c>
      <c r="Q193" s="1920">
        <f ca="1"/>
        <v>0</v>
      </c>
      <c r="R193" s="1920">
        <f ca="1"/>
        <v>0</v>
      </c>
      <c r="S193" s="1920">
        <f ca="1"/>
        <v>0</v>
      </c>
      <c r="T193" s="1920">
        <f ca="1"/>
        <v>0</v>
      </c>
      <c r="U193" s="1920">
        <f ca="1"/>
        <v>0</v>
      </c>
      <c r="V193" s="1920">
        <f ca="1"/>
        <v>0</v>
      </c>
      <c r="W193" s="1920">
        <f ca="1"/>
        <v>0</v>
      </c>
      <c r="X193" s="1920">
        <f ca="1"/>
        <v>0</v>
      </c>
      <c r="Y193" s="1937">
        <f ca="1"/>
        <v>0</v>
      </c>
    </row>
    <row r="194" spans="1:25">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0">
        <f ca="1">'DC Distr 4'!C194</f>
        <v>0</v>
      </c>
      <c r="P194" s="1920">
        <f ca="1"/>
        <v>0</v>
      </c>
      <c r="Q194" s="1920">
        <f ca="1"/>
        <v>0</v>
      </c>
      <c r="R194" s="1920">
        <f ca="1"/>
        <v>0</v>
      </c>
      <c r="S194" s="1920">
        <f ca="1"/>
        <v>0</v>
      </c>
      <c r="T194" s="1920">
        <f ca="1"/>
        <v>0</v>
      </c>
      <c r="U194" s="1920">
        <f ca="1"/>
        <v>0</v>
      </c>
      <c r="V194" s="1920">
        <f ca="1"/>
        <v>0</v>
      </c>
      <c r="W194" s="1920">
        <f ca="1"/>
        <v>0</v>
      </c>
      <c r="X194" s="1920">
        <f ca="1"/>
        <v>0</v>
      </c>
      <c r="Y194" s="1937">
        <f ca="1"/>
        <v>0</v>
      </c>
    </row>
    <row r="195" spans="1:25"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f ca="1">'DC Distr 4'!B195</f>
        <v>0</v>
      </c>
      <c r="O195" s="1920">
        <f ca="1">'DC Distr 4'!C195</f>
        <v>0</v>
      </c>
      <c r="P195" s="1920">
        <f ca="1"/>
        <v>0</v>
      </c>
      <c r="Q195" s="1920">
        <f ca="1"/>
        <v>0</v>
      </c>
      <c r="R195" s="1920">
        <f ca="1"/>
        <v>0</v>
      </c>
      <c r="S195" s="1920">
        <f ca="1"/>
        <v>0</v>
      </c>
      <c r="T195" s="1920">
        <f ca="1"/>
        <v>0</v>
      </c>
      <c r="U195" s="1920">
        <f ca="1"/>
        <v>0</v>
      </c>
      <c r="V195" s="1920">
        <f ca="1"/>
        <v>0</v>
      </c>
      <c r="W195" s="1920">
        <f ca="1"/>
        <v>0</v>
      </c>
      <c r="X195" s="1920">
        <f ca="1"/>
        <v>0</v>
      </c>
      <c r="Y195" s="1937">
        <f ca="1"/>
        <v>0</v>
      </c>
    </row>
    <row r="196" spans="1:25" ht="13.5"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5">
        <f t="shared" ca="1" si="14"/>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5" ht="18.75" thickBot="1">
      <c r="A199" s="1921" t="str">
        <f>'DC Distr 0'!A199</f>
        <v xml:space="preserve">Monthly Purchases / Production costs for </v>
      </c>
      <c r="I199" s="1921" t="str">
        <f>I$18</f>
        <v>VAT NOT included</v>
      </c>
      <c r="K199" s="1932">
        <f>Parameters!$F$29</f>
        <v>0.21</v>
      </c>
    </row>
    <row r="200" spans="1:25" ht="33" customHeight="1" thickBot="1">
      <c r="A200" s="441" t="str">
        <f t="array" ref="A200:A213">A$110:A$123</f>
        <v>Months before sale</v>
      </c>
      <c r="B200" s="1938" t="str">
        <f t="array" ref="B200:Y200">B$71:Y$71</f>
        <v>January
2028</v>
      </c>
      <c r="C200" s="1938" t="str">
        <v>February
2028</v>
      </c>
      <c r="D200" s="1938" t="str">
        <v>March
2028</v>
      </c>
      <c r="E200" s="1938" t="str">
        <v>April
2028</v>
      </c>
      <c r="F200" s="1938" t="str">
        <v>May
2028</v>
      </c>
      <c r="G200" s="1938" t="str">
        <v>June
2028</v>
      </c>
      <c r="H200" s="1938" t="str">
        <v>July
2028</v>
      </c>
      <c r="I200" s="1938" t="str">
        <v>August
2028</v>
      </c>
      <c r="J200" s="1938" t="str">
        <v>September
2028</v>
      </c>
      <c r="K200" s="1938" t="str">
        <v>October
2028</v>
      </c>
      <c r="L200" s="1938" t="str">
        <v>November
2028</v>
      </c>
      <c r="M200" s="1938" t="str">
        <v>December
2028</v>
      </c>
      <c r="N200" s="2721" t="str">
        <v>January 
2029</v>
      </c>
      <c r="O200" s="2722" t="str">
        <v>February 
2029</v>
      </c>
      <c r="P200" s="2722" t="str">
        <v>March 
2029</v>
      </c>
      <c r="Q200" s="2722" t="str">
        <v>April 
2029</v>
      </c>
      <c r="R200" s="2722" t="str">
        <v>May 
2029</v>
      </c>
      <c r="S200" s="2722" t="str">
        <v>June 
2029</v>
      </c>
      <c r="T200" s="2722" t="str">
        <v>July 
2029</v>
      </c>
      <c r="U200" s="2722" t="str">
        <v>August 
2029</v>
      </c>
      <c r="V200" s="2722" t="str">
        <v>September 
2029</v>
      </c>
      <c r="W200" s="2722" t="str">
        <v>October 
2029</v>
      </c>
      <c r="X200" s="2722" t="str">
        <v>November 
2029</v>
      </c>
      <c r="Y200" s="2723" t="str">
        <v>December 
2029</v>
      </c>
    </row>
    <row r="201" spans="1:25">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5">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f t="array" aca="1" ref="Y202:Y213" ca="1">'DC Distr 4'!M202:M213</f>
        <v>0</v>
      </c>
    </row>
    <row r="203" spans="1:25">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6">
        <f t="array" aca="1" ref="X203:X213" ca="1">'DC Distr 4'!L203:L213</f>
        <v>0</v>
      </c>
      <c r="Y203" s="1934">
        <f ca="1"/>
        <v>0</v>
      </c>
    </row>
    <row r="204" spans="1:25">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6">
        <f t="array" aca="1" ref="W204:W213" ca="1">'DC Distr 4'!K204:K213</f>
        <v>0</v>
      </c>
      <c r="X204" s="1916">
        <f ca="1"/>
        <v>0</v>
      </c>
      <c r="Y204" s="1934">
        <f ca="1"/>
        <v>0</v>
      </c>
    </row>
    <row r="205" spans="1:25">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6">
        <f t="array" aca="1" ref="V205:V213" ca="1">'DC Distr 4'!J205:J213</f>
        <v>0</v>
      </c>
      <c r="W205" s="1916">
        <f ca="1"/>
        <v>0</v>
      </c>
      <c r="X205" s="1916">
        <f ca="1"/>
        <v>0</v>
      </c>
      <c r="Y205" s="1934">
        <f ca="1"/>
        <v>0</v>
      </c>
    </row>
    <row r="206" spans="1:25">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6">
        <f t="array" aca="1" ref="U206:U213" ca="1">'DC Distr 4'!I206:I213</f>
        <v>0</v>
      </c>
      <c r="V206" s="1916">
        <f ca="1"/>
        <v>0</v>
      </c>
      <c r="W206" s="1916">
        <f ca="1"/>
        <v>0</v>
      </c>
      <c r="X206" s="1916">
        <f ca="1"/>
        <v>0</v>
      </c>
      <c r="Y206" s="1934">
        <f ca="1"/>
        <v>0</v>
      </c>
    </row>
    <row r="207" spans="1:25">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6">
        <f t="array" aca="1" ref="T207:T213" ca="1">'DC Distr 4'!H207:H213</f>
        <v>0</v>
      </c>
      <c r="U207" s="1916">
        <f ca="1"/>
        <v>0</v>
      </c>
      <c r="V207" s="1916">
        <f ca="1"/>
        <v>0</v>
      </c>
      <c r="W207" s="1916">
        <f ca="1"/>
        <v>0</v>
      </c>
      <c r="X207" s="1916">
        <f ca="1"/>
        <v>0</v>
      </c>
      <c r="Y207" s="1934">
        <f ca="1"/>
        <v>0</v>
      </c>
    </row>
    <row r="208" spans="1:25">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0">
        <f t="array" aca="1" ref="S208:S213" ca="1">'DC Distr 4'!G208:G213</f>
        <v>0</v>
      </c>
      <c r="T208" s="1920">
        <f ca="1"/>
        <v>0</v>
      </c>
      <c r="U208" s="1920">
        <f ca="1"/>
        <v>0</v>
      </c>
      <c r="V208" s="1920">
        <f ca="1"/>
        <v>0</v>
      </c>
      <c r="W208" s="1920">
        <f ca="1"/>
        <v>0</v>
      </c>
      <c r="X208" s="1920">
        <f ca="1"/>
        <v>0</v>
      </c>
      <c r="Y208" s="1937">
        <f ca="1"/>
        <v>0</v>
      </c>
    </row>
    <row r="209" spans="1:25">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0">
        <f t="array" aca="1" ref="R209:R213" ca="1">'DC Distr 4'!F209:F213</f>
        <v>0</v>
      </c>
      <c r="S209" s="1920">
        <f ca="1"/>
        <v>0</v>
      </c>
      <c r="T209" s="1920">
        <f ca="1"/>
        <v>0</v>
      </c>
      <c r="U209" s="1920">
        <f ca="1"/>
        <v>0</v>
      </c>
      <c r="V209" s="1920">
        <f ca="1"/>
        <v>0</v>
      </c>
      <c r="W209" s="1920">
        <f ca="1"/>
        <v>0</v>
      </c>
      <c r="X209" s="1920">
        <f ca="1"/>
        <v>0</v>
      </c>
      <c r="Y209" s="1937">
        <f ca="1"/>
        <v>0</v>
      </c>
    </row>
    <row r="210" spans="1:25">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0">
        <f t="array" aca="1" ref="Q210:Q213" ca="1">'DC Distr 4'!E210:E213</f>
        <v>0</v>
      </c>
      <c r="R210" s="1920">
        <f ca="1"/>
        <v>0</v>
      </c>
      <c r="S210" s="1920">
        <f ca="1"/>
        <v>0</v>
      </c>
      <c r="T210" s="1920">
        <f ca="1"/>
        <v>0</v>
      </c>
      <c r="U210" s="1920">
        <f ca="1"/>
        <v>0</v>
      </c>
      <c r="V210" s="1920">
        <f ca="1"/>
        <v>0</v>
      </c>
      <c r="W210" s="1920">
        <f ca="1"/>
        <v>0</v>
      </c>
      <c r="X210" s="1920">
        <f ca="1"/>
        <v>0</v>
      </c>
      <c r="Y210" s="1937">
        <f ca="1"/>
        <v>0</v>
      </c>
    </row>
    <row r="211" spans="1:25">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0">
        <f t="array" aca="1" ref="P211:P213" ca="1">'DC Distr 4'!D211:D213</f>
        <v>0</v>
      </c>
      <c r="Q211" s="1920">
        <f ca="1"/>
        <v>0</v>
      </c>
      <c r="R211" s="1920">
        <f ca="1"/>
        <v>0</v>
      </c>
      <c r="S211" s="1920">
        <f ca="1"/>
        <v>0</v>
      </c>
      <c r="T211" s="1920">
        <f ca="1"/>
        <v>0</v>
      </c>
      <c r="U211" s="1920">
        <f ca="1"/>
        <v>0</v>
      </c>
      <c r="V211" s="1920">
        <f ca="1"/>
        <v>0</v>
      </c>
      <c r="W211" s="1920">
        <f ca="1"/>
        <v>0</v>
      </c>
      <c r="X211" s="1920">
        <f ca="1"/>
        <v>0</v>
      </c>
      <c r="Y211" s="1937">
        <f ca="1"/>
        <v>0</v>
      </c>
    </row>
    <row r="212" spans="1:25">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0">
        <f ca="1">'DC Distr 4'!C212</f>
        <v>0</v>
      </c>
      <c r="P212" s="1920">
        <f ca="1"/>
        <v>0</v>
      </c>
      <c r="Q212" s="1920">
        <f ca="1"/>
        <v>0</v>
      </c>
      <c r="R212" s="1920">
        <f ca="1"/>
        <v>0</v>
      </c>
      <c r="S212" s="1920">
        <f ca="1"/>
        <v>0</v>
      </c>
      <c r="T212" s="1920">
        <f ca="1"/>
        <v>0</v>
      </c>
      <c r="U212" s="1920">
        <f ca="1"/>
        <v>0</v>
      </c>
      <c r="V212" s="1920">
        <f ca="1"/>
        <v>0</v>
      </c>
      <c r="W212" s="1920">
        <f ca="1"/>
        <v>0</v>
      </c>
      <c r="X212" s="1920">
        <f ca="1"/>
        <v>0</v>
      </c>
      <c r="Y212" s="1937">
        <f ca="1"/>
        <v>0</v>
      </c>
    </row>
    <row r="213" spans="1:25"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f ca="1">'DC Distr 4'!B213</f>
        <v>0</v>
      </c>
      <c r="O213" s="1920">
        <f ca="1">'DC Distr 4'!C213</f>
        <v>0</v>
      </c>
      <c r="P213" s="1920">
        <f ca="1"/>
        <v>0</v>
      </c>
      <c r="Q213" s="1920">
        <f ca="1"/>
        <v>0</v>
      </c>
      <c r="R213" s="1920">
        <f ca="1"/>
        <v>0</v>
      </c>
      <c r="S213" s="1920">
        <f ca="1"/>
        <v>0</v>
      </c>
      <c r="T213" s="1920">
        <f ca="1"/>
        <v>0</v>
      </c>
      <c r="U213" s="1920">
        <f ca="1"/>
        <v>0</v>
      </c>
      <c r="V213" s="1920">
        <f ca="1"/>
        <v>0</v>
      </c>
      <c r="W213" s="1920">
        <f ca="1"/>
        <v>0</v>
      </c>
      <c r="X213" s="1920">
        <f ca="1"/>
        <v>0</v>
      </c>
      <c r="Y213" s="1937">
        <f ca="1"/>
        <v>0</v>
      </c>
    </row>
    <row r="214" spans="1:25" ht="13.5"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5">
        <f t="shared" ca="1" si="15"/>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5" ht="18.75" thickBot="1">
      <c r="A217" s="1921" t="str">
        <f>'DC Distr 0'!A217</f>
        <v xml:space="preserve">Monthly Purchases / Production costs for </v>
      </c>
      <c r="I217" s="1921" t="str">
        <f>I$18</f>
        <v>VAT NOT included</v>
      </c>
      <c r="K217" s="1932">
        <f>Parameters!$F$30</f>
        <v>0.21</v>
      </c>
    </row>
    <row r="218" spans="1:25" ht="33" customHeight="1" thickBot="1">
      <c r="A218" s="441" t="str">
        <f t="array" ref="A218:A231">A$110:A$123</f>
        <v>Months before sale</v>
      </c>
      <c r="B218" s="1938" t="str">
        <f t="array" ref="B218:Y218">B$71:Y$71</f>
        <v>January
2028</v>
      </c>
      <c r="C218" s="1938" t="str">
        <v>February
2028</v>
      </c>
      <c r="D218" s="1938" t="str">
        <v>March
2028</v>
      </c>
      <c r="E218" s="1938" t="str">
        <v>April
2028</v>
      </c>
      <c r="F218" s="1938" t="str">
        <v>May
2028</v>
      </c>
      <c r="G218" s="1938" t="str">
        <v>June
2028</v>
      </c>
      <c r="H218" s="1938" t="str">
        <v>July
2028</v>
      </c>
      <c r="I218" s="1938" t="str">
        <v>August
2028</v>
      </c>
      <c r="J218" s="1938" t="str">
        <v>September
2028</v>
      </c>
      <c r="K218" s="1938" t="str">
        <v>October
2028</v>
      </c>
      <c r="L218" s="1938" t="str">
        <v>November
2028</v>
      </c>
      <c r="M218" s="1938" t="str">
        <v>December
2028</v>
      </c>
      <c r="N218" s="2721" t="str">
        <v>January 
2029</v>
      </c>
      <c r="O218" s="2722" t="str">
        <v>February 
2029</v>
      </c>
      <c r="P218" s="2722" t="str">
        <v>March 
2029</v>
      </c>
      <c r="Q218" s="2722" t="str">
        <v>April 
2029</v>
      </c>
      <c r="R218" s="2722" t="str">
        <v>May 
2029</v>
      </c>
      <c r="S218" s="2722" t="str">
        <v>June 
2029</v>
      </c>
      <c r="T218" s="2722" t="str">
        <v>July 
2029</v>
      </c>
      <c r="U218" s="2722" t="str">
        <v>August 
2029</v>
      </c>
      <c r="V218" s="2722" t="str">
        <v>September 
2029</v>
      </c>
      <c r="W218" s="2722" t="str">
        <v>October 
2029</v>
      </c>
      <c r="X218" s="2722" t="str">
        <v>November 
2029</v>
      </c>
      <c r="Y218" s="2723" t="str">
        <v>December 
2029</v>
      </c>
    </row>
    <row r="219" spans="1:25">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5">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f t="array" aca="1" ref="Y220:Y231" ca="1">'DC Distr 4'!M220:M231</f>
        <v>0</v>
      </c>
    </row>
    <row r="221" spans="1:25">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6">
        <f t="array" aca="1" ref="X221:X231" ca="1">'DC Distr 4'!L221:L231</f>
        <v>0</v>
      </c>
      <c r="Y221" s="1934">
        <f ca="1"/>
        <v>0</v>
      </c>
    </row>
    <row r="222" spans="1:25">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6">
        <f t="array" aca="1" ref="W222:W231" ca="1">'DC Distr 4'!K222:K231</f>
        <v>0</v>
      </c>
      <c r="X222" s="1916">
        <f ca="1"/>
        <v>0</v>
      </c>
      <c r="Y222" s="1934">
        <f ca="1"/>
        <v>0</v>
      </c>
    </row>
    <row r="223" spans="1:25">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6">
        <f t="array" aca="1" ref="V223:V231" ca="1">'DC Distr 4'!J223:J231</f>
        <v>0</v>
      </c>
      <c r="W223" s="1916">
        <f ca="1"/>
        <v>0</v>
      </c>
      <c r="X223" s="1916">
        <f ca="1"/>
        <v>0</v>
      </c>
      <c r="Y223" s="1934">
        <f ca="1"/>
        <v>0</v>
      </c>
    </row>
    <row r="224" spans="1:25">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6">
        <f t="array" aca="1" ref="U224:U231" ca="1">'DC Distr 4'!I224:I231</f>
        <v>0</v>
      </c>
      <c r="V224" s="1916">
        <f ca="1"/>
        <v>0</v>
      </c>
      <c r="W224" s="1916">
        <f ca="1"/>
        <v>0</v>
      </c>
      <c r="X224" s="1916">
        <f ca="1"/>
        <v>0</v>
      </c>
      <c r="Y224" s="1934">
        <f ca="1"/>
        <v>0</v>
      </c>
    </row>
    <row r="225" spans="1:25">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6">
        <f t="array" aca="1" ref="T225:T231" ca="1">'DC Distr 4'!H225:H231</f>
        <v>0</v>
      </c>
      <c r="U225" s="1916">
        <f ca="1"/>
        <v>0</v>
      </c>
      <c r="V225" s="1916">
        <f ca="1"/>
        <v>0</v>
      </c>
      <c r="W225" s="1916">
        <f ca="1"/>
        <v>0</v>
      </c>
      <c r="X225" s="1916">
        <f ca="1"/>
        <v>0</v>
      </c>
      <c r="Y225" s="1934">
        <f ca="1"/>
        <v>0</v>
      </c>
    </row>
    <row r="226" spans="1:25">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0">
        <f t="array" aca="1" ref="S226:S231" ca="1">'DC Distr 4'!G226:G231</f>
        <v>0</v>
      </c>
      <c r="T226" s="1920">
        <f ca="1"/>
        <v>0</v>
      </c>
      <c r="U226" s="1920">
        <f ca="1"/>
        <v>0</v>
      </c>
      <c r="V226" s="1920">
        <f ca="1"/>
        <v>0</v>
      </c>
      <c r="W226" s="1920">
        <f ca="1"/>
        <v>0</v>
      </c>
      <c r="X226" s="1920">
        <f ca="1"/>
        <v>0</v>
      </c>
      <c r="Y226" s="1937">
        <f ca="1"/>
        <v>0</v>
      </c>
    </row>
    <row r="227" spans="1:25">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0">
        <f t="array" aca="1" ref="R227:R231" ca="1">'DC Distr 4'!F227:F231</f>
        <v>0</v>
      </c>
      <c r="S227" s="1920">
        <f ca="1"/>
        <v>0</v>
      </c>
      <c r="T227" s="1920">
        <f ca="1"/>
        <v>0</v>
      </c>
      <c r="U227" s="1920">
        <f ca="1"/>
        <v>0</v>
      </c>
      <c r="V227" s="1920">
        <f ca="1"/>
        <v>0</v>
      </c>
      <c r="W227" s="1920">
        <f ca="1"/>
        <v>0</v>
      </c>
      <c r="X227" s="1920">
        <f ca="1"/>
        <v>0</v>
      </c>
      <c r="Y227" s="1937">
        <f ca="1"/>
        <v>0</v>
      </c>
    </row>
    <row r="228" spans="1:25">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0">
        <f t="array" aca="1" ref="Q228:Q231" ca="1">'DC Distr 4'!E228:E231</f>
        <v>0</v>
      </c>
      <c r="R228" s="1920">
        <f ca="1"/>
        <v>0</v>
      </c>
      <c r="S228" s="1920">
        <f ca="1"/>
        <v>0</v>
      </c>
      <c r="T228" s="1920">
        <f ca="1"/>
        <v>0</v>
      </c>
      <c r="U228" s="1920">
        <f ca="1"/>
        <v>0</v>
      </c>
      <c r="V228" s="1920">
        <f ca="1"/>
        <v>0</v>
      </c>
      <c r="W228" s="1920">
        <f ca="1"/>
        <v>0</v>
      </c>
      <c r="X228" s="1920">
        <f ca="1"/>
        <v>0</v>
      </c>
      <c r="Y228" s="1937">
        <f ca="1"/>
        <v>0</v>
      </c>
    </row>
    <row r="229" spans="1:25">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0">
        <f t="array" aca="1" ref="P229:P231" ca="1">'DC Distr 4'!D229:D231</f>
        <v>0</v>
      </c>
      <c r="Q229" s="1920">
        <f ca="1"/>
        <v>0</v>
      </c>
      <c r="R229" s="1920">
        <f ca="1"/>
        <v>0</v>
      </c>
      <c r="S229" s="1920">
        <f ca="1"/>
        <v>0</v>
      </c>
      <c r="T229" s="1920">
        <f ca="1"/>
        <v>0</v>
      </c>
      <c r="U229" s="1920">
        <f ca="1"/>
        <v>0</v>
      </c>
      <c r="V229" s="1920">
        <f ca="1"/>
        <v>0</v>
      </c>
      <c r="W229" s="1920">
        <f ca="1"/>
        <v>0</v>
      </c>
      <c r="X229" s="1920">
        <f ca="1"/>
        <v>0</v>
      </c>
      <c r="Y229" s="1937">
        <f ca="1"/>
        <v>0</v>
      </c>
    </row>
    <row r="230" spans="1:25">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0">
        <f ca="1">'DC Distr 4'!C230</f>
        <v>0</v>
      </c>
      <c r="P230" s="1920">
        <f ca="1"/>
        <v>0</v>
      </c>
      <c r="Q230" s="1920">
        <f ca="1"/>
        <v>0</v>
      </c>
      <c r="R230" s="1920">
        <f ca="1"/>
        <v>0</v>
      </c>
      <c r="S230" s="1920">
        <f ca="1"/>
        <v>0</v>
      </c>
      <c r="T230" s="1920">
        <f ca="1"/>
        <v>0</v>
      </c>
      <c r="U230" s="1920">
        <f ca="1"/>
        <v>0</v>
      </c>
      <c r="V230" s="1920">
        <f ca="1"/>
        <v>0</v>
      </c>
      <c r="W230" s="1920">
        <f ca="1"/>
        <v>0</v>
      </c>
      <c r="X230" s="1920">
        <f ca="1"/>
        <v>0</v>
      </c>
      <c r="Y230" s="1937">
        <f ca="1"/>
        <v>0</v>
      </c>
    </row>
    <row r="231" spans="1:25"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f ca="1">'DC Distr 4'!B231</f>
        <v>0</v>
      </c>
      <c r="O231" s="1920">
        <f ca="1">'DC Distr 4'!C231</f>
        <v>0</v>
      </c>
      <c r="P231" s="1920">
        <f ca="1"/>
        <v>0</v>
      </c>
      <c r="Q231" s="1920">
        <f ca="1"/>
        <v>0</v>
      </c>
      <c r="R231" s="1920">
        <f ca="1"/>
        <v>0</v>
      </c>
      <c r="S231" s="1920">
        <f ca="1"/>
        <v>0</v>
      </c>
      <c r="T231" s="1920">
        <f ca="1"/>
        <v>0</v>
      </c>
      <c r="U231" s="1920">
        <f ca="1"/>
        <v>0</v>
      </c>
      <c r="V231" s="1920">
        <f ca="1"/>
        <v>0</v>
      </c>
      <c r="W231" s="1920">
        <f ca="1"/>
        <v>0</v>
      </c>
      <c r="X231" s="1920">
        <f ca="1"/>
        <v>0</v>
      </c>
      <c r="Y231" s="1937">
        <f ca="1"/>
        <v>0</v>
      </c>
    </row>
    <row r="232" spans="1:25" ht="13.5"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5">
        <f t="shared" ca="1" si="16"/>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5" ht="18.75" thickBot="1">
      <c r="A235" s="1921" t="str">
        <f>'DC Distr 0'!A235</f>
        <v xml:space="preserve">Monthly Purchases / Production costs for </v>
      </c>
      <c r="I235" s="1921" t="str">
        <f>I$18</f>
        <v>VAT NOT included</v>
      </c>
      <c r="K235" s="1932">
        <f>Parameters!$F$31</f>
        <v>0.21</v>
      </c>
    </row>
    <row r="236" spans="1:25" ht="30" customHeight="1" thickBot="1">
      <c r="A236" s="441" t="str">
        <f t="array" ref="A236:A249">A$110:A$123</f>
        <v>Months before sale</v>
      </c>
      <c r="B236" s="1938" t="str">
        <f t="array" ref="B236:Y236">B$71:Y$71</f>
        <v>January
2028</v>
      </c>
      <c r="C236" s="1938" t="str">
        <v>February
2028</v>
      </c>
      <c r="D236" s="1938" t="str">
        <v>March
2028</v>
      </c>
      <c r="E236" s="1938" t="str">
        <v>April
2028</v>
      </c>
      <c r="F236" s="1938" t="str">
        <v>May
2028</v>
      </c>
      <c r="G236" s="1938" t="str">
        <v>June
2028</v>
      </c>
      <c r="H236" s="1938" t="str">
        <v>July
2028</v>
      </c>
      <c r="I236" s="1938" t="str">
        <v>August
2028</v>
      </c>
      <c r="J236" s="1938" t="str">
        <v>September
2028</v>
      </c>
      <c r="K236" s="1938" t="str">
        <v>October
2028</v>
      </c>
      <c r="L236" s="1938" t="str">
        <v>November
2028</v>
      </c>
      <c r="M236" s="1938" t="str">
        <v>December
2028</v>
      </c>
      <c r="N236" s="2721" t="str">
        <v>January 
2029</v>
      </c>
      <c r="O236" s="2722" t="str">
        <v>February 
2029</v>
      </c>
      <c r="P236" s="2722" t="str">
        <v>March 
2029</v>
      </c>
      <c r="Q236" s="2722" t="str">
        <v>April 
2029</v>
      </c>
      <c r="R236" s="2722" t="str">
        <v>May 
2029</v>
      </c>
      <c r="S236" s="2722" t="str">
        <v>June 
2029</v>
      </c>
      <c r="T236" s="2722" t="str">
        <v>July 
2029</v>
      </c>
      <c r="U236" s="2722" t="str">
        <v>August 
2029</v>
      </c>
      <c r="V236" s="2722" t="str">
        <v>September 
2029</v>
      </c>
      <c r="W236" s="2722" t="str">
        <v>October 
2029</v>
      </c>
      <c r="X236" s="2722" t="str">
        <v>November 
2029</v>
      </c>
      <c r="Y236" s="2723" t="str">
        <v>December 
2029</v>
      </c>
    </row>
    <row r="237" spans="1:25">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5">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f t="array" aca="1" ref="Y238:Y249" ca="1">'DC Distr 4'!M238:M249</f>
        <v>0</v>
      </c>
    </row>
    <row r="239" spans="1:25">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6">
        <f t="array" aca="1" ref="X239:X249" ca="1">'DC Distr 4'!L239:L249</f>
        <v>0</v>
      </c>
      <c r="Y239" s="1934">
        <f ca="1"/>
        <v>0</v>
      </c>
    </row>
    <row r="240" spans="1:25">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6">
        <f t="array" aca="1" ref="W240:W249" ca="1">'DC Distr 4'!K240:K249</f>
        <v>0</v>
      </c>
      <c r="X240" s="1916">
        <f ca="1"/>
        <v>0</v>
      </c>
      <c r="Y240" s="1934">
        <f ca="1"/>
        <v>0</v>
      </c>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6">
        <f t="array" aca="1" ref="V241:V249" ca="1">'DC Distr 4'!J241:J249</f>
        <v>0</v>
      </c>
      <c r="W241" s="1916">
        <f ca="1"/>
        <v>0</v>
      </c>
      <c r="X241" s="1916">
        <f ca="1"/>
        <v>0</v>
      </c>
      <c r="Y241" s="1934">
        <f ca="1"/>
        <v>0</v>
      </c>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6">
        <f t="array" aca="1" ref="U242:U249" ca="1">'DC Distr 4'!I242:I249</f>
        <v>0</v>
      </c>
      <c r="V242" s="1916">
        <f ca="1"/>
        <v>0</v>
      </c>
      <c r="W242" s="1916">
        <f ca="1"/>
        <v>0</v>
      </c>
      <c r="X242" s="1916">
        <f ca="1"/>
        <v>0</v>
      </c>
      <c r="Y242" s="1934">
        <f ca="1"/>
        <v>0</v>
      </c>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6">
        <f t="array" aca="1" ref="T243:T249" ca="1">'DC Distr 4'!H243:H249</f>
        <v>0</v>
      </c>
      <c r="U243" s="1916">
        <f ca="1"/>
        <v>0</v>
      </c>
      <c r="V243" s="1916">
        <f ca="1"/>
        <v>0</v>
      </c>
      <c r="W243" s="1916">
        <f ca="1"/>
        <v>0</v>
      </c>
      <c r="X243" s="1916">
        <f ca="1"/>
        <v>0</v>
      </c>
      <c r="Y243" s="1934">
        <f ca="1"/>
        <v>0</v>
      </c>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0">
        <f t="array" aca="1" ref="S244:S249" ca="1">'DC Distr 4'!G244:G249</f>
        <v>0</v>
      </c>
      <c r="T244" s="1920">
        <f ca="1"/>
        <v>0</v>
      </c>
      <c r="U244" s="1920">
        <f ca="1"/>
        <v>0</v>
      </c>
      <c r="V244" s="1920">
        <f ca="1"/>
        <v>0</v>
      </c>
      <c r="W244" s="1920">
        <f ca="1"/>
        <v>0</v>
      </c>
      <c r="X244" s="1920">
        <f ca="1"/>
        <v>0</v>
      </c>
      <c r="Y244" s="1937">
        <f ca="1"/>
        <v>0</v>
      </c>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0">
        <f t="array" aca="1" ref="R245:R249" ca="1">'DC Distr 4'!F245:F249</f>
        <v>0</v>
      </c>
      <c r="S245" s="1920">
        <f ca="1"/>
        <v>0</v>
      </c>
      <c r="T245" s="1920">
        <f ca="1"/>
        <v>0</v>
      </c>
      <c r="U245" s="1920">
        <f ca="1"/>
        <v>0</v>
      </c>
      <c r="V245" s="1920">
        <f ca="1"/>
        <v>0</v>
      </c>
      <c r="W245" s="1920">
        <f ca="1"/>
        <v>0</v>
      </c>
      <c r="X245" s="1920">
        <f ca="1"/>
        <v>0</v>
      </c>
      <c r="Y245" s="1937">
        <f ca="1"/>
        <v>0</v>
      </c>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0">
        <f t="array" aca="1" ref="Q246:Q249" ca="1">'DC Distr 4'!E246:E249</f>
        <v>0</v>
      </c>
      <c r="R246" s="1920">
        <f ca="1"/>
        <v>0</v>
      </c>
      <c r="S246" s="1920">
        <f ca="1"/>
        <v>0</v>
      </c>
      <c r="T246" s="1920">
        <f ca="1"/>
        <v>0</v>
      </c>
      <c r="U246" s="1920">
        <f ca="1"/>
        <v>0</v>
      </c>
      <c r="V246" s="1920">
        <f ca="1"/>
        <v>0</v>
      </c>
      <c r="W246" s="1920">
        <f ca="1"/>
        <v>0</v>
      </c>
      <c r="X246" s="1920">
        <f ca="1"/>
        <v>0</v>
      </c>
      <c r="Y246" s="1937">
        <f ca="1"/>
        <v>0</v>
      </c>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0">
        <f t="array" aca="1" ref="P247:P249" ca="1">'DC Distr 4'!D247:D249</f>
        <v>0</v>
      </c>
      <c r="Q247" s="1920">
        <f ca="1"/>
        <v>0</v>
      </c>
      <c r="R247" s="1920">
        <f ca="1"/>
        <v>0</v>
      </c>
      <c r="S247" s="1920">
        <f ca="1"/>
        <v>0</v>
      </c>
      <c r="T247" s="1920">
        <f ca="1"/>
        <v>0</v>
      </c>
      <c r="U247" s="1920">
        <f ca="1"/>
        <v>0</v>
      </c>
      <c r="V247" s="1920">
        <f ca="1"/>
        <v>0</v>
      </c>
      <c r="W247" s="1920">
        <f ca="1"/>
        <v>0</v>
      </c>
      <c r="X247" s="1920">
        <f ca="1"/>
        <v>0</v>
      </c>
      <c r="Y247" s="1937">
        <f ca="1"/>
        <v>0</v>
      </c>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0">
        <f ca="1">'DC Distr 4'!C248</f>
        <v>0</v>
      </c>
      <c r="P248" s="1920">
        <f ca="1"/>
        <v>0</v>
      </c>
      <c r="Q248" s="1920">
        <f ca="1"/>
        <v>0</v>
      </c>
      <c r="R248" s="1920">
        <f ca="1"/>
        <v>0</v>
      </c>
      <c r="S248" s="1920">
        <f ca="1"/>
        <v>0</v>
      </c>
      <c r="T248" s="1920">
        <f ca="1"/>
        <v>0</v>
      </c>
      <c r="U248" s="1920">
        <f ca="1"/>
        <v>0</v>
      </c>
      <c r="V248" s="1920">
        <f ca="1"/>
        <v>0</v>
      </c>
      <c r="W248" s="1920">
        <f ca="1"/>
        <v>0</v>
      </c>
      <c r="X248" s="1920">
        <f ca="1"/>
        <v>0</v>
      </c>
      <c r="Y248" s="1937">
        <f ca="1"/>
        <v>0</v>
      </c>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f ca="1">'DC Distr 4'!B249</f>
        <v>0</v>
      </c>
      <c r="O249" s="1920">
        <f ca="1">'DC Distr 4'!C249</f>
        <v>0</v>
      </c>
      <c r="P249" s="1920">
        <f ca="1"/>
        <v>0</v>
      </c>
      <c r="Q249" s="1920">
        <f ca="1"/>
        <v>0</v>
      </c>
      <c r="R249" s="1920">
        <f ca="1"/>
        <v>0</v>
      </c>
      <c r="S249" s="1920">
        <f ca="1"/>
        <v>0</v>
      </c>
      <c r="T249" s="1920">
        <f ca="1"/>
        <v>0</v>
      </c>
      <c r="U249" s="1920">
        <f ca="1"/>
        <v>0</v>
      </c>
      <c r="V249" s="1920">
        <f ca="1"/>
        <v>0</v>
      </c>
      <c r="W249" s="1920">
        <f ca="1"/>
        <v>0</v>
      </c>
      <c r="X249" s="1920">
        <f ca="1"/>
        <v>0</v>
      </c>
      <c r="Y249" s="1937">
        <f ca="1"/>
        <v>0</v>
      </c>
    </row>
    <row r="250" spans="1:25" ht="13.5"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5">
        <f t="shared" ca="1" si="17"/>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66">
    <tabColor indexed="10"/>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6384" width="11" style="61"/>
  </cols>
  <sheetData>
    <row r="1" spans="1:15" ht="22.5">
      <c r="A1" s="66" t="s">
        <v>609</v>
      </c>
      <c r="K1" s="2398" t="str">
        <f>Parameters!F$77</f>
        <v>Year 4:   2030</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1"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5" ht="15.75" customHeight="1">
      <c r="A8" s="2399" t="str">
        <f t="array" ref="A8:A15">productos</f>
        <v>product 1</v>
      </c>
      <c r="B8" s="569">
        <f t="array" aca="1" ref="B8:M15" ca="1">'Sales Forecast 4'!B5:M12</f>
        <v>1158</v>
      </c>
      <c r="C8" s="570">
        <f ca="1"/>
        <v>1158</v>
      </c>
      <c r="D8" s="570">
        <f ca="1"/>
        <v>1158</v>
      </c>
      <c r="E8" s="570">
        <f ca="1"/>
        <v>1158</v>
      </c>
      <c r="F8" s="570">
        <f ca="1"/>
        <v>1158</v>
      </c>
      <c r="G8" s="570">
        <f ca="1"/>
        <v>1158</v>
      </c>
      <c r="H8" s="570">
        <f ca="1"/>
        <v>1158</v>
      </c>
      <c r="I8" s="570">
        <f ca="1"/>
        <v>1158</v>
      </c>
      <c r="J8" s="570">
        <f ca="1"/>
        <v>1158</v>
      </c>
      <c r="K8" s="570">
        <f ca="1"/>
        <v>1158</v>
      </c>
      <c r="L8" s="570">
        <f ca="1"/>
        <v>1158</v>
      </c>
      <c r="M8" s="592">
        <f ca="1"/>
        <v>1158</v>
      </c>
      <c r="N8" s="571">
        <f t="shared" ref="N8:N15" ca="1" si="0">SUM(B8:M8)</f>
        <v>13896</v>
      </c>
      <c r="O8" s="61"/>
    </row>
    <row r="9" spans="1:15"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1" t="str">
        <f>'DC Distr 0'!A18</f>
        <v>Production Costs (Direct) Forecasts for the units sold during the year</v>
      </c>
      <c r="G18" s="2716" t="str">
        <f>$K$1</f>
        <v>Year 4:   2030</v>
      </c>
      <c r="I18" s="1921"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399" t="str">
        <f t="array" ref="A20:A27">productos</f>
        <v>product 1</v>
      </c>
      <c r="B20" s="578">
        <f t="array" aca="1" ref="B20:M27" ca="1">B8:M15*'Prices - DC'!$J19:$J26</f>
        <v>130.33392019800002</v>
      </c>
      <c r="C20" s="579">
        <f ca="1"/>
        <v>130.33392019800002</v>
      </c>
      <c r="D20" s="579">
        <f ca="1"/>
        <v>130.33392019800002</v>
      </c>
      <c r="E20" s="579">
        <f ca="1"/>
        <v>130.33392019800002</v>
      </c>
      <c r="F20" s="579">
        <f ca="1"/>
        <v>130.33392019800002</v>
      </c>
      <c r="G20" s="579">
        <f ca="1"/>
        <v>130.33392019800002</v>
      </c>
      <c r="H20" s="579">
        <f ca="1"/>
        <v>130.33392019800002</v>
      </c>
      <c r="I20" s="579">
        <f ca="1"/>
        <v>130.33392019800002</v>
      </c>
      <c r="J20" s="579">
        <f ca="1"/>
        <v>130.33392019800002</v>
      </c>
      <c r="K20" s="579">
        <f ca="1"/>
        <v>130.33392019800002</v>
      </c>
      <c r="L20" s="579">
        <f ca="1"/>
        <v>130.33392019800002</v>
      </c>
      <c r="M20" s="589">
        <f ca="1"/>
        <v>130.33392019800002</v>
      </c>
      <c r="N20" s="571">
        <f t="shared" ref="N20:N39" ca="1" si="1">SUM(B20:M20)</f>
        <v>1564.0070423760001</v>
      </c>
      <c r="O20" s="61"/>
    </row>
    <row r="21" spans="1:15"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3" t="s">
        <v>577</v>
      </c>
      <c r="B28" s="586">
        <f t="shared" ref="B28:M28" ca="1" si="2">SUM(B20:B27)</f>
        <v>130.33392019800002</v>
      </c>
      <c r="C28" s="587">
        <f t="shared" ca="1" si="2"/>
        <v>130.33392019800002</v>
      </c>
      <c r="D28" s="587">
        <f t="shared" ca="1" si="2"/>
        <v>130.33392019800002</v>
      </c>
      <c r="E28" s="587">
        <f t="shared" ca="1" si="2"/>
        <v>130.33392019800002</v>
      </c>
      <c r="F28" s="587">
        <f t="shared" ca="1" si="2"/>
        <v>130.33392019800002</v>
      </c>
      <c r="G28" s="587">
        <f t="shared" ca="1" si="2"/>
        <v>130.33392019800002</v>
      </c>
      <c r="H28" s="587">
        <f t="shared" ca="1" si="2"/>
        <v>130.33392019800002</v>
      </c>
      <c r="I28" s="587">
        <f t="shared" ca="1" si="2"/>
        <v>130.33392019800002</v>
      </c>
      <c r="J28" s="587">
        <f t="shared" ca="1" si="2"/>
        <v>130.33392019800002</v>
      </c>
      <c r="K28" s="587">
        <f t="shared" ca="1" si="2"/>
        <v>130.33392019800002</v>
      </c>
      <c r="L28" s="587">
        <f t="shared" ca="1" si="2"/>
        <v>130.33392019800002</v>
      </c>
      <c r="M28" s="588">
        <f t="shared" ca="1" si="2"/>
        <v>130.33392019800002</v>
      </c>
      <c r="N28" s="585">
        <f t="shared" ca="1" si="1"/>
        <v>1564.0070423760001</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399" t="str">
        <f t="array" ref="A32:A39">productos</f>
        <v>product 1</v>
      </c>
      <c r="B32" s="578">
        <f t="array" aca="1" ref="B32:M39" ca="1">B20:M27*Parameters!$F24:$F31</f>
        <v>27.370123241580004</v>
      </c>
      <c r="C32" s="579">
        <f ca="1"/>
        <v>27.370123241580004</v>
      </c>
      <c r="D32" s="579">
        <f ca="1"/>
        <v>27.370123241580004</v>
      </c>
      <c r="E32" s="579">
        <f ca="1"/>
        <v>27.370123241580004</v>
      </c>
      <c r="F32" s="579">
        <f ca="1"/>
        <v>27.370123241580004</v>
      </c>
      <c r="G32" s="579">
        <f ca="1"/>
        <v>27.370123241580004</v>
      </c>
      <c r="H32" s="579">
        <f ca="1"/>
        <v>27.370123241580004</v>
      </c>
      <c r="I32" s="579">
        <f ca="1"/>
        <v>27.370123241580004</v>
      </c>
      <c r="J32" s="579">
        <f ca="1"/>
        <v>27.370123241580004</v>
      </c>
      <c r="K32" s="579">
        <f ca="1"/>
        <v>27.370123241580004</v>
      </c>
      <c r="L32" s="579">
        <f ca="1"/>
        <v>27.370123241580004</v>
      </c>
      <c r="M32" s="589">
        <f ca="1"/>
        <v>27.370123241580004</v>
      </c>
      <c r="N32" s="571">
        <f t="shared" ca="1" si="1"/>
        <v>328.44147889896016</v>
      </c>
      <c r="O32" s="61"/>
    </row>
    <row r="33" spans="1:15"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1"/>
        <v>0</v>
      </c>
      <c r="O33" s="61"/>
    </row>
    <row r="34" spans="1:15"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1"/>
        <v>0</v>
      </c>
      <c r="O34" s="61"/>
    </row>
    <row r="35" spans="1:15"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1"/>
        <v>0</v>
      </c>
      <c r="O35" s="61"/>
    </row>
    <row r="36" spans="1:15"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1"/>
        <v>0</v>
      </c>
      <c r="O36" s="61"/>
    </row>
    <row r="37" spans="1:15"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1"/>
        <v>0</v>
      </c>
      <c r="O37" s="61"/>
    </row>
    <row r="38" spans="1:15"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1"/>
        <v>0</v>
      </c>
      <c r="O38" s="61"/>
    </row>
    <row r="39" spans="1:15"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1"/>
        <v>0</v>
      </c>
      <c r="O39" s="61"/>
    </row>
    <row r="40" spans="1:15" ht="15.75" customHeight="1" thickBot="1">
      <c r="A40" s="2403" t="str">
        <f>A$28</f>
        <v>Monthly Totals</v>
      </c>
      <c r="B40" s="586">
        <f t="shared" ref="B40:M40" ca="1" si="3">SUM(B32:B39)</f>
        <v>27.370123241580004</v>
      </c>
      <c r="C40" s="587">
        <f t="shared" ca="1" si="3"/>
        <v>27.370123241580004</v>
      </c>
      <c r="D40" s="587">
        <f t="shared" ca="1" si="3"/>
        <v>27.370123241580004</v>
      </c>
      <c r="E40" s="587">
        <f t="shared" ca="1" si="3"/>
        <v>27.370123241580004</v>
      </c>
      <c r="F40" s="587">
        <f t="shared" ca="1" si="3"/>
        <v>27.370123241580004</v>
      </c>
      <c r="G40" s="587">
        <f t="shared" ca="1" si="3"/>
        <v>27.370123241580004</v>
      </c>
      <c r="H40" s="587">
        <f t="shared" ca="1" si="3"/>
        <v>27.370123241580004</v>
      </c>
      <c r="I40" s="587">
        <f t="shared" ca="1" si="3"/>
        <v>27.370123241580004</v>
      </c>
      <c r="J40" s="587">
        <f t="shared" ca="1" si="3"/>
        <v>27.370123241580004</v>
      </c>
      <c r="K40" s="587">
        <f t="shared" ca="1" si="3"/>
        <v>27.370123241580004</v>
      </c>
      <c r="L40" s="587">
        <f t="shared" ca="1" si="3"/>
        <v>27.370123241580004</v>
      </c>
      <c r="M40" s="588">
        <f t="shared" ca="1" si="3"/>
        <v>27.370123241580004</v>
      </c>
      <c r="N40" s="585">
        <f ca="1">SUM(B40:M40)</f>
        <v>328.44147889896016</v>
      </c>
      <c r="O40" s="61"/>
    </row>
    <row r="41" spans="1:15" ht="15">
      <c r="A41" s="211"/>
    </row>
    <row r="42" spans="1:15" ht="15">
      <c r="A42" s="211"/>
    </row>
    <row r="43" spans="1:15" ht="15">
      <c r="A43" s="211"/>
    </row>
    <row r="44" spans="1:15" ht="18.75" thickBot="1">
      <c r="A44" s="1921" t="str">
        <f>'DC Distr 0'!A44</f>
        <v>Production Costs during the year</v>
      </c>
      <c r="G44" s="2717" t="str">
        <f>$K$1</f>
        <v>Year 4:   2030</v>
      </c>
      <c r="I44" s="1921"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row>
    <row r="46" spans="1:15" ht="15.75" customHeight="1">
      <c r="A46" s="2399" t="str">
        <f t="array" ref="A46:A53">productos</f>
        <v>product 1</v>
      </c>
      <c r="B46" s="578">
        <f t="array" aca="1" ref="B46:M46" ca="1">N124:Y124</f>
        <v>130.33392019800002</v>
      </c>
      <c r="C46" s="579">
        <f ca="1"/>
        <v>130.33392019800002</v>
      </c>
      <c r="D46" s="579">
        <f ca="1"/>
        <v>130.33392019800002</v>
      </c>
      <c r="E46" s="579">
        <f ca="1"/>
        <v>130.33392019800002</v>
      </c>
      <c r="F46" s="579">
        <f ca="1"/>
        <v>130.33392019800002</v>
      </c>
      <c r="G46" s="579">
        <f ca="1"/>
        <v>130.33392019800002</v>
      </c>
      <c r="H46" s="579">
        <f ca="1"/>
        <v>130.33392019800002</v>
      </c>
      <c r="I46" s="579">
        <f ca="1"/>
        <v>130.33392019800002</v>
      </c>
      <c r="J46" s="579">
        <f ca="1"/>
        <v>130.33392019800002</v>
      </c>
      <c r="K46" s="579">
        <f ca="1"/>
        <v>130.33392019800002</v>
      </c>
      <c r="L46" s="579">
        <f ca="1"/>
        <v>130.33392019800002</v>
      </c>
      <c r="M46" s="589">
        <f ca="1"/>
        <v>130.33392019800002</v>
      </c>
      <c r="N46" s="571">
        <f t="shared" ref="N46:N54" ca="1" si="4">SUM(B46:M46)</f>
        <v>1564.0070423760001</v>
      </c>
      <c r="O46" s="61"/>
    </row>
    <row r="47" spans="1:15" ht="15.75" customHeight="1">
      <c r="A47" s="2400"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4"/>
        <v>0</v>
      </c>
      <c r="O47" s="61"/>
    </row>
    <row r="48" spans="1:15" ht="15.75" customHeight="1">
      <c r="A48" s="2400"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4"/>
        <v>0</v>
      </c>
      <c r="O48" s="61"/>
    </row>
    <row r="49" spans="1:15" ht="15.75" customHeight="1">
      <c r="A49" s="2400"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4"/>
        <v>0</v>
      </c>
      <c r="O49" s="61"/>
    </row>
    <row r="50" spans="1:15" ht="15.75" customHeight="1">
      <c r="A50" s="2400"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4"/>
        <v>0</v>
      </c>
      <c r="O50" s="61"/>
    </row>
    <row r="51" spans="1:15" ht="15.75" customHeight="1">
      <c r="A51" s="2400"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4"/>
        <v>0</v>
      </c>
      <c r="O51" s="61"/>
    </row>
    <row r="52" spans="1:15" ht="15.75" customHeight="1">
      <c r="A52" s="2400"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4"/>
        <v>0</v>
      </c>
      <c r="O52" s="61"/>
    </row>
    <row r="53" spans="1:15" ht="15.75" customHeight="1" thickBot="1">
      <c r="A53" s="2402"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4"/>
        <v>0</v>
      </c>
      <c r="O53" s="61"/>
    </row>
    <row r="54" spans="1:15" ht="15.75" customHeight="1" thickBot="1">
      <c r="A54" s="2403" t="s">
        <v>577</v>
      </c>
      <c r="B54" s="586">
        <f t="shared" ref="B54:M54" ca="1" si="5">SUM(B46:B53)</f>
        <v>130.33392019800002</v>
      </c>
      <c r="C54" s="587">
        <f t="shared" ca="1" si="5"/>
        <v>130.33392019800002</v>
      </c>
      <c r="D54" s="587">
        <f t="shared" ca="1" si="5"/>
        <v>130.33392019800002</v>
      </c>
      <c r="E54" s="587">
        <f t="shared" ca="1" si="5"/>
        <v>130.33392019800002</v>
      </c>
      <c r="F54" s="587">
        <f t="shared" ca="1" si="5"/>
        <v>130.33392019800002</v>
      </c>
      <c r="G54" s="587">
        <f t="shared" ca="1" si="5"/>
        <v>130.33392019800002</v>
      </c>
      <c r="H54" s="587">
        <f t="shared" ca="1" si="5"/>
        <v>130.33392019800002</v>
      </c>
      <c r="I54" s="587">
        <f t="shared" ca="1" si="5"/>
        <v>130.33392019800002</v>
      </c>
      <c r="J54" s="587">
        <f t="shared" ca="1" si="5"/>
        <v>130.33392019800002</v>
      </c>
      <c r="K54" s="587">
        <f t="shared" ca="1" si="5"/>
        <v>130.33392019800002</v>
      </c>
      <c r="L54" s="587">
        <f t="shared" ca="1" si="5"/>
        <v>130.33392019800002</v>
      </c>
      <c r="M54" s="588">
        <f t="shared" ca="1" si="5"/>
        <v>130.33392019800002</v>
      </c>
      <c r="N54" s="585">
        <f t="shared" ca="1" si="4"/>
        <v>1564.0070423760001</v>
      </c>
      <c r="O54" s="61"/>
    </row>
    <row r="55" spans="1:15">
      <c r="A55" s="981" t="s">
        <v>610</v>
      </c>
      <c r="B55" s="981">
        <f ca="1">SUM(B124:M124,B142:M142,B160:M160,B178:M178,B196:M196,B214:M214,B232:M232,B250:M250)</f>
        <v>0</v>
      </c>
    </row>
    <row r="57" spans="1:15" ht="18.75" thickBot="1">
      <c r="A57" s="1921" t="str">
        <f>'DC Distr 0'!A57</f>
        <v>Input VAT of production costs for year</v>
      </c>
      <c r="G57" s="2717" t="str">
        <f>$K$1</f>
        <v>Year 4:   2030</v>
      </c>
      <c r="I57" s="1921"/>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5" ht="15.75" customHeight="1">
      <c r="A59" s="2399" t="str">
        <f t="array" ref="A59:A66">productos</f>
        <v>product 1</v>
      </c>
      <c r="B59" s="578">
        <f t="array" aca="1" ref="B59:M59" ca="1">N125:Y125</f>
        <v>27.370123241580004</v>
      </c>
      <c r="C59" s="579">
        <f ca="1"/>
        <v>27.370123241580004</v>
      </c>
      <c r="D59" s="579">
        <f ca="1"/>
        <v>27.370123241580004</v>
      </c>
      <c r="E59" s="579">
        <f ca="1"/>
        <v>27.370123241580004</v>
      </c>
      <c r="F59" s="579">
        <f ca="1"/>
        <v>27.370123241580004</v>
      </c>
      <c r="G59" s="579">
        <f ca="1"/>
        <v>27.370123241580004</v>
      </c>
      <c r="H59" s="579">
        <f ca="1"/>
        <v>27.370123241580004</v>
      </c>
      <c r="I59" s="579">
        <f ca="1"/>
        <v>27.370123241580004</v>
      </c>
      <c r="J59" s="579">
        <f ca="1"/>
        <v>27.370123241580004</v>
      </c>
      <c r="K59" s="579">
        <f ca="1"/>
        <v>27.370123241580004</v>
      </c>
      <c r="L59" s="579">
        <f ca="1"/>
        <v>27.370123241580004</v>
      </c>
      <c r="M59" s="589">
        <f ca="1"/>
        <v>27.370123241580004</v>
      </c>
      <c r="N59" s="571">
        <f t="shared" ref="N59:N67" ca="1" si="6">SUM(B59:M59)</f>
        <v>328.44147889896016</v>
      </c>
      <c r="O59" s="61"/>
    </row>
    <row r="60" spans="1:15" ht="15.75" customHeight="1">
      <c r="A60" s="2400"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6"/>
        <v>0</v>
      </c>
      <c r="O60" s="61"/>
    </row>
    <row r="61" spans="1:15" ht="15.75" customHeight="1">
      <c r="A61" s="2400"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6"/>
        <v>0</v>
      </c>
      <c r="O61" s="61"/>
    </row>
    <row r="62" spans="1:15" ht="15.75" customHeight="1">
      <c r="A62" s="2400"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6"/>
        <v>0</v>
      </c>
      <c r="O62" s="61"/>
    </row>
    <row r="63" spans="1:15" ht="15.75" customHeight="1">
      <c r="A63" s="2400"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6"/>
        <v>0</v>
      </c>
      <c r="O63" s="61"/>
    </row>
    <row r="64" spans="1:15" ht="15.75" customHeight="1">
      <c r="A64" s="2400"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6"/>
        <v>0</v>
      </c>
      <c r="O64" s="61"/>
    </row>
    <row r="65" spans="1:26" ht="15.75" customHeight="1">
      <c r="A65" s="2400"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6"/>
        <v>0</v>
      </c>
      <c r="O65" s="61"/>
    </row>
    <row r="66" spans="1:26" ht="15.75" customHeight="1" thickBot="1">
      <c r="A66" s="2402"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6"/>
        <v>0</v>
      </c>
      <c r="O66" s="61"/>
    </row>
    <row r="67" spans="1:26" ht="15.75" customHeight="1" thickBot="1">
      <c r="A67" s="2403" t="s">
        <v>577</v>
      </c>
      <c r="B67" s="586">
        <f t="shared" ref="B67:M67" ca="1" si="7">SUM(B59:B66)</f>
        <v>27.370123241580004</v>
      </c>
      <c r="C67" s="587">
        <f t="shared" ca="1" si="7"/>
        <v>27.370123241580004</v>
      </c>
      <c r="D67" s="587">
        <f t="shared" ca="1" si="7"/>
        <v>27.370123241580004</v>
      </c>
      <c r="E67" s="587">
        <f t="shared" ca="1" si="7"/>
        <v>27.370123241580004</v>
      </c>
      <c r="F67" s="587">
        <f t="shared" ca="1" si="7"/>
        <v>27.370123241580004</v>
      </c>
      <c r="G67" s="587">
        <f t="shared" ca="1" si="7"/>
        <v>27.370123241580004</v>
      </c>
      <c r="H67" s="587">
        <f t="shared" ca="1" si="7"/>
        <v>27.370123241580004</v>
      </c>
      <c r="I67" s="587">
        <f t="shared" ca="1" si="7"/>
        <v>27.370123241580004</v>
      </c>
      <c r="J67" s="587">
        <f t="shared" ca="1" si="7"/>
        <v>27.370123241580004</v>
      </c>
      <c r="K67" s="587">
        <f t="shared" ca="1" si="7"/>
        <v>27.370123241580004</v>
      </c>
      <c r="L67" s="587">
        <f t="shared" ca="1" si="7"/>
        <v>27.370123241580004</v>
      </c>
      <c r="M67" s="588">
        <f t="shared" ca="1" si="7"/>
        <v>27.370123241580004</v>
      </c>
      <c r="N67" s="585">
        <f t="shared" ca="1" si="6"/>
        <v>328.44147889896016</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1" t="str">
        <f>'DC Distr 0'!A70</f>
        <v xml:space="preserve">Monthy distribution of Production Costs for the units sold during the year </v>
      </c>
      <c r="I70" s="1921" t="str">
        <f>I$18</f>
        <v>VAT NOT included</v>
      </c>
    </row>
    <row r="71" spans="1:26" s="440" customFormat="1" ht="32.25" customHeight="1" thickBot="1">
      <c r="A71" s="441" t="s">
        <v>595</v>
      </c>
      <c r="B71" s="1938" t="str">
        <f t="array" ref="B71:M71">CONCATENATE(meses,"
",Parameters!B76:M76+3)</f>
        <v>January
2029</v>
      </c>
      <c r="C71" s="1938" t="str">
        <v>February
2029</v>
      </c>
      <c r="D71" s="1938" t="str">
        <v>March
2029</v>
      </c>
      <c r="E71" s="1938" t="str">
        <v>April
2029</v>
      </c>
      <c r="F71" s="1938" t="str">
        <v>May
2029</v>
      </c>
      <c r="G71" s="1938" t="str">
        <v>June
2029</v>
      </c>
      <c r="H71" s="1938" t="str">
        <v>July
2029</v>
      </c>
      <c r="I71" s="1938" t="str">
        <v>August
2029</v>
      </c>
      <c r="J71" s="1938" t="str">
        <v>September
2029</v>
      </c>
      <c r="K71" s="1938" t="str">
        <v>October
2029</v>
      </c>
      <c r="L71" s="1938" t="str">
        <v>November
2029</v>
      </c>
      <c r="M71" s="1938" t="str">
        <v>December
2029</v>
      </c>
      <c r="N71" s="2718" t="str">
        <f t="array" ref="N71:Y71">'Sales Forecasts'!B57:M57</f>
        <v>January 
2030</v>
      </c>
      <c r="O71" s="2719" t="str">
        <v>February 
2030</v>
      </c>
      <c r="P71" s="2719" t="str">
        <v>March 
2030</v>
      </c>
      <c r="Q71" s="2719" t="str">
        <v>April 
2030</v>
      </c>
      <c r="R71" s="2719" t="str">
        <v>May 
2030</v>
      </c>
      <c r="S71" s="2719" t="str">
        <v>June 
2030</v>
      </c>
      <c r="T71" s="2719" t="str">
        <v>July 
2030</v>
      </c>
      <c r="U71" s="2719" t="str">
        <v>August 
2030</v>
      </c>
      <c r="V71" s="2719" t="str">
        <v>September 
2030</v>
      </c>
      <c r="W71" s="2719" t="str">
        <v>October 
2030</v>
      </c>
      <c r="X71" s="2719" t="str">
        <v>November 
2030</v>
      </c>
      <c r="Y71" s="2720" t="str">
        <v>December 
2030</v>
      </c>
      <c r="Z71" s="61"/>
    </row>
    <row r="72" spans="1:26" ht="15.75" customHeight="1">
      <c r="A72" s="1922" t="s">
        <v>596</v>
      </c>
      <c r="B72" s="1919"/>
      <c r="C72" s="1919"/>
      <c r="D72" s="1919"/>
      <c r="E72" s="1919"/>
      <c r="F72" s="1919"/>
      <c r="G72" s="1919"/>
      <c r="H72" s="1917">
        <v>0</v>
      </c>
      <c r="I72" s="1918">
        <v>0</v>
      </c>
      <c r="J72" s="1918">
        <v>0</v>
      </c>
      <c r="K72" s="1918">
        <v>0</v>
      </c>
      <c r="L72" s="1918">
        <v>0</v>
      </c>
      <c r="M72" s="1918">
        <v>0</v>
      </c>
      <c r="N72" s="579">
        <f t="array" aca="1" ref="N72" ca="1">SUM(B20:B27*Production!$N$8:$N$15)</f>
        <v>130.33392019800002</v>
      </c>
      <c r="O72" s="579">
        <f t="array" aca="1" ref="O72" ca="1">SUM(C20:C27*Production!$N$8:$N$15)</f>
        <v>130.33392019800002</v>
      </c>
      <c r="P72" s="579">
        <f t="array" aca="1" ref="P72" ca="1">SUM(D20:D27*Production!$N$8:$N$15)</f>
        <v>130.33392019800002</v>
      </c>
      <c r="Q72" s="579">
        <f t="array" aca="1" ref="Q72" ca="1">SUM(E20:E27*Production!$N$8:$N$15)</f>
        <v>130.33392019800002</v>
      </c>
      <c r="R72" s="579">
        <f t="array" aca="1" ref="R72" ca="1">SUM(F20:F27*Production!$N$8:$N$15)</f>
        <v>130.33392019800002</v>
      </c>
      <c r="S72" s="579">
        <f t="array" aca="1" ref="S72" ca="1">SUM(G20:G27*Production!$N$8:$N$15)</f>
        <v>130.33392019800002</v>
      </c>
      <c r="T72" s="579">
        <f t="array" aca="1" ref="T72" ca="1">SUM(H20:H27*Production!$N$8:$N$15)</f>
        <v>130.33392019800002</v>
      </c>
      <c r="U72" s="579">
        <f t="array" aca="1" ref="U72" ca="1">SUM(I20:I27*Production!$N$8:$N$15)</f>
        <v>130.33392019800002</v>
      </c>
      <c r="V72" s="579">
        <f t="array" aca="1" ref="V72" ca="1">SUM(J20:J27*Production!$N$8:$N$15)</f>
        <v>130.33392019800002</v>
      </c>
      <c r="W72" s="579">
        <f t="array" aca="1" ref="W72" ca="1">SUM(K20:K27*Production!$N$8:$N$15)</f>
        <v>130.33392019800002</v>
      </c>
      <c r="X72" s="579">
        <f t="array" aca="1" ref="X72" ca="1">SUM(L20:L27*Production!$N$8:$N$15)</f>
        <v>130.33392019800002</v>
      </c>
      <c r="Y72" s="1936">
        <f t="array" aca="1" ref="Y72" ca="1">SUM(M20:M27*Production!$N$8:$N$15)</f>
        <v>130.33392019800002</v>
      </c>
    </row>
    <row r="73" spans="1:26" ht="15.75" customHeight="1">
      <c r="A73" s="1923" t="s">
        <v>597</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f t="array" aca="1" ref="Y73:Y84" ca="1">'DC Distr 5'!M73:M84</f>
        <v>0</v>
      </c>
    </row>
    <row r="74" spans="1:26" ht="15.75" customHeight="1">
      <c r="A74" s="1923" t="s">
        <v>598</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f t="array" aca="1" ref="X74:X84" ca="1">'DC Distr 5'!L74:L84</f>
        <v>0</v>
      </c>
      <c r="Y74" s="1934">
        <f ca="1"/>
        <v>0</v>
      </c>
    </row>
    <row r="75" spans="1:26" ht="15.75" customHeight="1">
      <c r="A75" s="1923" t="s">
        <v>599</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f t="array" aca="1" ref="W75:W84" ca="1">'DC Distr 5'!K75:K84</f>
        <v>0</v>
      </c>
      <c r="X75" s="1916">
        <f ca="1"/>
        <v>0</v>
      </c>
      <c r="Y75" s="1934">
        <f ca="1"/>
        <v>0</v>
      </c>
    </row>
    <row r="76" spans="1:26" ht="15.75" customHeight="1">
      <c r="A76" s="1923" t="s">
        <v>600</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f t="array" aca="1" ref="V76:V84" ca="1">'DC Distr 5'!J76:J84</f>
        <v>0</v>
      </c>
      <c r="W76" s="1916">
        <f ca="1"/>
        <v>0</v>
      </c>
      <c r="X76" s="1916">
        <f ca="1"/>
        <v>0</v>
      </c>
      <c r="Y76" s="1934">
        <f ca="1"/>
        <v>0</v>
      </c>
    </row>
    <row r="77" spans="1:26" ht="15.75" customHeight="1">
      <c r="A77" s="1923" t="s">
        <v>601</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f t="array" aca="1" ref="U77:U84" ca="1">'DC Distr 5'!I77:I84</f>
        <v>0</v>
      </c>
      <c r="V77" s="1916">
        <f ca="1"/>
        <v>0</v>
      </c>
      <c r="W77" s="1916">
        <f ca="1"/>
        <v>0</v>
      </c>
      <c r="X77" s="1916">
        <f ca="1"/>
        <v>0</v>
      </c>
      <c r="Y77" s="1934">
        <f ca="1"/>
        <v>0</v>
      </c>
    </row>
    <row r="78" spans="1:26" ht="15.75" customHeight="1">
      <c r="A78" s="1923" t="s">
        <v>602</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f t="array" aca="1" ref="T78:T84" ca="1">'DC Distr 5'!H78:H84</f>
        <v>0</v>
      </c>
      <c r="U78" s="1916">
        <f ca="1"/>
        <v>0</v>
      </c>
      <c r="V78" s="1916">
        <f ca="1"/>
        <v>0</v>
      </c>
      <c r="W78" s="1916">
        <f ca="1"/>
        <v>0</v>
      </c>
      <c r="X78" s="1916">
        <f ca="1"/>
        <v>0</v>
      </c>
      <c r="Y78" s="1934">
        <f ca="1"/>
        <v>0</v>
      </c>
    </row>
    <row r="79" spans="1:26" ht="15.75" customHeight="1">
      <c r="A79" s="1923" t="s">
        <v>603</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f t="array" aca="1" ref="S79:S84" ca="1">'DC Distr 5'!G79:G84</f>
        <v>0</v>
      </c>
      <c r="T79" s="1920">
        <f ca="1"/>
        <v>0</v>
      </c>
      <c r="U79" s="1920">
        <f ca="1"/>
        <v>0</v>
      </c>
      <c r="V79" s="1920">
        <f ca="1"/>
        <v>0</v>
      </c>
      <c r="W79" s="1920">
        <f ca="1"/>
        <v>0</v>
      </c>
      <c r="X79" s="1920">
        <f ca="1"/>
        <v>0</v>
      </c>
      <c r="Y79" s="1937">
        <f ca="1"/>
        <v>0</v>
      </c>
    </row>
    <row r="80" spans="1:26" ht="15.75" customHeight="1">
      <c r="A80" s="1923" t="s">
        <v>604</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f t="array" aca="1" ref="R80:R84" ca="1">'DC Distr 5'!F80:F84</f>
        <v>0</v>
      </c>
      <c r="S80" s="1920">
        <f ca="1"/>
        <v>0</v>
      </c>
      <c r="T80" s="1920">
        <f ca="1"/>
        <v>0</v>
      </c>
      <c r="U80" s="1920">
        <f ca="1"/>
        <v>0</v>
      </c>
      <c r="V80" s="1920">
        <f ca="1"/>
        <v>0</v>
      </c>
      <c r="W80" s="1920">
        <f ca="1"/>
        <v>0</v>
      </c>
      <c r="X80" s="1920">
        <f ca="1"/>
        <v>0</v>
      </c>
      <c r="Y80" s="1937">
        <f ca="1"/>
        <v>0</v>
      </c>
    </row>
    <row r="81" spans="1:26" ht="15.75" customHeight="1">
      <c r="A81" s="1923" t="s">
        <v>605</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f t="array" aca="1" ref="Q81:Q84" ca="1">'DC Distr 5'!E81:E84</f>
        <v>0</v>
      </c>
      <c r="R81" s="1920">
        <f ca="1"/>
        <v>0</v>
      </c>
      <c r="S81" s="1920">
        <f ca="1"/>
        <v>0</v>
      </c>
      <c r="T81" s="1920">
        <f ca="1"/>
        <v>0</v>
      </c>
      <c r="U81" s="1920">
        <f ca="1"/>
        <v>0</v>
      </c>
      <c r="V81" s="1920">
        <f ca="1"/>
        <v>0</v>
      </c>
      <c r="W81" s="1920">
        <f ca="1"/>
        <v>0</v>
      </c>
      <c r="X81" s="1920">
        <f ca="1"/>
        <v>0</v>
      </c>
      <c r="Y81" s="1937">
        <f ca="1"/>
        <v>0</v>
      </c>
    </row>
    <row r="82" spans="1:26" ht="15.75" customHeight="1">
      <c r="A82" s="1923" t="s">
        <v>606</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f t="array" aca="1" ref="P82:P84" ca="1">'DC Distr 5'!D82:D84</f>
        <v>0</v>
      </c>
      <c r="Q82" s="1920">
        <f ca="1"/>
        <v>0</v>
      </c>
      <c r="R82" s="1920">
        <f ca="1"/>
        <v>0</v>
      </c>
      <c r="S82" s="1920">
        <f ca="1"/>
        <v>0</v>
      </c>
      <c r="T82" s="1920">
        <f ca="1"/>
        <v>0</v>
      </c>
      <c r="U82" s="1920">
        <f ca="1"/>
        <v>0</v>
      </c>
      <c r="V82" s="1920">
        <f ca="1"/>
        <v>0</v>
      </c>
      <c r="W82" s="1920">
        <f ca="1"/>
        <v>0</v>
      </c>
      <c r="X82" s="1920">
        <f ca="1"/>
        <v>0</v>
      </c>
      <c r="Y82" s="1937">
        <f ca="1"/>
        <v>0</v>
      </c>
    </row>
    <row r="83" spans="1:26" ht="15.75" customHeight="1">
      <c r="A83" s="1923" t="s">
        <v>607</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f t="array" aca="1" ref="O83:O84" ca="1">'DC Distr 5'!C83:C84</f>
        <v>0</v>
      </c>
      <c r="P83" s="1920">
        <f ca="1"/>
        <v>0</v>
      </c>
      <c r="Q83" s="1920">
        <f ca="1"/>
        <v>0</v>
      </c>
      <c r="R83" s="1920">
        <f ca="1"/>
        <v>0</v>
      </c>
      <c r="S83" s="1920">
        <f ca="1"/>
        <v>0</v>
      </c>
      <c r="T83" s="1920">
        <f ca="1"/>
        <v>0</v>
      </c>
      <c r="U83" s="1920">
        <f ca="1"/>
        <v>0</v>
      </c>
      <c r="V83" s="1920">
        <f ca="1"/>
        <v>0</v>
      </c>
      <c r="W83" s="1920">
        <f ca="1"/>
        <v>0</v>
      </c>
      <c r="X83" s="1920">
        <f ca="1"/>
        <v>0</v>
      </c>
      <c r="Y83" s="1937">
        <f ca="1"/>
        <v>0</v>
      </c>
    </row>
    <row r="84" spans="1:26" ht="15.75" customHeight="1" thickBot="1">
      <c r="A84" s="1923"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f ca="1">'DC Distr 5'!B84</f>
        <v>0</v>
      </c>
      <c r="O84" s="1920">
        <f ca="1"/>
        <v>0</v>
      </c>
      <c r="P84" s="1920">
        <f ca="1"/>
        <v>0</v>
      </c>
      <c r="Q84" s="1920">
        <f ca="1"/>
        <v>0</v>
      </c>
      <c r="R84" s="1920">
        <f ca="1"/>
        <v>0</v>
      </c>
      <c r="S84" s="1920">
        <f ca="1"/>
        <v>0</v>
      </c>
      <c r="T84" s="1920">
        <f ca="1"/>
        <v>0</v>
      </c>
      <c r="U84" s="1920">
        <f ca="1"/>
        <v>0</v>
      </c>
      <c r="V84" s="1920">
        <f ca="1"/>
        <v>0</v>
      </c>
      <c r="W84" s="1920">
        <f ca="1"/>
        <v>0</v>
      </c>
      <c r="X84" s="1920">
        <f ca="1"/>
        <v>0</v>
      </c>
      <c r="Y84" s="1937">
        <f ca="1"/>
        <v>0</v>
      </c>
    </row>
    <row r="85" spans="1:26" ht="15.75" customHeight="1" thickBot="1">
      <c r="A85" s="2403" t="s">
        <v>577</v>
      </c>
      <c r="B85" s="587">
        <f t="shared" ref="B85:Y85" ca="1" si="8">SUM(B72:B84)</f>
        <v>0</v>
      </c>
      <c r="C85" s="587">
        <f t="shared" ca="1" si="8"/>
        <v>0</v>
      </c>
      <c r="D85" s="587">
        <f t="shared" ca="1" si="8"/>
        <v>0</v>
      </c>
      <c r="E85" s="587">
        <f t="shared" ca="1" si="8"/>
        <v>0</v>
      </c>
      <c r="F85" s="587">
        <f t="shared" ca="1" si="8"/>
        <v>0</v>
      </c>
      <c r="G85" s="587">
        <f t="shared" ca="1" si="8"/>
        <v>0</v>
      </c>
      <c r="H85" s="587">
        <f t="shared" ca="1" si="8"/>
        <v>0</v>
      </c>
      <c r="I85" s="587">
        <f t="shared" ca="1" si="8"/>
        <v>0</v>
      </c>
      <c r="J85" s="587">
        <f t="shared" ca="1" si="8"/>
        <v>0</v>
      </c>
      <c r="K85" s="587">
        <f t="shared" ca="1" si="8"/>
        <v>0</v>
      </c>
      <c r="L85" s="587">
        <f t="shared" ca="1" si="8"/>
        <v>0</v>
      </c>
      <c r="M85" s="587">
        <f t="shared" ca="1" si="8"/>
        <v>0</v>
      </c>
      <c r="N85" s="587">
        <f t="shared" ca="1" si="8"/>
        <v>130.33392019800002</v>
      </c>
      <c r="O85" s="587">
        <f t="shared" ca="1" si="8"/>
        <v>130.33392019800002</v>
      </c>
      <c r="P85" s="587">
        <f t="shared" ca="1" si="8"/>
        <v>130.33392019800002</v>
      </c>
      <c r="Q85" s="587">
        <f t="shared" ca="1" si="8"/>
        <v>130.33392019800002</v>
      </c>
      <c r="R85" s="587">
        <f t="shared" ca="1" si="8"/>
        <v>130.33392019800002</v>
      </c>
      <c r="S85" s="587">
        <f t="shared" ca="1" si="8"/>
        <v>130.33392019800002</v>
      </c>
      <c r="T85" s="587">
        <f t="shared" ca="1" si="8"/>
        <v>130.33392019800002</v>
      </c>
      <c r="U85" s="587">
        <f t="shared" ca="1" si="8"/>
        <v>130.33392019800002</v>
      </c>
      <c r="V85" s="587">
        <f t="shared" ca="1" si="8"/>
        <v>130.33392019800002</v>
      </c>
      <c r="W85" s="587">
        <f t="shared" ca="1" si="8"/>
        <v>130.33392019800002</v>
      </c>
      <c r="X85" s="587">
        <f t="shared" ca="1" si="8"/>
        <v>130.33392019800002</v>
      </c>
      <c r="Y85" s="1935">
        <f t="shared" ca="1" si="8"/>
        <v>130.33392019800002</v>
      </c>
    </row>
    <row r="86" spans="1:26">
      <c r="B86" s="61"/>
    </row>
    <row r="87" spans="1:26">
      <c r="A87" s="230" t="s">
        <v>610</v>
      </c>
      <c r="B87" s="61">
        <f ca="1">SUM(B85:M85)</f>
        <v>0</v>
      </c>
    </row>
    <row r="88" spans="1:26">
      <c r="B88" s="61"/>
    </row>
    <row r="89" spans="1:26" ht="18.75" thickBot="1">
      <c r="A89" s="1921" t="str">
        <f>'DC Distr 0'!A89</f>
        <v>Input VAT of production costs by purchasing (effective) cost months</v>
      </c>
      <c r="I89" s="1921"/>
    </row>
    <row r="90" spans="1:26" s="440" customFormat="1" ht="35.25" customHeight="1" thickBot="1">
      <c r="A90" s="441" t="str">
        <f>A71&amp;" "&amp;'Base Data'!$A$28</f>
        <v>Production Costs VAT</v>
      </c>
      <c r="B90" s="1938" t="str">
        <f t="array" ref="B90:Y90">B$71:Y$71</f>
        <v>January
2029</v>
      </c>
      <c r="C90" s="1938" t="str">
        <v>February
2029</v>
      </c>
      <c r="D90" s="1938" t="str">
        <v>March
2029</v>
      </c>
      <c r="E90" s="1938" t="str">
        <v>April
2029</v>
      </c>
      <c r="F90" s="1938" t="str">
        <v>May
2029</v>
      </c>
      <c r="G90" s="1938" t="str">
        <v>June
2029</v>
      </c>
      <c r="H90" s="1938" t="str">
        <v>July
2029</v>
      </c>
      <c r="I90" s="1938" t="str">
        <v>August
2029</v>
      </c>
      <c r="J90" s="1938" t="str">
        <v>September
2029</v>
      </c>
      <c r="K90" s="1938" t="str">
        <v>October
2029</v>
      </c>
      <c r="L90" s="1938" t="str">
        <v>November
2029</v>
      </c>
      <c r="M90" s="1938" t="str">
        <v>December
2029</v>
      </c>
      <c r="N90" s="2721" t="str">
        <v>January 
2030</v>
      </c>
      <c r="O90" s="2722" t="str">
        <v>February 
2030</v>
      </c>
      <c r="P90" s="2722" t="str">
        <v>March 
2030</v>
      </c>
      <c r="Q90" s="2722" t="str">
        <v>April 
2030</v>
      </c>
      <c r="R90" s="2722" t="str">
        <v>May 
2030</v>
      </c>
      <c r="S90" s="2722" t="str">
        <v>June 
2030</v>
      </c>
      <c r="T90" s="2722" t="str">
        <v>July 
2030</v>
      </c>
      <c r="U90" s="2722" t="str">
        <v>August 
2030</v>
      </c>
      <c r="V90" s="2722" t="str">
        <v>September 
2030</v>
      </c>
      <c r="W90" s="2722" t="str">
        <v>October 
2030</v>
      </c>
      <c r="X90" s="2722" t="str">
        <v>November 
2030</v>
      </c>
      <c r="Y90" s="2723" t="str">
        <v>December 
2030</v>
      </c>
      <c r="Z90" s="61"/>
    </row>
    <row r="91" spans="1:26" ht="15.75" customHeight="1">
      <c r="A91" s="1922" t="str">
        <f t="array" ref="A91:A103">A$72:A$84</f>
        <v>same month</v>
      </c>
      <c r="B91" s="1919"/>
      <c r="C91" s="1919"/>
      <c r="D91" s="1919"/>
      <c r="E91" s="1919"/>
      <c r="F91" s="1919"/>
      <c r="G91" s="1919"/>
      <c r="H91" s="1917">
        <v>0</v>
      </c>
      <c r="I91" s="1918">
        <v>0</v>
      </c>
      <c r="J91" s="1918">
        <v>0</v>
      </c>
      <c r="K91" s="1918">
        <v>0</v>
      </c>
      <c r="L91" s="1918">
        <v>0</v>
      </c>
      <c r="M91" s="1918">
        <v>0</v>
      </c>
      <c r="N91" s="579">
        <f t="array" aca="1" ref="N91" ca="1">SUM(B32:B39*Production!$N$8:$N$15)</f>
        <v>27.370123241580004</v>
      </c>
      <c r="O91" s="579">
        <f t="array" aca="1" ref="O91" ca="1">SUM(C32:C39*Production!$N$8:$N$15)</f>
        <v>27.370123241580004</v>
      </c>
      <c r="P91" s="579">
        <f t="array" aca="1" ref="P91" ca="1">SUM(D32:D39*Production!$N$8:$N$15)</f>
        <v>27.370123241580004</v>
      </c>
      <c r="Q91" s="579">
        <f t="array" aca="1" ref="Q91" ca="1">SUM(E32:E39*Production!$N$8:$N$15)</f>
        <v>27.370123241580004</v>
      </c>
      <c r="R91" s="579">
        <f t="array" aca="1" ref="R91" ca="1">SUM(F32:F39*Production!$N$8:$N$15)</f>
        <v>27.370123241580004</v>
      </c>
      <c r="S91" s="579">
        <f t="array" aca="1" ref="S91" ca="1">SUM(G32:G39*Production!$N$8:$N$15)</f>
        <v>27.370123241580004</v>
      </c>
      <c r="T91" s="579">
        <f t="array" aca="1" ref="T91" ca="1">SUM(H32:H39*Production!$N$8:$N$15)</f>
        <v>27.370123241580004</v>
      </c>
      <c r="U91" s="579">
        <f t="array" aca="1" ref="U91" ca="1">SUM(I32:I39*Production!$N$8:$N$15)</f>
        <v>27.370123241580004</v>
      </c>
      <c r="V91" s="579">
        <f t="array" aca="1" ref="V91" ca="1">SUM(J32:J39*Production!$N$8:$N$15)</f>
        <v>27.370123241580004</v>
      </c>
      <c r="W91" s="579">
        <f t="array" aca="1" ref="W91" ca="1">SUM(K32:K39*Production!$N$8:$N$15)</f>
        <v>27.370123241580004</v>
      </c>
      <c r="X91" s="579">
        <f t="array" aca="1" ref="X91" ca="1">SUM(L32:L39*Production!$N$8:$N$15)</f>
        <v>27.370123241580004</v>
      </c>
      <c r="Y91" s="1936">
        <f t="array" aca="1" ref="Y91" ca="1">SUM(M32:M39*Production!$N$8:$N$15)</f>
        <v>27.370123241580004</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f t="array" aca="1" ref="Y92:Y103" ca="1">'DC Distr 5'!M92:M103</f>
        <v>0</v>
      </c>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f t="array" aca="1" ref="X93:X103" ca="1">'DC Distr 5'!L93:L103</f>
        <v>0</v>
      </c>
      <c r="Y93" s="1934">
        <f ca="1"/>
        <v>0</v>
      </c>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f t="array" aca="1" ref="W94:W103" ca="1">'DC Distr 5'!K94:K103</f>
        <v>0</v>
      </c>
      <c r="X94" s="1916">
        <f ca="1"/>
        <v>0</v>
      </c>
      <c r="Y94" s="1934">
        <f ca="1"/>
        <v>0</v>
      </c>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f t="array" aca="1" ref="V95:V103" ca="1">'DC Distr 5'!J95:J103</f>
        <v>0</v>
      </c>
      <c r="W95" s="1916">
        <f ca="1"/>
        <v>0</v>
      </c>
      <c r="X95" s="1916">
        <f ca="1"/>
        <v>0</v>
      </c>
      <c r="Y95" s="1934">
        <f ca="1"/>
        <v>0</v>
      </c>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f t="array" aca="1" ref="U96:U103" ca="1">'DC Distr 5'!I96:I103</f>
        <v>0</v>
      </c>
      <c r="V96" s="1916">
        <f ca="1"/>
        <v>0</v>
      </c>
      <c r="W96" s="1916">
        <f ca="1"/>
        <v>0</v>
      </c>
      <c r="X96" s="1916">
        <f ca="1"/>
        <v>0</v>
      </c>
      <c r="Y96" s="1934">
        <f ca="1"/>
        <v>0</v>
      </c>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f t="array" aca="1" ref="T97:T103" ca="1">'DC Distr 5'!H97:H103</f>
        <v>0</v>
      </c>
      <c r="U97" s="1916">
        <f ca="1"/>
        <v>0</v>
      </c>
      <c r="V97" s="1916">
        <f ca="1"/>
        <v>0</v>
      </c>
      <c r="W97" s="1916">
        <f ca="1"/>
        <v>0</v>
      </c>
      <c r="X97" s="1916">
        <f ca="1"/>
        <v>0</v>
      </c>
      <c r="Y97" s="1934">
        <f ca="1"/>
        <v>0</v>
      </c>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f t="array" aca="1" ref="S98:S103" ca="1">'DC Distr 5'!G98:G103</f>
        <v>0</v>
      </c>
      <c r="T98" s="1920">
        <f ca="1"/>
        <v>0</v>
      </c>
      <c r="U98" s="1920">
        <f ca="1"/>
        <v>0</v>
      </c>
      <c r="V98" s="1920">
        <f ca="1"/>
        <v>0</v>
      </c>
      <c r="W98" s="1920">
        <f ca="1"/>
        <v>0</v>
      </c>
      <c r="X98" s="1920">
        <f ca="1"/>
        <v>0</v>
      </c>
      <c r="Y98" s="1937">
        <f ca="1"/>
        <v>0</v>
      </c>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f t="array" aca="1" ref="R99:R103" ca="1">'DC Distr 5'!F99:F103</f>
        <v>0</v>
      </c>
      <c r="S99" s="1920">
        <f ca="1"/>
        <v>0</v>
      </c>
      <c r="T99" s="1920">
        <f ca="1"/>
        <v>0</v>
      </c>
      <c r="U99" s="1920">
        <f ca="1"/>
        <v>0</v>
      </c>
      <c r="V99" s="1920">
        <f ca="1"/>
        <v>0</v>
      </c>
      <c r="W99" s="1920">
        <f ca="1"/>
        <v>0</v>
      </c>
      <c r="X99" s="1920">
        <f ca="1"/>
        <v>0</v>
      </c>
      <c r="Y99" s="1937">
        <f ca="1"/>
        <v>0</v>
      </c>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f t="array" aca="1" ref="Q100:Q103" ca="1">'DC Distr 5'!E100:E103</f>
        <v>0</v>
      </c>
      <c r="R100" s="1920">
        <f ca="1"/>
        <v>0</v>
      </c>
      <c r="S100" s="1920">
        <f ca="1"/>
        <v>0</v>
      </c>
      <c r="T100" s="1920">
        <f ca="1"/>
        <v>0</v>
      </c>
      <c r="U100" s="1920">
        <f ca="1"/>
        <v>0</v>
      </c>
      <c r="V100" s="1920">
        <f ca="1"/>
        <v>0</v>
      </c>
      <c r="W100" s="1920">
        <f ca="1"/>
        <v>0</v>
      </c>
      <c r="X100" s="1920">
        <f ca="1"/>
        <v>0</v>
      </c>
      <c r="Y100" s="1937">
        <f ca="1"/>
        <v>0</v>
      </c>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f t="array" aca="1" ref="P101:P103" ca="1">'DC Distr 5'!D101:D103</f>
        <v>0</v>
      </c>
      <c r="Q101" s="1920">
        <f ca="1"/>
        <v>0</v>
      </c>
      <c r="R101" s="1920">
        <f ca="1"/>
        <v>0</v>
      </c>
      <c r="S101" s="1920">
        <f ca="1"/>
        <v>0</v>
      </c>
      <c r="T101" s="1920">
        <f ca="1"/>
        <v>0</v>
      </c>
      <c r="U101" s="1920">
        <f ca="1"/>
        <v>0</v>
      </c>
      <c r="V101" s="1920">
        <f ca="1"/>
        <v>0</v>
      </c>
      <c r="W101" s="1920">
        <f ca="1"/>
        <v>0</v>
      </c>
      <c r="X101" s="1920">
        <f ca="1"/>
        <v>0</v>
      </c>
      <c r="Y101" s="1937">
        <f ca="1"/>
        <v>0</v>
      </c>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f ca="1">'DC Distr 5'!C102</f>
        <v>0</v>
      </c>
      <c r="P102" s="1920">
        <f ca="1"/>
        <v>0</v>
      </c>
      <c r="Q102" s="1920">
        <f ca="1"/>
        <v>0</v>
      </c>
      <c r="R102" s="1920">
        <f ca="1"/>
        <v>0</v>
      </c>
      <c r="S102" s="1920">
        <f ca="1"/>
        <v>0</v>
      </c>
      <c r="T102" s="1920">
        <f ca="1"/>
        <v>0</v>
      </c>
      <c r="U102" s="1920">
        <f ca="1"/>
        <v>0</v>
      </c>
      <c r="V102" s="1920">
        <f ca="1"/>
        <v>0</v>
      </c>
      <c r="W102" s="1920">
        <f ca="1"/>
        <v>0</v>
      </c>
      <c r="X102" s="1920">
        <f ca="1"/>
        <v>0</v>
      </c>
      <c r="Y102" s="1937">
        <f ca="1"/>
        <v>0</v>
      </c>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f ca="1">'DC Distr 5'!B103</f>
        <v>0</v>
      </c>
      <c r="O103" s="1920">
        <f ca="1">'DC Distr 5'!C103</f>
        <v>0</v>
      </c>
      <c r="P103" s="1920">
        <f ca="1"/>
        <v>0</v>
      </c>
      <c r="Q103" s="1920">
        <f ca="1"/>
        <v>0</v>
      </c>
      <c r="R103" s="1920">
        <f ca="1"/>
        <v>0</v>
      </c>
      <c r="S103" s="1920">
        <f ca="1"/>
        <v>0</v>
      </c>
      <c r="T103" s="1920">
        <f ca="1"/>
        <v>0</v>
      </c>
      <c r="U103" s="1920">
        <f ca="1"/>
        <v>0</v>
      </c>
      <c r="V103" s="1920">
        <f ca="1"/>
        <v>0</v>
      </c>
      <c r="W103" s="1920">
        <f ca="1"/>
        <v>0</v>
      </c>
      <c r="X103" s="1920">
        <f ca="1"/>
        <v>0</v>
      </c>
      <c r="Y103" s="1937">
        <f ca="1"/>
        <v>0</v>
      </c>
    </row>
    <row r="104" spans="1:26" ht="15.75" customHeight="1" thickBot="1">
      <c r="A104" s="2403" t="s">
        <v>577</v>
      </c>
      <c r="B104" s="587">
        <f t="shared" ref="B104:Y104" ca="1" si="9">SUM(B91:B103)</f>
        <v>0</v>
      </c>
      <c r="C104" s="587">
        <f t="shared" ca="1" si="9"/>
        <v>0</v>
      </c>
      <c r="D104" s="587">
        <f t="shared" ca="1" si="9"/>
        <v>0</v>
      </c>
      <c r="E104" s="587">
        <f t="shared" ca="1" si="9"/>
        <v>0</v>
      </c>
      <c r="F104" s="587">
        <f t="shared" ca="1" si="9"/>
        <v>0</v>
      </c>
      <c r="G104" s="587">
        <f t="shared" ca="1" si="9"/>
        <v>0</v>
      </c>
      <c r="H104" s="587">
        <f t="shared" ca="1" si="9"/>
        <v>0</v>
      </c>
      <c r="I104" s="587">
        <f t="shared" ca="1" si="9"/>
        <v>0</v>
      </c>
      <c r="J104" s="587">
        <f t="shared" ca="1" si="9"/>
        <v>0</v>
      </c>
      <c r="K104" s="587">
        <f t="shared" ca="1" si="9"/>
        <v>0</v>
      </c>
      <c r="L104" s="587">
        <f t="shared" ca="1" si="9"/>
        <v>0</v>
      </c>
      <c r="M104" s="587">
        <f t="shared" ca="1" si="9"/>
        <v>0</v>
      </c>
      <c r="N104" s="587">
        <f t="shared" ca="1" si="9"/>
        <v>27.370123241580004</v>
      </c>
      <c r="O104" s="587">
        <f t="shared" ca="1" si="9"/>
        <v>27.370123241580004</v>
      </c>
      <c r="P104" s="587">
        <f t="shared" ca="1" si="9"/>
        <v>27.370123241580004</v>
      </c>
      <c r="Q104" s="587">
        <f t="shared" ca="1" si="9"/>
        <v>27.370123241580004</v>
      </c>
      <c r="R104" s="587">
        <f t="shared" ca="1" si="9"/>
        <v>27.370123241580004</v>
      </c>
      <c r="S104" s="587">
        <f t="shared" ca="1" si="9"/>
        <v>27.370123241580004</v>
      </c>
      <c r="T104" s="587">
        <f t="shared" ca="1" si="9"/>
        <v>27.370123241580004</v>
      </c>
      <c r="U104" s="587">
        <f t="shared" ca="1" si="9"/>
        <v>27.370123241580004</v>
      </c>
      <c r="V104" s="587">
        <f t="shared" ca="1" si="9"/>
        <v>27.370123241580004</v>
      </c>
      <c r="W104" s="587">
        <f t="shared" ca="1" si="9"/>
        <v>27.370123241580004</v>
      </c>
      <c r="X104" s="587">
        <f t="shared" ca="1" si="9"/>
        <v>27.370123241580004</v>
      </c>
      <c r="Y104" s="1935">
        <f t="shared" ca="1" si="9"/>
        <v>27.370123241580004</v>
      </c>
    </row>
    <row r="106" spans="1:26">
      <c r="A106" s="230" t="str">
        <f>"Previous "&amp;'Base Data'!$A$28</f>
        <v>Previous VAT</v>
      </c>
      <c r="B106" s="61">
        <f ca="1">SUM(B104:M104)</f>
        <v>0</v>
      </c>
    </row>
    <row r="108" spans="1:26">
      <c r="F108" s="61" t="str">
        <f>'DC Distr 0'!F108</f>
        <v>(NEEDED TO CALCULATE SUBSEQUENT MONTHLY PAYMENTS TO BE DONE)</v>
      </c>
      <c r="L108" s="2404" t="s">
        <v>615</v>
      </c>
    </row>
    <row r="109" spans="1:26" ht="18.75" thickBot="1">
      <c r="A109" s="1921" t="str">
        <f>'DC Distr 0'!A109</f>
        <v>Monthly Purchases / Production costs for product 1</v>
      </c>
      <c r="I109" s="1921" t="str">
        <f>I$18</f>
        <v>VAT NOT included</v>
      </c>
      <c r="K109" s="1932">
        <f>Parameters!$F$24</f>
        <v>0.21</v>
      </c>
    </row>
    <row r="110" spans="1:26" s="440" customFormat="1" ht="30" customHeight="1" thickBot="1">
      <c r="A110" s="441" t="s">
        <v>613</v>
      </c>
      <c r="B110" s="1938" t="str">
        <f t="array" ref="B110:Y110">B$71:Y$71</f>
        <v>January
2029</v>
      </c>
      <c r="C110" s="1938" t="str">
        <v>February
2029</v>
      </c>
      <c r="D110" s="1938" t="str">
        <v>March
2029</v>
      </c>
      <c r="E110" s="1938" t="str">
        <v>April
2029</v>
      </c>
      <c r="F110" s="1938" t="str">
        <v>May
2029</v>
      </c>
      <c r="G110" s="1938" t="str">
        <v>June
2029</v>
      </c>
      <c r="H110" s="1938" t="str">
        <v>July
2029</v>
      </c>
      <c r="I110" s="1938" t="str">
        <v>August
2029</v>
      </c>
      <c r="J110" s="1938" t="str">
        <v>September
2029</v>
      </c>
      <c r="K110" s="1938" t="str">
        <v>October
2029</v>
      </c>
      <c r="L110" s="1938" t="str">
        <v>November
2029</v>
      </c>
      <c r="M110" s="1938" t="str">
        <v>December
2029</v>
      </c>
      <c r="N110" s="2721" t="str">
        <v>January 
2030</v>
      </c>
      <c r="O110" s="2722" t="str">
        <v>February 
2030</v>
      </c>
      <c r="P110" s="2722" t="str">
        <v>March 
2030</v>
      </c>
      <c r="Q110" s="2722" t="str">
        <v>April 
2030</v>
      </c>
      <c r="R110" s="2722" t="str">
        <v>May 
2030</v>
      </c>
      <c r="S110" s="2722" t="str">
        <v>June 
2030</v>
      </c>
      <c r="T110" s="2722" t="str">
        <v>July 
2030</v>
      </c>
      <c r="U110" s="2722" t="str">
        <v>August 
2030</v>
      </c>
      <c r="V110" s="2722" t="str">
        <v>September 
2030</v>
      </c>
      <c r="W110" s="2722" t="str">
        <v>October 
2030</v>
      </c>
      <c r="X110" s="2722" t="str">
        <v>November 
2030</v>
      </c>
      <c r="Y110" s="2723" t="str">
        <v>December 
2030</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130.33392019800002</v>
      </c>
      <c r="O111" s="583">
        <f ca="1"/>
        <v>130.33392019800002</v>
      </c>
      <c r="P111" s="583">
        <f ca="1"/>
        <v>130.33392019800002</v>
      </c>
      <c r="Q111" s="583">
        <f ca="1"/>
        <v>130.33392019800002</v>
      </c>
      <c r="R111" s="583">
        <f ca="1"/>
        <v>130.33392019800002</v>
      </c>
      <c r="S111" s="583">
        <f ca="1"/>
        <v>130.33392019800002</v>
      </c>
      <c r="T111" s="583">
        <f ca="1"/>
        <v>130.33392019800002</v>
      </c>
      <c r="U111" s="583">
        <f ca="1"/>
        <v>130.33392019800002</v>
      </c>
      <c r="V111" s="583">
        <f ca="1"/>
        <v>130.33392019800002</v>
      </c>
      <c r="W111" s="583">
        <f ca="1"/>
        <v>130.33392019800002</v>
      </c>
      <c r="X111" s="583">
        <f ca="1"/>
        <v>130.33392019800002</v>
      </c>
      <c r="Y111" s="1933">
        <f ca="1"/>
        <v>130.33392019800002</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f t="array" aca="1" ref="Y112:Y123" ca="1">'DC Distr 5'!M112:M123</f>
        <v>0</v>
      </c>
    </row>
    <row r="113" spans="1:25">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6">
        <f t="array" aca="1" ref="X113:X123" ca="1">'DC Distr 5'!L113:L123</f>
        <v>0</v>
      </c>
      <c r="Y113" s="1934">
        <f ca="1"/>
        <v>0</v>
      </c>
    </row>
    <row r="114" spans="1:25">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6">
        <f t="array" aca="1" ref="W114:W123" ca="1">'DC Distr 5'!K114:K123</f>
        <v>0</v>
      </c>
      <c r="X114" s="1916">
        <f ca="1"/>
        <v>0</v>
      </c>
      <c r="Y114" s="1934">
        <f ca="1"/>
        <v>0</v>
      </c>
    </row>
    <row r="115" spans="1:25">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6">
        <f t="array" aca="1" ref="V115:V123" ca="1">'DC Distr 5'!J115:J123</f>
        <v>0</v>
      </c>
      <c r="W115" s="1916">
        <f ca="1"/>
        <v>0</v>
      </c>
      <c r="X115" s="1916">
        <f ca="1"/>
        <v>0</v>
      </c>
      <c r="Y115" s="1934">
        <f ca="1"/>
        <v>0</v>
      </c>
    </row>
    <row r="116" spans="1:25">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6">
        <f t="array" aca="1" ref="U116:U123" ca="1">'DC Distr 5'!I116:I123</f>
        <v>0</v>
      </c>
      <c r="V116" s="1916">
        <f ca="1"/>
        <v>0</v>
      </c>
      <c r="W116" s="1916">
        <f ca="1"/>
        <v>0</v>
      </c>
      <c r="X116" s="1916">
        <f ca="1"/>
        <v>0</v>
      </c>
      <c r="Y116" s="1934">
        <f ca="1"/>
        <v>0</v>
      </c>
    </row>
    <row r="117" spans="1:25">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6">
        <f t="array" aca="1" ref="T117:T123" ca="1">'DC Distr 5'!H117:H123</f>
        <v>0</v>
      </c>
      <c r="U117" s="1916">
        <f ca="1"/>
        <v>0</v>
      </c>
      <c r="V117" s="1916">
        <f ca="1"/>
        <v>0</v>
      </c>
      <c r="W117" s="1916">
        <f ca="1"/>
        <v>0</v>
      </c>
      <c r="X117" s="1916">
        <f ca="1"/>
        <v>0</v>
      </c>
      <c r="Y117" s="1934">
        <f ca="1"/>
        <v>0</v>
      </c>
    </row>
    <row r="118" spans="1:25">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20">
        <f t="array" aca="1" ref="S118:S123" ca="1">'DC Distr 5'!G118:G123</f>
        <v>0</v>
      </c>
      <c r="T118" s="1920">
        <f ca="1"/>
        <v>0</v>
      </c>
      <c r="U118" s="1920">
        <f ca="1"/>
        <v>0</v>
      </c>
      <c r="V118" s="1920">
        <f ca="1"/>
        <v>0</v>
      </c>
      <c r="W118" s="1920">
        <f ca="1"/>
        <v>0</v>
      </c>
      <c r="X118" s="1920">
        <f ca="1"/>
        <v>0</v>
      </c>
      <c r="Y118" s="1937">
        <f ca="1"/>
        <v>0</v>
      </c>
    </row>
    <row r="119" spans="1:25">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20">
        <f t="array" aca="1" ref="R119:R123" ca="1">'DC Distr 5'!F119:F123</f>
        <v>0</v>
      </c>
      <c r="S119" s="1920">
        <f ca="1"/>
        <v>0</v>
      </c>
      <c r="T119" s="1920">
        <f ca="1"/>
        <v>0</v>
      </c>
      <c r="U119" s="1920">
        <f ca="1"/>
        <v>0</v>
      </c>
      <c r="V119" s="1920">
        <f ca="1"/>
        <v>0</v>
      </c>
      <c r="W119" s="1920">
        <f ca="1"/>
        <v>0</v>
      </c>
      <c r="X119" s="1920">
        <f ca="1"/>
        <v>0</v>
      </c>
      <c r="Y119" s="1937">
        <f ca="1"/>
        <v>0</v>
      </c>
    </row>
    <row r="120" spans="1:25">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20">
        <f t="array" aca="1" ref="Q120:Q123" ca="1">'DC Distr 5'!E120:E123</f>
        <v>0</v>
      </c>
      <c r="R120" s="1920">
        <f ca="1"/>
        <v>0</v>
      </c>
      <c r="S120" s="1920">
        <f ca="1"/>
        <v>0</v>
      </c>
      <c r="T120" s="1920">
        <f ca="1"/>
        <v>0</v>
      </c>
      <c r="U120" s="1920">
        <f ca="1"/>
        <v>0</v>
      </c>
      <c r="V120" s="1920">
        <f ca="1"/>
        <v>0</v>
      </c>
      <c r="W120" s="1920">
        <f ca="1"/>
        <v>0</v>
      </c>
      <c r="X120" s="1920">
        <f ca="1"/>
        <v>0</v>
      </c>
      <c r="Y120" s="1937">
        <f ca="1"/>
        <v>0</v>
      </c>
    </row>
    <row r="121" spans="1:25">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20">
        <f t="array" aca="1" ref="P121:P123" ca="1">'DC Distr 5'!D121:D123</f>
        <v>0</v>
      </c>
      <c r="Q121" s="1920">
        <f ca="1"/>
        <v>0</v>
      </c>
      <c r="R121" s="1920">
        <f ca="1"/>
        <v>0</v>
      </c>
      <c r="S121" s="1920">
        <f ca="1"/>
        <v>0</v>
      </c>
      <c r="T121" s="1920">
        <f ca="1"/>
        <v>0</v>
      </c>
      <c r="U121" s="1920">
        <f ca="1"/>
        <v>0</v>
      </c>
      <c r="V121" s="1920">
        <f ca="1"/>
        <v>0</v>
      </c>
      <c r="W121" s="1920">
        <f ca="1"/>
        <v>0</v>
      </c>
      <c r="X121" s="1920">
        <f ca="1"/>
        <v>0</v>
      </c>
      <c r="Y121" s="1937">
        <f ca="1"/>
        <v>0</v>
      </c>
    </row>
    <row r="122" spans="1:25">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20">
        <f ca="1">'DC Distr 5'!C122</f>
        <v>0</v>
      </c>
      <c r="P122" s="1920">
        <f ca="1"/>
        <v>0</v>
      </c>
      <c r="Q122" s="1920">
        <f ca="1"/>
        <v>0</v>
      </c>
      <c r="R122" s="1920">
        <f ca="1"/>
        <v>0</v>
      </c>
      <c r="S122" s="1920">
        <f ca="1"/>
        <v>0</v>
      </c>
      <c r="T122" s="1920">
        <f ca="1"/>
        <v>0</v>
      </c>
      <c r="U122" s="1920">
        <f ca="1"/>
        <v>0</v>
      </c>
      <c r="V122" s="1920">
        <f ca="1"/>
        <v>0</v>
      </c>
      <c r="W122" s="1920">
        <f ca="1"/>
        <v>0</v>
      </c>
      <c r="X122" s="1920">
        <f ca="1"/>
        <v>0</v>
      </c>
      <c r="Y122" s="1937">
        <f ca="1"/>
        <v>0</v>
      </c>
    </row>
    <row r="123" spans="1:25"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f ca="1">'DC Distr 5'!B123</f>
        <v>0</v>
      </c>
      <c r="O123" s="1920">
        <f ca="1">'DC Distr 5'!C123</f>
        <v>0</v>
      </c>
      <c r="P123" s="1920">
        <f ca="1"/>
        <v>0</v>
      </c>
      <c r="Q123" s="1920">
        <f ca="1"/>
        <v>0</v>
      </c>
      <c r="R123" s="1920">
        <f ca="1"/>
        <v>0</v>
      </c>
      <c r="S123" s="1920">
        <f ca="1"/>
        <v>0</v>
      </c>
      <c r="T123" s="1920">
        <f ca="1"/>
        <v>0</v>
      </c>
      <c r="U123" s="1920">
        <f ca="1"/>
        <v>0</v>
      </c>
      <c r="V123" s="1920">
        <f ca="1"/>
        <v>0</v>
      </c>
      <c r="W123" s="1920">
        <f ca="1"/>
        <v>0</v>
      </c>
      <c r="X123" s="1920">
        <f ca="1"/>
        <v>0</v>
      </c>
      <c r="Y123" s="1937">
        <f ca="1"/>
        <v>0</v>
      </c>
    </row>
    <row r="124" spans="1:25" ht="15.75" customHeight="1" thickBot="1">
      <c r="A124" s="102" t="str">
        <f>"Totals DC "&amp;A$8</f>
        <v>Totals DC product 1</v>
      </c>
      <c r="B124" s="587">
        <f t="shared" ref="B124:Y124" ca="1" si="10">SUM(B111:B123)</f>
        <v>0</v>
      </c>
      <c r="C124" s="587">
        <f t="shared" ca="1" si="10"/>
        <v>0</v>
      </c>
      <c r="D124" s="587">
        <f t="shared" ca="1" si="10"/>
        <v>0</v>
      </c>
      <c r="E124" s="587">
        <f t="shared" ca="1" si="10"/>
        <v>0</v>
      </c>
      <c r="F124" s="587">
        <f t="shared" ca="1" si="10"/>
        <v>0</v>
      </c>
      <c r="G124" s="587">
        <f t="shared" ca="1" si="10"/>
        <v>0</v>
      </c>
      <c r="H124" s="587">
        <f t="shared" ca="1" si="10"/>
        <v>0</v>
      </c>
      <c r="I124" s="587">
        <f t="shared" ca="1" si="10"/>
        <v>0</v>
      </c>
      <c r="J124" s="587">
        <f t="shared" ca="1" si="10"/>
        <v>0</v>
      </c>
      <c r="K124" s="587">
        <f t="shared" ca="1" si="10"/>
        <v>0</v>
      </c>
      <c r="L124" s="587">
        <f t="shared" ca="1" si="10"/>
        <v>0</v>
      </c>
      <c r="M124" s="587">
        <f t="shared" ca="1" si="10"/>
        <v>0</v>
      </c>
      <c r="N124" s="587">
        <f t="shared" ca="1" si="10"/>
        <v>130.33392019800002</v>
      </c>
      <c r="O124" s="587">
        <f t="shared" ca="1" si="10"/>
        <v>130.33392019800002</v>
      </c>
      <c r="P124" s="587">
        <f t="shared" ca="1" si="10"/>
        <v>130.33392019800002</v>
      </c>
      <c r="Q124" s="587">
        <f t="shared" ca="1" si="10"/>
        <v>130.33392019800002</v>
      </c>
      <c r="R124" s="587">
        <f t="shared" ca="1" si="10"/>
        <v>130.33392019800002</v>
      </c>
      <c r="S124" s="587">
        <f t="shared" ca="1" si="10"/>
        <v>130.33392019800002</v>
      </c>
      <c r="T124" s="587">
        <f t="shared" ca="1" si="10"/>
        <v>130.33392019800002</v>
      </c>
      <c r="U124" s="587">
        <f t="shared" ca="1" si="10"/>
        <v>130.33392019800002</v>
      </c>
      <c r="V124" s="587">
        <f t="shared" ca="1" si="10"/>
        <v>130.33392019800002</v>
      </c>
      <c r="W124" s="587">
        <f t="shared" ca="1" si="10"/>
        <v>130.33392019800002</v>
      </c>
      <c r="X124" s="587">
        <f t="shared" ca="1" si="10"/>
        <v>130.33392019800002</v>
      </c>
      <c r="Y124" s="1935">
        <f t="shared" ca="1" si="10"/>
        <v>130.33392019800002</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27.370123241580004</v>
      </c>
      <c r="O125" s="587">
        <f ca="1"/>
        <v>27.370123241580004</v>
      </c>
      <c r="P125" s="587">
        <f ca="1"/>
        <v>27.370123241580004</v>
      </c>
      <c r="Q125" s="587">
        <f ca="1"/>
        <v>27.370123241580004</v>
      </c>
      <c r="R125" s="587">
        <f ca="1"/>
        <v>27.370123241580004</v>
      </c>
      <c r="S125" s="587">
        <f ca="1"/>
        <v>27.370123241580004</v>
      </c>
      <c r="T125" s="587">
        <f ca="1"/>
        <v>27.370123241580004</v>
      </c>
      <c r="U125" s="587">
        <f ca="1"/>
        <v>27.370123241580004</v>
      </c>
      <c r="V125" s="587">
        <f ca="1"/>
        <v>27.370123241580004</v>
      </c>
      <c r="W125" s="587">
        <f ca="1"/>
        <v>27.370123241580004</v>
      </c>
      <c r="X125" s="587">
        <f ca="1"/>
        <v>27.370123241580004</v>
      </c>
      <c r="Y125" s="1935">
        <f ca="1"/>
        <v>27.370123241580004</v>
      </c>
    </row>
    <row r="127" spans="1:25" ht="18.75" thickBot="1">
      <c r="A127" s="1921" t="str">
        <f>'DC Distr 0'!A127</f>
        <v xml:space="preserve">Monthly Purchases / Production costs for </v>
      </c>
      <c r="I127" s="1921" t="str">
        <f>I$18</f>
        <v>VAT NOT included</v>
      </c>
      <c r="K127" s="1932">
        <f>Parameters!$F$25</f>
        <v>0.21</v>
      </c>
    </row>
    <row r="128" spans="1:25" ht="30" customHeight="1" thickBot="1">
      <c r="A128" s="441" t="str">
        <f t="array" ref="A128:A141">A$110:A$123</f>
        <v>Months before sale</v>
      </c>
      <c r="B128" s="1938" t="str">
        <f t="array" ref="B128:Y128">B$71:Y$71</f>
        <v>January
2029</v>
      </c>
      <c r="C128" s="1938" t="str">
        <v>February
2029</v>
      </c>
      <c r="D128" s="1938" t="str">
        <v>March
2029</v>
      </c>
      <c r="E128" s="1938" t="str">
        <v>April
2029</v>
      </c>
      <c r="F128" s="1938" t="str">
        <v>May
2029</v>
      </c>
      <c r="G128" s="1938" t="str">
        <v>June
2029</v>
      </c>
      <c r="H128" s="1938" t="str">
        <v>July
2029</v>
      </c>
      <c r="I128" s="1938" t="str">
        <v>August
2029</v>
      </c>
      <c r="J128" s="1938" t="str">
        <v>September
2029</v>
      </c>
      <c r="K128" s="1938" t="str">
        <v>October
2029</v>
      </c>
      <c r="L128" s="1938" t="str">
        <v>November
2029</v>
      </c>
      <c r="M128" s="1938" t="str">
        <v>December
2029</v>
      </c>
      <c r="N128" s="2721" t="str">
        <v>January 
2030</v>
      </c>
      <c r="O128" s="2722" t="str">
        <v>February 
2030</v>
      </c>
      <c r="P128" s="2722" t="str">
        <v>March 
2030</v>
      </c>
      <c r="Q128" s="2722" t="str">
        <v>April 
2030</v>
      </c>
      <c r="R128" s="2722" t="str">
        <v>May 
2030</v>
      </c>
      <c r="S128" s="2722" t="str">
        <v>June 
2030</v>
      </c>
      <c r="T128" s="2722" t="str">
        <v>July 
2030</v>
      </c>
      <c r="U128" s="2722" t="str">
        <v>August 
2030</v>
      </c>
      <c r="V128" s="2722" t="str">
        <v>September 
2030</v>
      </c>
      <c r="W128" s="2722" t="str">
        <v>October 
2030</v>
      </c>
      <c r="X128" s="2722" t="str">
        <v>November 
2030</v>
      </c>
      <c r="Y128" s="2723" t="str">
        <v>December 
2030</v>
      </c>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f t="array" aca="1" ref="Y130:Y141" ca="1">'DC Distr 5'!M130:M141</f>
        <v>0</v>
      </c>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6">
        <f t="array" aca="1" ref="X131:X141" ca="1">'DC Distr 5'!L131:L141</f>
        <v>0</v>
      </c>
      <c r="Y131" s="1934">
        <f ca="1"/>
        <v>0</v>
      </c>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6">
        <f t="array" aca="1" ref="W132:W141" ca="1">'DC Distr 5'!K132:K141</f>
        <v>0</v>
      </c>
      <c r="X132" s="1916">
        <f ca="1"/>
        <v>0</v>
      </c>
      <c r="Y132" s="1934">
        <f ca="1"/>
        <v>0</v>
      </c>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6">
        <f t="array" aca="1" ref="V133:V141" ca="1">'DC Distr 5'!J133:J141</f>
        <v>0</v>
      </c>
      <c r="W133" s="1916">
        <f ca="1"/>
        <v>0</v>
      </c>
      <c r="X133" s="1916">
        <f ca="1"/>
        <v>0</v>
      </c>
      <c r="Y133" s="1934">
        <f ca="1"/>
        <v>0</v>
      </c>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6">
        <f t="array" aca="1" ref="U134:U141" ca="1">'DC Distr 5'!I134:I141</f>
        <v>0</v>
      </c>
      <c r="V134" s="1916">
        <f ca="1"/>
        <v>0</v>
      </c>
      <c r="W134" s="1916">
        <f ca="1"/>
        <v>0</v>
      </c>
      <c r="X134" s="1916">
        <f ca="1"/>
        <v>0</v>
      </c>
      <c r="Y134" s="1934">
        <f ca="1"/>
        <v>0</v>
      </c>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6">
        <f t="array" aca="1" ref="T135:T141" ca="1">'DC Distr 5'!H135:H141</f>
        <v>0</v>
      </c>
      <c r="U135" s="1916">
        <f ca="1"/>
        <v>0</v>
      </c>
      <c r="V135" s="1916">
        <f ca="1"/>
        <v>0</v>
      </c>
      <c r="W135" s="1916">
        <f ca="1"/>
        <v>0</v>
      </c>
      <c r="X135" s="1916">
        <f ca="1"/>
        <v>0</v>
      </c>
      <c r="Y135" s="1934">
        <f ca="1"/>
        <v>0</v>
      </c>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20">
        <f t="array" aca="1" ref="S136:S141" ca="1">'DC Distr 5'!G136:G141</f>
        <v>0</v>
      </c>
      <c r="T136" s="1920">
        <f ca="1"/>
        <v>0</v>
      </c>
      <c r="U136" s="1920">
        <f ca="1"/>
        <v>0</v>
      </c>
      <c r="V136" s="1920">
        <f ca="1"/>
        <v>0</v>
      </c>
      <c r="W136" s="1920">
        <f ca="1"/>
        <v>0</v>
      </c>
      <c r="X136" s="1920">
        <f ca="1"/>
        <v>0</v>
      </c>
      <c r="Y136" s="1937">
        <f ca="1"/>
        <v>0</v>
      </c>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20">
        <f t="array" aca="1" ref="R137:R141" ca="1">'DC Distr 5'!F137:F141</f>
        <v>0</v>
      </c>
      <c r="S137" s="1920">
        <f ca="1"/>
        <v>0</v>
      </c>
      <c r="T137" s="1920">
        <f ca="1"/>
        <v>0</v>
      </c>
      <c r="U137" s="1920">
        <f ca="1"/>
        <v>0</v>
      </c>
      <c r="V137" s="1920">
        <f ca="1"/>
        <v>0</v>
      </c>
      <c r="W137" s="1920">
        <f ca="1"/>
        <v>0</v>
      </c>
      <c r="X137" s="1920">
        <f ca="1"/>
        <v>0</v>
      </c>
      <c r="Y137" s="1937">
        <f ca="1"/>
        <v>0</v>
      </c>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20">
        <f t="array" aca="1" ref="Q138:Q141" ca="1">'DC Distr 5'!E138:E141</f>
        <v>0</v>
      </c>
      <c r="R138" s="1920">
        <f ca="1"/>
        <v>0</v>
      </c>
      <c r="S138" s="1920">
        <f ca="1"/>
        <v>0</v>
      </c>
      <c r="T138" s="1920">
        <f ca="1"/>
        <v>0</v>
      </c>
      <c r="U138" s="1920">
        <f ca="1"/>
        <v>0</v>
      </c>
      <c r="V138" s="1920">
        <f ca="1"/>
        <v>0</v>
      </c>
      <c r="W138" s="1920">
        <f ca="1"/>
        <v>0</v>
      </c>
      <c r="X138" s="1920">
        <f ca="1"/>
        <v>0</v>
      </c>
      <c r="Y138" s="1937">
        <f ca="1"/>
        <v>0</v>
      </c>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20">
        <f t="array" aca="1" ref="P139:P141" ca="1">'DC Distr 5'!D139:D141</f>
        <v>0</v>
      </c>
      <c r="Q139" s="1920">
        <f ca="1"/>
        <v>0</v>
      </c>
      <c r="R139" s="1920">
        <f ca="1"/>
        <v>0</v>
      </c>
      <c r="S139" s="1920">
        <f ca="1"/>
        <v>0</v>
      </c>
      <c r="T139" s="1920">
        <f ca="1"/>
        <v>0</v>
      </c>
      <c r="U139" s="1920">
        <f ca="1"/>
        <v>0</v>
      </c>
      <c r="V139" s="1920">
        <f ca="1"/>
        <v>0</v>
      </c>
      <c r="W139" s="1920">
        <f ca="1"/>
        <v>0</v>
      </c>
      <c r="X139" s="1920">
        <f ca="1"/>
        <v>0</v>
      </c>
      <c r="Y139" s="1937">
        <f ca="1"/>
        <v>0</v>
      </c>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20">
        <f ca="1">'DC Distr 5'!C140</f>
        <v>0</v>
      </c>
      <c r="P140" s="1920">
        <f ca="1"/>
        <v>0</v>
      </c>
      <c r="Q140" s="1920">
        <f ca="1"/>
        <v>0</v>
      </c>
      <c r="R140" s="1920">
        <f ca="1"/>
        <v>0</v>
      </c>
      <c r="S140" s="1920">
        <f ca="1"/>
        <v>0</v>
      </c>
      <c r="T140" s="1920">
        <f ca="1"/>
        <v>0</v>
      </c>
      <c r="U140" s="1920">
        <f ca="1"/>
        <v>0</v>
      </c>
      <c r="V140" s="1920">
        <f ca="1"/>
        <v>0</v>
      </c>
      <c r="W140" s="1920">
        <f ca="1"/>
        <v>0</v>
      </c>
      <c r="X140" s="1920">
        <f ca="1"/>
        <v>0</v>
      </c>
      <c r="Y140" s="1937">
        <f ca="1"/>
        <v>0</v>
      </c>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f ca="1">'DC Distr 5'!B141</f>
        <v>0</v>
      </c>
      <c r="O141" s="1920">
        <f ca="1">'DC Distr 5'!C141</f>
        <v>0</v>
      </c>
      <c r="P141" s="1920">
        <f ca="1"/>
        <v>0</v>
      </c>
      <c r="Q141" s="1920">
        <f ca="1"/>
        <v>0</v>
      </c>
      <c r="R141" s="1920">
        <f ca="1"/>
        <v>0</v>
      </c>
      <c r="S141" s="1920">
        <f ca="1"/>
        <v>0</v>
      </c>
      <c r="T141" s="1920">
        <f ca="1"/>
        <v>0</v>
      </c>
      <c r="U141" s="1920">
        <f ca="1"/>
        <v>0</v>
      </c>
      <c r="V141" s="1920">
        <f ca="1"/>
        <v>0</v>
      </c>
      <c r="W141" s="1920">
        <f ca="1"/>
        <v>0</v>
      </c>
      <c r="X141" s="1920">
        <f ca="1"/>
        <v>0</v>
      </c>
      <c r="Y141" s="1937">
        <f ca="1"/>
        <v>0</v>
      </c>
    </row>
    <row r="142" spans="1:25" ht="13.5" thickBot="1">
      <c r="A142" s="102" t="str">
        <f>"Totals DC "&amp;A$9</f>
        <v xml:space="preserve">Totals DC </v>
      </c>
      <c r="B142" s="587">
        <f t="shared" ref="B142:Y142" ca="1" si="11">SUM(B129:B141)</f>
        <v>0</v>
      </c>
      <c r="C142" s="587">
        <f t="shared" ca="1" si="11"/>
        <v>0</v>
      </c>
      <c r="D142" s="587">
        <f t="shared" ca="1" si="11"/>
        <v>0</v>
      </c>
      <c r="E142" s="587">
        <f t="shared" ca="1" si="11"/>
        <v>0</v>
      </c>
      <c r="F142" s="587">
        <f t="shared" ca="1" si="11"/>
        <v>0</v>
      </c>
      <c r="G142" s="587">
        <f t="shared" ca="1" si="11"/>
        <v>0</v>
      </c>
      <c r="H142" s="587">
        <f t="shared" ca="1" si="11"/>
        <v>0</v>
      </c>
      <c r="I142" s="587">
        <f t="shared" ca="1" si="11"/>
        <v>0</v>
      </c>
      <c r="J142" s="587">
        <f t="shared" ca="1" si="11"/>
        <v>0</v>
      </c>
      <c r="K142" s="587">
        <f t="shared" ca="1" si="11"/>
        <v>0</v>
      </c>
      <c r="L142" s="587">
        <f t="shared" ca="1" si="11"/>
        <v>0</v>
      </c>
      <c r="M142" s="587">
        <f t="shared" ca="1" si="11"/>
        <v>0</v>
      </c>
      <c r="N142" s="587">
        <f t="shared" ca="1" si="11"/>
        <v>0</v>
      </c>
      <c r="O142" s="587">
        <f t="shared" ca="1" si="11"/>
        <v>0</v>
      </c>
      <c r="P142" s="587">
        <f t="shared" ca="1" si="11"/>
        <v>0</v>
      </c>
      <c r="Q142" s="587">
        <f t="shared" ca="1" si="11"/>
        <v>0</v>
      </c>
      <c r="R142" s="587">
        <f t="shared" ca="1" si="11"/>
        <v>0</v>
      </c>
      <c r="S142" s="587">
        <f t="shared" ca="1" si="11"/>
        <v>0</v>
      </c>
      <c r="T142" s="587">
        <f t="shared" ca="1" si="11"/>
        <v>0</v>
      </c>
      <c r="U142" s="587">
        <f t="shared" ca="1" si="11"/>
        <v>0</v>
      </c>
      <c r="V142" s="587">
        <f t="shared" ca="1" si="11"/>
        <v>0</v>
      </c>
      <c r="W142" s="587">
        <f t="shared" ca="1" si="11"/>
        <v>0</v>
      </c>
      <c r="X142" s="587">
        <f t="shared" ca="1" si="11"/>
        <v>0</v>
      </c>
      <c r="Y142" s="1935">
        <f t="shared" ca="1" si="11"/>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5" ht="18.75" thickBot="1">
      <c r="A145" s="1921" t="str">
        <f>'DC Distr 0'!A145</f>
        <v xml:space="preserve">Monthly Purchases / Production costs for </v>
      </c>
      <c r="I145" s="1921" t="str">
        <f>I$18</f>
        <v>VAT NOT included</v>
      </c>
      <c r="K145" s="1932">
        <f>Parameters!$F$26</f>
        <v>0.21</v>
      </c>
    </row>
    <row r="146" spans="1:25" ht="30" customHeight="1" thickBot="1">
      <c r="A146" s="441" t="str">
        <f t="array" ref="A146:A159">A$110:A$123</f>
        <v>Months before sale</v>
      </c>
      <c r="B146" s="1938" t="str">
        <f t="array" ref="B146:Y146">B$71:Y$71</f>
        <v>January
2029</v>
      </c>
      <c r="C146" s="1938" t="str">
        <v>February
2029</v>
      </c>
      <c r="D146" s="1938" t="str">
        <v>March
2029</v>
      </c>
      <c r="E146" s="1938" t="str">
        <v>April
2029</v>
      </c>
      <c r="F146" s="1938" t="str">
        <v>May
2029</v>
      </c>
      <c r="G146" s="1938" t="str">
        <v>June
2029</v>
      </c>
      <c r="H146" s="1938" t="str">
        <v>July
2029</v>
      </c>
      <c r="I146" s="1938" t="str">
        <v>August
2029</v>
      </c>
      <c r="J146" s="1938" t="str">
        <v>September
2029</v>
      </c>
      <c r="K146" s="1938" t="str">
        <v>October
2029</v>
      </c>
      <c r="L146" s="1938" t="str">
        <v>November
2029</v>
      </c>
      <c r="M146" s="1938" t="str">
        <v>December
2029</v>
      </c>
      <c r="N146" s="2721" t="str">
        <v>January 
2030</v>
      </c>
      <c r="O146" s="2722" t="str">
        <v>February 
2030</v>
      </c>
      <c r="P146" s="2722" t="str">
        <v>March 
2030</v>
      </c>
      <c r="Q146" s="2722" t="str">
        <v>April 
2030</v>
      </c>
      <c r="R146" s="2722" t="str">
        <v>May 
2030</v>
      </c>
      <c r="S146" s="2722" t="str">
        <v>June 
2030</v>
      </c>
      <c r="T146" s="2722" t="str">
        <v>July 
2030</v>
      </c>
      <c r="U146" s="2722" t="str">
        <v>August 
2030</v>
      </c>
      <c r="V146" s="2722" t="str">
        <v>September 
2030</v>
      </c>
      <c r="W146" s="2722" t="str">
        <v>October 
2030</v>
      </c>
      <c r="X146" s="2722" t="str">
        <v>November 
2030</v>
      </c>
      <c r="Y146" s="2723" t="str">
        <v>December 
2030</v>
      </c>
    </row>
    <row r="147" spans="1:25">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5">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f t="array" aca="1" ref="Y148:Y159" ca="1">'DC Distr 5'!M148:M159</f>
        <v>0</v>
      </c>
    </row>
    <row r="149" spans="1:25">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6">
        <f t="array" aca="1" ref="X149:X159" ca="1">'DC Distr 5'!L149:L159</f>
        <v>0</v>
      </c>
      <c r="Y149" s="1934">
        <f ca="1"/>
        <v>0</v>
      </c>
    </row>
    <row r="150" spans="1:25">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6">
        <f t="array" aca="1" ref="W150:W159" ca="1">'DC Distr 5'!K150:K159</f>
        <v>0</v>
      </c>
      <c r="X150" s="1916">
        <f ca="1"/>
        <v>0</v>
      </c>
      <c r="Y150" s="1934">
        <f ca="1"/>
        <v>0</v>
      </c>
    </row>
    <row r="151" spans="1:25">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6">
        <f t="array" aca="1" ref="V151:V159" ca="1">'DC Distr 5'!J151:J159</f>
        <v>0</v>
      </c>
      <c r="W151" s="1916">
        <f ca="1"/>
        <v>0</v>
      </c>
      <c r="X151" s="1916">
        <f ca="1"/>
        <v>0</v>
      </c>
      <c r="Y151" s="1934">
        <f ca="1"/>
        <v>0</v>
      </c>
    </row>
    <row r="152" spans="1:25">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6">
        <f t="array" aca="1" ref="U152:U159" ca="1">'DC Distr 5'!I152:I159</f>
        <v>0</v>
      </c>
      <c r="V152" s="1916">
        <f ca="1"/>
        <v>0</v>
      </c>
      <c r="W152" s="1916">
        <f ca="1"/>
        <v>0</v>
      </c>
      <c r="X152" s="1916">
        <f ca="1"/>
        <v>0</v>
      </c>
      <c r="Y152" s="1934">
        <f ca="1"/>
        <v>0</v>
      </c>
    </row>
    <row r="153" spans="1:25">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6">
        <f t="array" aca="1" ref="T153:T159" ca="1">'DC Distr 5'!H153:H159</f>
        <v>0</v>
      </c>
      <c r="U153" s="1916">
        <f ca="1"/>
        <v>0</v>
      </c>
      <c r="V153" s="1916">
        <f ca="1"/>
        <v>0</v>
      </c>
      <c r="W153" s="1916">
        <f ca="1"/>
        <v>0</v>
      </c>
      <c r="X153" s="1916">
        <f ca="1"/>
        <v>0</v>
      </c>
      <c r="Y153" s="1934">
        <f ca="1"/>
        <v>0</v>
      </c>
    </row>
    <row r="154" spans="1:25">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20">
        <f t="array" aca="1" ref="S154:S159" ca="1">'DC Distr 5'!G154:G159</f>
        <v>0</v>
      </c>
      <c r="T154" s="1920">
        <f ca="1"/>
        <v>0</v>
      </c>
      <c r="U154" s="1920">
        <f ca="1"/>
        <v>0</v>
      </c>
      <c r="V154" s="1920">
        <f ca="1"/>
        <v>0</v>
      </c>
      <c r="W154" s="1920">
        <f ca="1"/>
        <v>0</v>
      </c>
      <c r="X154" s="1920">
        <f ca="1"/>
        <v>0</v>
      </c>
      <c r="Y154" s="1937">
        <f ca="1"/>
        <v>0</v>
      </c>
    </row>
    <row r="155" spans="1:25">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20">
        <f t="array" aca="1" ref="R155:R159" ca="1">'DC Distr 5'!F155:F159</f>
        <v>0</v>
      </c>
      <c r="S155" s="1920">
        <f ca="1"/>
        <v>0</v>
      </c>
      <c r="T155" s="1920">
        <f ca="1"/>
        <v>0</v>
      </c>
      <c r="U155" s="1920">
        <f ca="1"/>
        <v>0</v>
      </c>
      <c r="V155" s="1920">
        <f ca="1"/>
        <v>0</v>
      </c>
      <c r="W155" s="1920">
        <f ca="1"/>
        <v>0</v>
      </c>
      <c r="X155" s="1920">
        <f ca="1"/>
        <v>0</v>
      </c>
      <c r="Y155" s="1937">
        <f ca="1"/>
        <v>0</v>
      </c>
    </row>
    <row r="156" spans="1:25">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20">
        <f t="array" aca="1" ref="Q156:Q159" ca="1">'DC Distr 5'!E156:E159</f>
        <v>0</v>
      </c>
      <c r="R156" s="1920">
        <f ca="1"/>
        <v>0</v>
      </c>
      <c r="S156" s="1920">
        <f ca="1"/>
        <v>0</v>
      </c>
      <c r="T156" s="1920">
        <f ca="1"/>
        <v>0</v>
      </c>
      <c r="U156" s="1920">
        <f ca="1"/>
        <v>0</v>
      </c>
      <c r="V156" s="1920">
        <f ca="1"/>
        <v>0</v>
      </c>
      <c r="W156" s="1920">
        <f ca="1"/>
        <v>0</v>
      </c>
      <c r="X156" s="1920">
        <f ca="1"/>
        <v>0</v>
      </c>
      <c r="Y156" s="1937">
        <f ca="1"/>
        <v>0</v>
      </c>
    </row>
    <row r="157" spans="1:25">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20">
        <f t="array" aca="1" ref="P157:P159" ca="1">'DC Distr 5'!D157:D159</f>
        <v>0</v>
      </c>
      <c r="Q157" s="1920">
        <f ca="1"/>
        <v>0</v>
      </c>
      <c r="R157" s="1920">
        <f ca="1"/>
        <v>0</v>
      </c>
      <c r="S157" s="1920">
        <f ca="1"/>
        <v>0</v>
      </c>
      <c r="T157" s="1920">
        <f ca="1"/>
        <v>0</v>
      </c>
      <c r="U157" s="1920">
        <f ca="1"/>
        <v>0</v>
      </c>
      <c r="V157" s="1920">
        <f ca="1"/>
        <v>0</v>
      </c>
      <c r="W157" s="1920">
        <f ca="1"/>
        <v>0</v>
      </c>
      <c r="X157" s="1920">
        <f ca="1"/>
        <v>0</v>
      </c>
      <c r="Y157" s="1937">
        <f ca="1"/>
        <v>0</v>
      </c>
    </row>
    <row r="158" spans="1:25">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20">
        <f ca="1">'DC Distr 5'!C158</f>
        <v>0</v>
      </c>
      <c r="P158" s="1920">
        <f ca="1"/>
        <v>0</v>
      </c>
      <c r="Q158" s="1920">
        <f ca="1"/>
        <v>0</v>
      </c>
      <c r="R158" s="1920">
        <f ca="1"/>
        <v>0</v>
      </c>
      <c r="S158" s="1920">
        <f ca="1"/>
        <v>0</v>
      </c>
      <c r="T158" s="1920">
        <f ca="1"/>
        <v>0</v>
      </c>
      <c r="U158" s="1920">
        <f ca="1"/>
        <v>0</v>
      </c>
      <c r="V158" s="1920">
        <f ca="1"/>
        <v>0</v>
      </c>
      <c r="W158" s="1920">
        <f ca="1"/>
        <v>0</v>
      </c>
      <c r="X158" s="1920">
        <f ca="1"/>
        <v>0</v>
      </c>
      <c r="Y158" s="1937">
        <f ca="1"/>
        <v>0</v>
      </c>
    </row>
    <row r="159" spans="1:25"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f ca="1">'DC Distr 5'!B159</f>
        <v>0</v>
      </c>
      <c r="O159" s="1920">
        <f ca="1">'DC Distr 5'!C159</f>
        <v>0</v>
      </c>
      <c r="P159" s="1920">
        <f ca="1"/>
        <v>0</v>
      </c>
      <c r="Q159" s="1920">
        <f ca="1"/>
        <v>0</v>
      </c>
      <c r="R159" s="1920">
        <f ca="1"/>
        <v>0</v>
      </c>
      <c r="S159" s="1920">
        <f ca="1"/>
        <v>0</v>
      </c>
      <c r="T159" s="1920">
        <f ca="1"/>
        <v>0</v>
      </c>
      <c r="U159" s="1920">
        <f ca="1"/>
        <v>0</v>
      </c>
      <c r="V159" s="1920">
        <f ca="1"/>
        <v>0</v>
      </c>
      <c r="W159" s="1920">
        <f ca="1"/>
        <v>0</v>
      </c>
      <c r="X159" s="1920">
        <f ca="1"/>
        <v>0</v>
      </c>
      <c r="Y159" s="1937">
        <f ca="1"/>
        <v>0</v>
      </c>
    </row>
    <row r="160" spans="1:25" ht="13.5" thickBot="1">
      <c r="A160" s="102" t="str">
        <f>"Totals DC "&amp;A$10</f>
        <v xml:space="preserve">Totals DC </v>
      </c>
      <c r="B160" s="587">
        <f t="shared" ref="B160:Y160" ca="1" si="12">SUM(B147:B159)</f>
        <v>0</v>
      </c>
      <c r="C160" s="587">
        <f t="shared" ca="1" si="12"/>
        <v>0</v>
      </c>
      <c r="D160" s="587">
        <f t="shared" ca="1" si="12"/>
        <v>0</v>
      </c>
      <c r="E160" s="587">
        <f t="shared" ca="1" si="12"/>
        <v>0</v>
      </c>
      <c r="F160" s="587">
        <f t="shared" ca="1" si="12"/>
        <v>0</v>
      </c>
      <c r="G160" s="587">
        <f t="shared" ca="1" si="12"/>
        <v>0</v>
      </c>
      <c r="H160" s="587">
        <f t="shared" ca="1" si="12"/>
        <v>0</v>
      </c>
      <c r="I160" s="587">
        <f t="shared" ca="1" si="12"/>
        <v>0</v>
      </c>
      <c r="J160" s="587">
        <f t="shared" ca="1" si="12"/>
        <v>0</v>
      </c>
      <c r="K160" s="587">
        <f t="shared" ca="1" si="12"/>
        <v>0</v>
      </c>
      <c r="L160" s="587">
        <f t="shared" ca="1" si="12"/>
        <v>0</v>
      </c>
      <c r="M160" s="587">
        <f t="shared" ca="1" si="12"/>
        <v>0</v>
      </c>
      <c r="N160" s="587">
        <f t="shared" ca="1" si="12"/>
        <v>0</v>
      </c>
      <c r="O160" s="587">
        <f t="shared" ca="1" si="12"/>
        <v>0</v>
      </c>
      <c r="P160" s="587">
        <f t="shared" ca="1" si="12"/>
        <v>0</v>
      </c>
      <c r="Q160" s="587">
        <f t="shared" ca="1" si="12"/>
        <v>0</v>
      </c>
      <c r="R160" s="587">
        <f t="shared" ca="1" si="12"/>
        <v>0</v>
      </c>
      <c r="S160" s="587">
        <f t="shared" ca="1" si="12"/>
        <v>0</v>
      </c>
      <c r="T160" s="587">
        <f t="shared" ca="1" si="12"/>
        <v>0</v>
      </c>
      <c r="U160" s="587">
        <f t="shared" ca="1" si="12"/>
        <v>0</v>
      </c>
      <c r="V160" s="587">
        <f t="shared" ca="1" si="12"/>
        <v>0</v>
      </c>
      <c r="W160" s="587">
        <f t="shared" ca="1" si="12"/>
        <v>0</v>
      </c>
      <c r="X160" s="587">
        <f t="shared" ca="1" si="12"/>
        <v>0</v>
      </c>
      <c r="Y160" s="1935">
        <f t="shared" ca="1" si="12"/>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5" ht="18.75" thickBot="1">
      <c r="A163" s="1921" t="str">
        <f>'DC Distr 0'!A163</f>
        <v xml:space="preserve">Monthly Purchases / Production costs for </v>
      </c>
      <c r="I163" s="1921" t="str">
        <f>I$18</f>
        <v>VAT NOT included</v>
      </c>
      <c r="K163" s="1932">
        <f>Parameters!$F$27</f>
        <v>0.21</v>
      </c>
    </row>
    <row r="164" spans="1:25" ht="30" customHeight="1" thickBot="1">
      <c r="A164" s="441" t="str">
        <f t="array" ref="A164:A177">A$110:A$123</f>
        <v>Months before sale</v>
      </c>
      <c r="B164" s="1938" t="str">
        <f t="array" ref="B164:Y164">B$71:Y$71</f>
        <v>January
2029</v>
      </c>
      <c r="C164" s="1938" t="str">
        <v>February
2029</v>
      </c>
      <c r="D164" s="1938" t="str">
        <v>March
2029</v>
      </c>
      <c r="E164" s="1938" t="str">
        <v>April
2029</v>
      </c>
      <c r="F164" s="1938" t="str">
        <v>May
2029</v>
      </c>
      <c r="G164" s="1938" t="str">
        <v>June
2029</v>
      </c>
      <c r="H164" s="1938" t="str">
        <v>July
2029</v>
      </c>
      <c r="I164" s="1938" t="str">
        <v>August
2029</v>
      </c>
      <c r="J164" s="1938" t="str">
        <v>September
2029</v>
      </c>
      <c r="K164" s="1938" t="str">
        <v>October
2029</v>
      </c>
      <c r="L164" s="1938" t="str">
        <v>November
2029</v>
      </c>
      <c r="M164" s="1938" t="str">
        <v>December
2029</v>
      </c>
      <c r="N164" s="2721" t="str">
        <v>January 
2030</v>
      </c>
      <c r="O164" s="2722" t="str">
        <v>February 
2030</v>
      </c>
      <c r="P164" s="2722" t="str">
        <v>March 
2030</v>
      </c>
      <c r="Q164" s="2722" t="str">
        <v>April 
2030</v>
      </c>
      <c r="R164" s="2722" t="str">
        <v>May 
2030</v>
      </c>
      <c r="S164" s="2722" t="str">
        <v>June 
2030</v>
      </c>
      <c r="T164" s="2722" t="str">
        <v>July 
2030</v>
      </c>
      <c r="U164" s="2722" t="str">
        <v>August 
2030</v>
      </c>
      <c r="V164" s="2722" t="str">
        <v>September 
2030</v>
      </c>
      <c r="W164" s="2722" t="str">
        <v>October 
2030</v>
      </c>
      <c r="X164" s="2722" t="str">
        <v>November 
2030</v>
      </c>
      <c r="Y164" s="2723" t="str">
        <v>December 
2030</v>
      </c>
    </row>
    <row r="165" spans="1:25">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5">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f t="array" aca="1" ref="Y166:Y177" ca="1">'DC Distr 5'!M166:M177</f>
        <v>0</v>
      </c>
    </row>
    <row r="167" spans="1:25">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6">
        <f t="array" aca="1" ref="X167:X177" ca="1">'DC Distr 5'!L167:L177</f>
        <v>0</v>
      </c>
      <c r="Y167" s="1934">
        <f ca="1"/>
        <v>0</v>
      </c>
    </row>
    <row r="168" spans="1:25">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6">
        <f t="array" aca="1" ref="W168:W177" ca="1">'DC Distr 5'!K168:K177</f>
        <v>0</v>
      </c>
      <c r="X168" s="1916">
        <f ca="1"/>
        <v>0</v>
      </c>
      <c r="Y168" s="1934">
        <f ca="1"/>
        <v>0</v>
      </c>
    </row>
    <row r="169" spans="1:25">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6">
        <f t="array" aca="1" ref="V169:V177" ca="1">'DC Distr 5'!J169:J177</f>
        <v>0</v>
      </c>
      <c r="W169" s="1916">
        <f ca="1"/>
        <v>0</v>
      </c>
      <c r="X169" s="1916">
        <f ca="1"/>
        <v>0</v>
      </c>
      <c r="Y169" s="1934">
        <f ca="1"/>
        <v>0</v>
      </c>
    </row>
    <row r="170" spans="1:25">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6">
        <f t="array" aca="1" ref="U170:U177" ca="1">'DC Distr 5'!I170:I177</f>
        <v>0</v>
      </c>
      <c r="V170" s="1916">
        <f ca="1"/>
        <v>0</v>
      </c>
      <c r="W170" s="1916">
        <f ca="1"/>
        <v>0</v>
      </c>
      <c r="X170" s="1916">
        <f ca="1"/>
        <v>0</v>
      </c>
      <c r="Y170" s="1934">
        <f ca="1"/>
        <v>0</v>
      </c>
    </row>
    <row r="171" spans="1:25">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6">
        <f t="array" aca="1" ref="T171:T177" ca="1">'DC Distr 5'!H171:H177</f>
        <v>0</v>
      </c>
      <c r="U171" s="1916">
        <f ca="1"/>
        <v>0</v>
      </c>
      <c r="V171" s="1916">
        <f ca="1"/>
        <v>0</v>
      </c>
      <c r="W171" s="1916">
        <f ca="1"/>
        <v>0</v>
      </c>
      <c r="X171" s="1916">
        <f ca="1"/>
        <v>0</v>
      </c>
      <c r="Y171" s="1934">
        <f ca="1"/>
        <v>0</v>
      </c>
    </row>
    <row r="172" spans="1:25">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20">
        <f t="array" aca="1" ref="S172:S177" ca="1">'DC Distr 5'!G172:G177</f>
        <v>0</v>
      </c>
      <c r="T172" s="1920">
        <f ca="1"/>
        <v>0</v>
      </c>
      <c r="U172" s="1920">
        <f ca="1"/>
        <v>0</v>
      </c>
      <c r="V172" s="1920">
        <f ca="1"/>
        <v>0</v>
      </c>
      <c r="W172" s="1920">
        <f ca="1"/>
        <v>0</v>
      </c>
      <c r="X172" s="1920">
        <f ca="1"/>
        <v>0</v>
      </c>
      <c r="Y172" s="1937">
        <f ca="1"/>
        <v>0</v>
      </c>
    </row>
    <row r="173" spans="1:25">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20">
        <f t="array" aca="1" ref="R173:R177" ca="1">'DC Distr 5'!F173:F177</f>
        <v>0</v>
      </c>
      <c r="S173" s="1920">
        <f ca="1"/>
        <v>0</v>
      </c>
      <c r="T173" s="1920">
        <f ca="1"/>
        <v>0</v>
      </c>
      <c r="U173" s="1920">
        <f ca="1"/>
        <v>0</v>
      </c>
      <c r="V173" s="1920">
        <f ca="1"/>
        <v>0</v>
      </c>
      <c r="W173" s="1920">
        <f ca="1"/>
        <v>0</v>
      </c>
      <c r="X173" s="1920">
        <f ca="1"/>
        <v>0</v>
      </c>
      <c r="Y173" s="1937">
        <f ca="1"/>
        <v>0</v>
      </c>
    </row>
    <row r="174" spans="1:25">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20">
        <f t="array" aca="1" ref="Q174:Q177" ca="1">'DC Distr 5'!E174:E177</f>
        <v>0</v>
      </c>
      <c r="R174" s="1920">
        <f ca="1"/>
        <v>0</v>
      </c>
      <c r="S174" s="1920">
        <f ca="1"/>
        <v>0</v>
      </c>
      <c r="T174" s="1920">
        <f ca="1"/>
        <v>0</v>
      </c>
      <c r="U174" s="1920">
        <f ca="1"/>
        <v>0</v>
      </c>
      <c r="V174" s="1920">
        <f ca="1"/>
        <v>0</v>
      </c>
      <c r="W174" s="1920">
        <f ca="1"/>
        <v>0</v>
      </c>
      <c r="X174" s="1920">
        <f ca="1"/>
        <v>0</v>
      </c>
      <c r="Y174" s="1937">
        <f ca="1"/>
        <v>0</v>
      </c>
    </row>
    <row r="175" spans="1:25">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20">
        <f t="array" aca="1" ref="P175:P177" ca="1">'DC Distr 5'!D175:D177</f>
        <v>0</v>
      </c>
      <c r="Q175" s="1920">
        <f ca="1"/>
        <v>0</v>
      </c>
      <c r="R175" s="1920">
        <f ca="1"/>
        <v>0</v>
      </c>
      <c r="S175" s="1920">
        <f ca="1"/>
        <v>0</v>
      </c>
      <c r="T175" s="1920">
        <f ca="1"/>
        <v>0</v>
      </c>
      <c r="U175" s="1920">
        <f ca="1"/>
        <v>0</v>
      </c>
      <c r="V175" s="1920">
        <f ca="1"/>
        <v>0</v>
      </c>
      <c r="W175" s="1920">
        <f ca="1"/>
        <v>0</v>
      </c>
      <c r="X175" s="1920">
        <f ca="1"/>
        <v>0</v>
      </c>
      <c r="Y175" s="1937">
        <f ca="1"/>
        <v>0</v>
      </c>
    </row>
    <row r="176" spans="1:25">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20">
        <f ca="1">'DC Distr 5'!C176</f>
        <v>0</v>
      </c>
      <c r="P176" s="1920">
        <f ca="1"/>
        <v>0</v>
      </c>
      <c r="Q176" s="1920">
        <f ca="1"/>
        <v>0</v>
      </c>
      <c r="R176" s="1920">
        <f ca="1"/>
        <v>0</v>
      </c>
      <c r="S176" s="1920">
        <f ca="1"/>
        <v>0</v>
      </c>
      <c r="T176" s="1920">
        <f ca="1"/>
        <v>0</v>
      </c>
      <c r="U176" s="1920">
        <f ca="1"/>
        <v>0</v>
      </c>
      <c r="V176" s="1920">
        <f ca="1"/>
        <v>0</v>
      </c>
      <c r="W176" s="1920">
        <f ca="1"/>
        <v>0</v>
      </c>
      <c r="X176" s="1920">
        <f ca="1"/>
        <v>0</v>
      </c>
      <c r="Y176" s="1937">
        <f ca="1"/>
        <v>0</v>
      </c>
    </row>
    <row r="177" spans="1:25"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f ca="1">'DC Distr 5'!B177</f>
        <v>0</v>
      </c>
      <c r="O177" s="1920">
        <f ca="1">'DC Distr 5'!C177</f>
        <v>0</v>
      </c>
      <c r="P177" s="1920">
        <f ca="1"/>
        <v>0</v>
      </c>
      <c r="Q177" s="1920">
        <f ca="1"/>
        <v>0</v>
      </c>
      <c r="R177" s="1920">
        <f ca="1"/>
        <v>0</v>
      </c>
      <c r="S177" s="1920">
        <f ca="1"/>
        <v>0</v>
      </c>
      <c r="T177" s="1920">
        <f ca="1"/>
        <v>0</v>
      </c>
      <c r="U177" s="1920">
        <f ca="1"/>
        <v>0</v>
      </c>
      <c r="V177" s="1920">
        <f ca="1"/>
        <v>0</v>
      </c>
      <c r="W177" s="1920">
        <f ca="1"/>
        <v>0</v>
      </c>
      <c r="X177" s="1920">
        <f ca="1"/>
        <v>0</v>
      </c>
      <c r="Y177" s="1937">
        <f ca="1"/>
        <v>0</v>
      </c>
    </row>
    <row r="178" spans="1:25" ht="13.5" thickBot="1">
      <c r="A178" s="102" t="str">
        <f>"Totals DC "&amp;A$11</f>
        <v xml:space="preserve">Totals DC </v>
      </c>
      <c r="B178" s="587">
        <f t="shared" ref="B178:Y178" ca="1" si="13">SUM(B165:B177)</f>
        <v>0</v>
      </c>
      <c r="C178" s="587">
        <f t="shared" ca="1" si="13"/>
        <v>0</v>
      </c>
      <c r="D178" s="587">
        <f t="shared" ca="1" si="13"/>
        <v>0</v>
      </c>
      <c r="E178" s="587">
        <f t="shared" ca="1" si="13"/>
        <v>0</v>
      </c>
      <c r="F178" s="587">
        <f t="shared" ca="1" si="13"/>
        <v>0</v>
      </c>
      <c r="G178" s="587">
        <f t="shared" ca="1" si="13"/>
        <v>0</v>
      </c>
      <c r="H178" s="587">
        <f t="shared" ca="1" si="13"/>
        <v>0</v>
      </c>
      <c r="I178" s="587">
        <f t="shared" ca="1" si="13"/>
        <v>0</v>
      </c>
      <c r="J178" s="587">
        <f t="shared" ca="1" si="13"/>
        <v>0</v>
      </c>
      <c r="K178" s="587">
        <f t="shared" ca="1" si="13"/>
        <v>0</v>
      </c>
      <c r="L178" s="587">
        <f t="shared" ca="1" si="13"/>
        <v>0</v>
      </c>
      <c r="M178" s="587">
        <f t="shared" ca="1" si="13"/>
        <v>0</v>
      </c>
      <c r="N178" s="587">
        <f t="shared" ca="1" si="13"/>
        <v>0</v>
      </c>
      <c r="O178" s="587">
        <f t="shared" ca="1" si="13"/>
        <v>0</v>
      </c>
      <c r="P178" s="587">
        <f t="shared" ca="1" si="13"/>
        <v>0</v>
      </c>
      <c r="Q178" s="587">
        <f t="shared" ca="1" si="13"/>
        <v>0</v>
      </c>
      <c r="R178" s="587">
        <f t="shared" ca="1" si="13"/>
        <v>0</v>
      </c>
      <c r="S178" s="587">
        <f t="shared" ca="1" si="13"/>
        <v>0</v>
      </c>
      <c r="T178" s="587">
        <f t="shared" ca="1" si="13"/>
        <v>0</v>
      </c>
      <c r="U178" s="587">
        <f t="shared" ca="1" si="13"/>
        <v>0</v>
      </c>
      <c r="V178" s="587">
        <f t="shared" ca="1" si="13"/>
        <v>0</v>
      </c>
      <c r="W178" s="587">
        <f t="shared" ca="1" si="13"/>
        <v>0</v>
      </c>
      <c r="X178" s="587">
        <f t="shared" ca="1" si="13"/>
        <v>0</v>
      </c>
      <c r="Y178" s="1935">
        <f t="shared" ca="1" si="13"/>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5" ht="18.75" thickBot="1">
      <c r="A181" s="1921" t="str">
        <f>'DC Distr 0'!A181</f>
        <v xml:space="preserve">Monthly Purchases / Production costs for </v>
      </c>
      <c r="I181" s="1921" t="str">
        <f>I$18</f>
        <v>VAT NOT included</v>
      </c>
      <c r="K181" s="1932">
        <f>Parameters!$F$28</f>
        <v>0.21</v>
      </c>
    </row>
    <row r="182" spans="1:25" ht="31.5" customHeight="1" thickBot="1">
      <c r="A182" s="441" t="str">
        <f t="array" ref="A182:A195">A$110:A$123</f>
        <v>Months before sale</v>
      </c>
      <c r="B182" s="1938" t="str">
        <f t="array" ref="B182:Y182">B$71:Y$71</f>
        <v>January
2029</v>
      </c>
      <c r="C182" s="1938" t="str">
        <v>February
2029</v>
      </c>
      <c r="D182" s="1938" t="str">
        <v>March
2029</v>
      </c>
      <c r="E182" s="1938" t="str">
        <v>April
2029</v>
      </c>
      <c r="F182" s="1938" t="str">
        <v>May
2029</v>
      </c>
      <c r="G182" s="1938" t="str">
        <v>June
2029</v>
      </c>
      <c r="H182" s="1938" t="str">
        <v>July
2029</v>
      </c>
      <c r="I182" s="1938" t="str">
        <v>August
2029</v>
      </c>
      <c r="J182" s="1938" t="str">
        <v>September
2029</v>
      </c>
      <c r="K182" s="1938" t="str">
        <v>October
2029</v>
      </c>
      <c r="L182" s="1938" t="str">
        <v>November
2029</v>
      </c>
      <c r="M182" s="1938" t="str">
        <v>December
2029</v>
      </c>
      <c r="N182" s="2721" t="str">
        <v>January 
2030</v>
      </c>
      <c r="O182" s="2722" t="str">
        <v>February 
2030</v>
      </c>
      <c r="P182" s="2722" t="str">
        <v>March 
2030</v>
      </c>
      <c r="Q182" s="2722" t="str">
        <v>April 
2030</v>
      </c>
      <c r="R182" s="2722" t="str">
        <v>May 
2030</v>
      </c>
      <c r="S182" s="2722" t="str">
        <v>June 
2030</v>
      </c>
      <c r="T182" s="2722" t="str">
        <v>July 
2030</v>
      </c>
      <c r="U182" s="2722" t="str">
        <v>August 
2030</v>
      </c>
      <c r="V182" s="2722" t="str">
        <v>September 
2030</v>
      </c>
      <c r="W182" s="2722" t="str">
        <v>October 
2030</v>
      </c>
      <c r="X182" s="2722" t="str">
        <v>November 
2030</v>
      </c>
      <c r="Y182" s="2723" t="str">
        <v>December 
2030</v>
      </c>
    </row>
    <row r="183" spans="1:25">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5">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f t="array" aca="1" ref="Y184:Y195" ca="1">'DC Distr 5'!M184:M195</f>
        <v>0</v>
      </c>
    </row>
    <row r="185" spans="1:25">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6">
        <f t="array" aca="1" ref="X185:X195" ca="1">'DC Distr 5'!L185:L195</f>
        <v>0</v>
      </c>
      <c r="Y185" s="1934">
        <f ca="1"/>
        <v>0</v>
      </c>
    </row>
    <row r="186" spans="1:25">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6">
        <f t="array" aca="1" ref="W186:W195" ca="1">'DC Distr 5'!K186:K195</f>
        <v>0</v>
      </c>
      <c r="X186" s="1916">
        <f ca="1"/>
        <v>0</v>
      </c>
      <c r="Y186" s="1934">
        <f ca="1"/>
        <v>0</v>
      </c>
    </row>
    <row r="187" spans="1:25">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6">
        <f t="array" aca="1" ref="V187:V195" ca="1">'DC Distr 5'!J187:J195</f>
        <v>0</v>
      </c>
      <c r="W187" s="1916">
        <f ca="1"/>
        <v>0</v>
      </c>
      <c r="X187" s="1916">
        <f ca="1"/>
        <v>0</v>
      </c>
      <c r="Y187" s="1934">
        <f ca="1"/>
        <v>0</v>
      </c>
    </row>
    <row r="188" spans="1:25">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6">
        <f t="array" aca="1" ref="U188:U195" ca="1">'DC Distr 5'!I188:I195</f>
        <v>0</v>
      </c>
      <c r="V188" s="1916">
        <f ca="1"/>
        <v>0</v>
      </c>
      <c r="W188" s="1916">
        <f ca="1"/>
        <v>0</v>
      </c>
      <c r="X188" s="1916">
        <f ca="1"/>
        <v>0</v>
      </c>
      <c r="Y188" s="1934">
        <f ca="1"/>
        <v>0</v>
      </c>
    </row>
    <row r="189" spans="1:25">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6">
        <f t="array" aca="1" ref="T189:T195" ca="1">'DC Distr 5'!H189:H195</f>
        <v>0</v>
      </c>
      <c r="U189" s="1916">
        <f ca="1"/>
        <v>0</v>
      </c>
      <c r="V189" s="1916">
        <f ca="1"/>
        <v>0</v>
      </c>
      <c r="W189" s="1916">
        <f ca="1"/>
        <v>0</v>
      </c>
      <c r="X189" s="1916">
        <f ca="1"/>
        <v>0</v>
      </c>
      <c r="Y189" s="1934">
        <f ca="1"/>
        <v>0</v>
      </c>
    </row>
    <row r="190" spans="1:25">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20">
        <f t="array" aca="1" ref="S190:S195" ca="1">'DC Distr 5'!G190:G195</f>
        <v>0</v>
      </c>
      <c r="T190" s="1920">
        <f ca="1"/>
        <v>0</v>
      </c>
      <c r="U190" s="1920">
        <f ca="1"/>
        <v>0</v>
      </c>
      <c r="V190" s="1920">
        <f ca="1"/>
        <v>0</v>
      </c>
      <c r="W190" s="1920">
        <f ca="1"/>
        <v>0</v>
      </c>
      <c r="X190" s="1920">
        <f ca="1"/>
        <v>0</v>
      </c>
      <c r="Y190" s="1937">
        <f ca="1"/>
        <v>0</v>
      </c>
    </row>
    <row r="191" spans="1:25">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20">
        <f t="array" aca="1" ref="R191:R195" ca="1">'DC Distr 5'!F191:F195</f>
        <v>0</v>
      </c>
      <c r="S191" s="1920">
        <f ca="1"/>
        <v>0</v>
      </c>
      <c r="T191" s="1920">
        <f ca="1"/>
        <v>0</v>
      </c>
      <c r="U191" s="1920">
        <f ca="1"/>
        <v>0</v>
      </c>
      <c r="V191" s="1920">
        <f ca="1"/>
        <v>0</v>
      </c>
      <c r="W191" s="1920">
        <f ca="1"/>
        <v>0</v>
      </c>
      <c r="X191" s="1920">
        <f ca="1"/>
        <v>0</v>
      </c>
      <c r="Y191" s="1937">
        <f ca="1"/>
        <v>0</v>
      </c>
    </row>
    <row r="192" spans="1:25">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20">
        <f t="array" aca="1" ref="Q192:Q195" ca="1">'DC Distr 5'!E192:E195</f>
        <v>0</v>
      </c>
      <c r="R192" s="1920">
        <f ca="1"/>
        <v>0</v>
      </c>
      <c r="S192" s="1920">
        <f ca="1"/>
        <v>0</v>
      </c>
      <c r="T192" s="1920">
        <f ca="1"/>
        <v>0</v>
      </c>
      <c r="U192" s="1920">
        <f ca="1"/>
        <v>0</v>
      </c>
      <c r="V192" s="1920">
        <f ca="1"/>
        <v>0</v>
      </c>
      <c r="W192" s="1920">
        <f ca="1"/>
        <v>0</v>
      </c>
      <c r="X192" s="1920">
        <f ca="1"/>
        <v>0</v>
      </c>
      <c r="Y192" s="1937">
        <f ca="1"/>
        <v>0</v>
      </c>
    </row>
    <row r="193" spans="1:25">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20">
        <f t="array" aca="1" ref="P193:P195" ca="1">'DC Distr 5'!D193:D195</f>
        <v>0</v>
      </c>
      <c r="Q193" s="1920">
        <f ca="1"/>
        <v>0</v>
      </c>
      <c r="R193" s="1920">
        <f ca="1"/>
        <v>0</v>
      </c>
      <c r="S193" s="1920">
        <f ca="1"/>
        <v>0</v>
      </c>
      <c r="T193" s="1920">
        <f ca="1"/>
        <v>0</v>
      </c>
      <c r="U193" s="1920">
        <f ca="1"/>
        <v>0</v>
      </c>
      <c r="V193" s="1920">
        <f ca="1"/>
        <v>0</v>
      </c>
      <c r="W193" s="1920">
        <f ca="1"/>
        <v>0</v>
      </c>
      <c r="X193" s="1920">
        <f ca="1"/>
        <v>0</v>
      </c>
      <c r="Y193" s="1937">
        <f ca="1"/>
        <v>0</v>
      </c>
    </row>
    <row r="194" spans="1:25">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20">
        <f ca="1">'DC Distr 5'!C194</f>
        <v>0</v>
      </c>
      <c r="P194" s="1920">
        <f ca="1"/>
        <v>0</v>
      </c>
      <c r="Q194" s="1920">
        <f ca="1"/>
        <v>0</v>
      </c>
      <c r="R194" s="1920">
        <f ca="1"/>
        <v>0</v>
      </c>
      <c r="S194" s="1920">
        <f ca="1"/>
        <v>0</v>
      </c>
      <c r="T194" s="1920">
        <f ca="1"/>
        <v>0</v>
      </c>
      <c r="U194" s="1920">
        <f ca="1"/>
        <v>0</v>
      </c>
      <c r="V194" s="1920">
        <f ca="1"/>
        <v>0</v>
      </c>
      <c r="W194" s="1920">
        <f ca="1"/>
        <v>0</v>
      </c>
      <c r="X194" s="1920">
        <f ca="1"/>
        <v>0</v>
      </c>
      <c r="Y194" s="1937">
        <f ca="1"/>
        <v>0</v>
      </c>
    </row>
    <row r="195" spans="1:25"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f ca="1">'DC Distr 5'!B195</f>
        <v>0</v>
      </c>
      <c r="O195" s="1920">
        <f ca="1">'DC Distr 5'!C195</f>
        <v>0</v>
      </c>
      <c r="P195" s="1920">
        <f ca="1"/>
        <v>0</v>
      </c>
      <c r="Q195" s="1920">
        <f ca="1"/>
        <v>0</v>
      </c>
      <c r="R195" s="1920">
        <f ca="1"/>
        <v>0</v>
      </c>
      <c r="S195" s="1920">
        <f ca="1"/>
        <v>0</v>
      </c>
      <c r="T195" s="1920">
        <f ca="1"/>
        <v>0</v>
      </c>
      <c r="U195" s="1920">
        <f ca="1"/>
        <v>0</v>
      </c>
      <c r="V195" s="1920">
        <f ca="1"/>
        <v>0</v>
      </c>
      <c r="W195" s="1920">
        <f ca="1"/>
        <v>0</v>
      </c>
      <c r="X195" s="1920">
        <f ca="1"/>
        <v>0</v>
      </c>
      <c r="Y195" s="1937">
        <f ca="1"/>
        <v>0</v>
      </c>
    </row>
    <row r="196" spans="1:25" ht="13.5" thickBot="1">
      <c r="A196" s="102" t="str">
        <f>"Totals DC "&amp;A$12</f>
        <v xml:space="preserve">Totals DC </v>
      </c>
      <c r="B196" s="587">
        <f t="shared" ref="B196:Y196" ca="1" si="14">SUM(B183:B195)</f>
        <v>0</v>
      </c>
      <c r="C196" s="587">
        <f t="shared" ca="1" si="14"/>
        <v>0</v>
      </c>
      <c r="D196" s="587">
        <f t="shared" ca="1" si="14"/>
        <v>0</v>
      </c>
      <c r="E196" s="587">
        <f t="shared" ca="1" si="14"/>
        <v>0</v>
      </c>
      <c r="F196" s="587">
        <f t="shared" ca="1" si="14"/>
        <v>0</v>
      </c>
      <c r="G196" s="587">
        <f t="shared" ca="1" si="14"/>
        <v>0</v>
      </c>
      <c r="H196" s="587">
        <f t="shared" ca="1" si="14"/>
        <v>0</v>
      </c>
      <c r="I196" s="587">
        <f t="shared" ca="1" si="14"/>
        <v>0</v>
      </c>
      <c r="J196" s="587">
        <f t="shared" ca="1" si="14"/>
        <v>0</v>
      </c>
      <c r="K196" s="587">
        <f t="shared" ca="1" si="14"/>
        <v>0</v>
      </c>
      <c r="L196" s="587">
        <f t="shared" ca="1" si="14"/>
        <v>0</v>
      </c>
      <c r="M196" s="587">
        <f t="shared" ca="1" si="14"/>
        <v>0</v>
      </c>
      <c r="N196" s="587">
        <f t="shared" ca="1" si="14"/>
        <v>0</v>
      </c>
      <c r="O196" s="587">
        <f t="shared" ca="1" si="14"/>
        <v>0</v>
      </c>
      <c r="P196" s="587">
        <f t="shared" ca="1" si="14"/>
        <v>0</v>
      </c>
      <c r="Q196" s="587">
        <f t="shared" ca="1" si="14"/>
        <v>0</v>
      </c>
      <c r="R196" s="587">
        <f t="shared" ca="1" si="14"/>
        <v>0</v>
      </c>
      <c r="S196" s="587">
        <f t="shared" ca="1" si="14"/>
        <v>0</v>
      </c>
      <c r="T196" s="587">
        <f t="shared" ca="1" si="14"/>
        <v>0</v>
      </c>
      <c r="U196" s="587">
        <f t="shared" ca="1" si="14"/>
        <v>0</v>
      </c>
      <c r="V196" s="587">
        <f t="shared" ca="1" si="14"/>
        <v>0</v>
      </c>
      <c r="W196" s="587">
        <f t="shared" ca="1" si="14"/>
        <v>0</v>
      </c>
      <c r="X196" s="587">
        <f t="shared" ca="1" si="14"/>
        <v>0</v>
      </c>
      <c r="Y196" s="1935">
        <f t="shared" ca="1" si="14"/>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5" ht="18.75" thickBot="1">
      <c r="A199" s="1921" t="str">
        <f>'DC Distr 0'!A199</f>
        <v xml:space="preserve">Monthly Purchases / Production costs for </v>
      </c>
      <c r="I199" s="1921" t="str">
        <f>I$18</f>
        <v>VAT NOT included</v>
      </c>
      <c r="K199" s="1932">
        <f>Parameters!$F$29</f>
        <v>0.21</v>
      </c>
    </row>
    <row r="200" spans="1:25" ht="33" customHeight="1" thickBot="1">
      <c r="A200" s="441" t="str">
        <f t="array" ref="A200:A213">A$110:A$123</f>
        <v>Months before sale</v>
      </c>
      <c r="B200" s="1938" t="str">
        <f t="array" ref="B200:Y200">B$71:Y$71</f>
        <v>January
2029</v>
      </c>
      <c r="C200" s="1938" t="str">
        <v>February
2029</v>
      </c>
      <c r="D200" s="1938" t="str">
        <v>March
2029</v>
      </c>
      <c r="E200" s="1938" t="str">
        <v>April
2029</v>
      </c>
      <c r="F200" s="1938" t="str">
        <v>May
2029</v>
      </c>
      <c r="G200" s="1938" t="str">
        <v>June
2029</v>
      </c>
      <c r="H200" s="1938" t="str">
        <v>July
2029</v>
      </c>
      <c r="I200" s="1938" t="str">
        <v>August
2029</v>
      </c>
      <c r="J200" s="1938" t="str">
        <v>September
2029</v>
      </c>
      <c r="K200" s="1938" t="str">
        <v>October
2029</v>
      </c>
      <c r="L200" s="1938" t="str">
        <v>November
2029</v>
      </c>
      <c r="M200" s="1938" t="str">
        <v>December
2029</v>
      </c>
      <c r="N200" s="2721" t="str">
        <v>January 
2030</v>
      </c>
      <c r="O200" s="2722" t="str">
        <v>February 
2030</v>
      </c>
      <c r="P200" s="2722" t="str">
        <v>March 
2030</v>
      </c>
      <c r="Q200" s="2722" t="str">
        <v>April 
2030</v>
      </c>
      <c r="R200" s="2722" t="str">
        <v>May 
2030</v>
      </c>
      <c r="S200" s="2722" t="str">
        <v>June 
2030</v>
      </c>
      <c r="T200" s="2722" t="str">
        <v>July 
2030</v>
      </c>
      <c r="U200" s="2722" t="str">
        <v>August 
2030</v>
      </c>
      <c r="V200" s="2722" t="str">
        <v>September 
2030</v>
      </c>
      <c r="W200" s="2722" t="str">
        <v>October 
2030</v>
      </c>
      <c r="X200" s="2722" t="str">
        <v>November 
2030</v>
      </c>
      <c r="Y200" s="2723" t="str">
        <v>December 
2030</v>
      </c>
    </row>
    <row r="201" spans="1:25">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5">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f t="array" aca="1" ref="Y202:Y213" ca="1">'DC Distr 5'!M202:M213</f>
        <v>0</v>
      </c>
    </row>
    <row r="203" spans="1:25">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6">
        <f t="array" aca="1" ref="X203:X213" ca="1">'DC Distr 5'!L203:L213</f>
        <v>0</v>
      </c>
      <c r="Y203" s="1934">
        <f ca="1"/>
        <v>0</v>
      </c>
    </row>
    <row r="204" spans="1:25">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6">
        <f t="array" aca="1" ref="W204:W213" ca="1">'DC Distr 5'!K204:K213</f>
        <v>0</v>
      </c>
      <c r="X204" s="1916">
        <f ca="1"/>
        <v>0</v>
      </c>
      <c r="Y204" s="1934">
        <f ca="1"/>
        <v>0</v>
      </c>
    </row>
    <row r="205" spans="1:25">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6">
        <f t="array" aca="1" ref="V205:V213" ca="1">'DC Distr 5'!J205:J213</f>
        <v>0</v>
      </c>
      <c r="W205" s="1916">
        <f ca="1"/>
        <v>0</v>
      </c>
      <c r="X205" s="1916">
        <f ca="1"/>
        <v>0</v>
      </c>
      <c r="Y205" s="1934">
        <f ca="1"/>
        <v>0</v>
      </c>
    </row>
    <row r="206" spans="1:25">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6">
        <f t="array" aca="1" ref="U206:U213" ca="1">'DC Distr 5'!I206:I213</f>
        <v>0</v>
      </c>
      <c r="V206" s="1916">
        <f ca="1"/>
        <v>0</v>
      </c>
      <c r="W206" s="1916">
        <f ca="1"/>
        <v>0</v>
      </c>
      <c r="X206" s="1916">
        <f ca="1"/>
        <v>0</v>
      </c>
      <c r="Y206" s="1934">
        <f ca="1"/>
        <v>0</v>
      </c>
    </row>
    <row r="207" spans="1:25">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6">
        <f t="array" aca="1" ref="T207:T213" ca="1">'DC Distr 5'!H207:H213</f>
        <v>0</v>
      </c>
      <c r="U207" s="1916">
        <f ca="1"/>
        <v>0</v>
      </c>
      <c r="V207" s="1916">
        <f ca="1"/>
        <v>0</v>
      </c>
      <c r="W207" s="1916">
        <f ca="1"/>
        <v>0</v>
      </c>
      <c r="X207" s="1916">
        <f ca="1"/>
        <v>0</v>
      </c>
      <c r="Y207" s="1934">
        <f ca="1"/>
        <v>0</v>
      </c>
    </row>
    <row r="208" spans="1:25">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20">
        <f t="array" aca="1" ref="S208:S213" ca="1">'DC Distr 5'!G208:G213</f>
        <v>0</v>
      </c>
      <c r="T208" s="1920">
        <f ca="1"/>
        <v>0</v>
      </c>
      <c r="U208" s="1920">
        <f ca="1"/>
        <v>0</v>
      </c>
      <c r="V208" s="1920">
        <f ca="1"/>
        <v>0</v>
      </c>
      <c r="W208" s="1920">
        <f ca="1"/>
        <v>0</v>
      </c>
      <c r="X208" s="1920">
        <f ca="1"/>
        <v>0</v>
      </c>
      <c r="Y208" s="1937">
        <f ca="1"/>
        <v>0</v>
      </c>
    </row>
    <row r="209" spans="1:25">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20">
        <f t="array" aca="1" ref="R209:R213" ca="1">'DC Distr 5'!F209:F213</f>
        <v>0</v>
      </c>
      <c r="S209" s="1920">
        <f ca="1"/>
        <v>0</v>
      </c>
      <c r="T209" s="1920">
        <f ca="1"/>
        <v>0</v>
      </c>
      <c r="U209" s="1920">
        <f ca="1"/>
        <v>0</v>
      </c>
      <c r="V209" s="1920">
        <f ca="1"/>
        <v>0</v>
      </c>
      <c r="W209" s="1920">
        <f ca="1"/>
        <v>0</v>
      </c>
      <c r="X209" s="1920">
        <f ca="1"/>
        <v>0</v>
      </c>
      <c r="Y209" s="1937">
        <f ca="1"/>
        <v>0</v>
      </c>
    </row>
    <row r="210" spans="1:25">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20">
        <f t="array" aca="1" ref="Q210:Q213" ca="1">'DC Distr 5'!E210:E213</f>
        <v>0</v>
      </c>
      <c r="R210" s="1920">
        <f ca="1"/>
        <v>0</v>
      </c>
      <c r="S210" s="1920">
        <f ca="1"/>
        <v>0</v>
      </c>
      <c r="T210" s="1920">
        <f ca="1"/>
        <v>0</v>
      </c>
      <c r="U210" s="1920">
        <f ca="1"/>
        <v>0</v>
      </c>
      <c r="V210" s="1920">
        <f ca="1"/>
        <v>0</v>
      </c>
      <c r="W210" s="1920">
        <f ca="1"/>
        <v>0</v>
      </c>
      <c r="X210" s="1920">
        <f ca="1"/>
        <v>0</v>
      </c>
      <c r="Y210" s="1937">
        <f ca="1"/>
        <v>0</v>
      </c>
    </row>
    <row r="211" spans="1:25">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20">
        <f t="array" aca="1" ref="P211:P213" ca="1">'DC Distr 5'!D211:D213</f>
        <v>0</v>
      </c>
      <c r="Q211" s="1920">
        <f ca="1"/>
        <v>0</v>
      </c>
      <c r="R211" s="1920">
        <f ca="1"/>
        <v>0</v>
      </c>
      <c r="S211" s="1920">
        <f ca="1"/>
        <v>0</v>
      </c>
      <c r="T211" s="1920">
        <f ca="1"/>
        <v>0</v>
      </c>
      <c r="U211" s="1920">
        <f ca="1"/>
        <v>0</v>
      </c>
      <c r="V211" s="1920">
        <f ca="1"/>
        <v>0</v>
      </c>
      <c r="W211" s="1920">
        <f ca="1"/>
        <v>0</v>
      </c>
      <c r="X211" s="1920">
        <f ca="1"/>
        <v>0</v>
      </c>
      <c r="Y211" s="1937">
        <f ca="1"/>
        <v>0</v>
      </c>
    </row>
    <row r="212" spans="1:25">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20">
        <f ca="1">'DC Distr 5'!C212</f>
        <v>0</v>
      </c>
      <c r="P212" s="1920">
        <f ca="1"/>
        <v>0</v>
      </c>
      <c r="Q212" s="1920">
        <f ca="1"/>
        <v>0</v>
      </c>
      <c r="R212" s="1920">
        <f ca="1"/>
        <v>0</v>
      </c>
      <c r="S212" s="1920">
        <f ca="1"/>
        <v>0</v>
      </c>
      <c r="T212" s="1920">
        <f ca="1"/>
        <v>0</v>
      </c>
      <c r="U212" s="1920">
        <f ca="1"/>
        <v>0</v>
      </c>
      <c r="V212" s="1920">
        <f ca="1"/>
        <v>0</v>
      </c>
      <c r="W212" s="1920">
        <f ca="1"/>
        <v>0</v>
      </c>
      <c r="X212" s="1920">
        <f ca="1"/>
        <v>0</v>
      </c>
      <c r="Y212" s="1937">
        <f ca="1"/>
        <v>0</v>
      </c>
    </row>
    <row r="213" spans="1:25"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f ca="1">'DC Distr 5'!B213</f>
        <v>0</v>
      </c>
      <c r="O213" s="1920">
        <f ca="1">'DC Distr 5'!C213</f>
        <v>0</v>
      </c>
      <c r="P213" s="1920">
        <f ca="1"/>
        <v>0</v>
      </c>
      <c r="Q213" s="1920">
        <f ca="1"/>
        <v>0</v>
      </c>
      <c r="R213" s="1920">
        <f ca="1"/>
        <v>0</v>
      </c>
      <c r="S213" s="1920">
        <f ca="1"/>
        <v>0</v>
      </c>
      <c r="T213" s="1920">
        <f ca="1"/>
        <v>0</v>
      </c>
      <c r="U213" s="1920">
        <f ca="1"/>
        <v>0</v>
      </c>
      <c r="V213" s="1920">
        <f ca="1"/>
        <v>0</v>
      </c>
      <c r="W213" s="1920">
        <f ca="1"/>
        <v>0</v>
      </c>
      <c r="X213" s="1920">
        <f ca="1"/>
        <v>0</v>
      </c>
      <c r="Y213" s="1937">
        <f ca="1"/>
        <v>0</v>
      </c>
    </row>
    <row r="214" spans="1:25" ht="13.5" thickBot="1">
      <c r="A214" s="102" t="str">
        <f>"Totals DC "&amp;A$13</f>
        <v xml:space="preserve">Totals DC </v>
      </c>
      <c r="B214" s="587">
        <f t="shared" ref="B214:Y214" ca="1" si="15">SUM(B201:B213)</f>
        <v>0</v>
      </c>
      <c r="C214" s="587">
        <f t="shared" ca="1" si="15"/>
        <v>0</v>
      </c>
      <c r="D214" s="587">
        <f t="shared" ca="1" si="15"/>
        <v>0</v>
      </c>
      <c r="E214" s="587">
        <f t="shared" ca="1" si="15"/>
        <v>0</v>
      </c>
      <c r="F214" s="587">
        <f t="shared" ca="1" si="15"/>
        <v>0</v>
      </c>
      <c r="G214" s="587">
        <f t="shared" ca="1" si="15"/>
        <v>0</v>
      </c>
      <c r="H214" s="587">
        <f t="shared" ca="1" si="15"/>
        <v>0</v>
      </c>
      <c r="I214" s="587">
        <f t="shared" ca="1" si="15"/>
        <v>0</v>
      </c>
      <c r="J214" s="587">
        <f t="shared" ca="1" si="15"/>
        <v>0</v>
      </c>
      <c r="K214" s="587">
        <f t="shared" ca="1" si="15"/>
        <v>0</v>
      </c>
      <c r="L214" s="587">
        <f t="shared" ca="1" si="15"/>
        <v>0</v>
      </c>
      <c r="M214" s="587">
        <f t="shared" ca="1" si="15"/>
        <v>0</v>
      </c>
      <c r="N214" s="587">
        <f t="shared" ca="1" si="15"/>
        <v>0</v>
      </c>
      <c r="O214" s="587">
        <f t="shared" ca="1" si="15"/>
        <v>0</v>
      </c>
      <c r="P214" s="587">
        <f t="shared" ca="1" si="15"/>
        <v>0</v>
      </c>
      <c r="Q214" s="587">
        <f t="shared" ca="1" si="15"/>
        <v>0</v>
      </c>
      <c r="R214" s="587">
        <f t="shared" ca="1" si="15"/>
        <v>0</v>
      </c>
      <c r="S214" s="587">
        <f t="shared" ca="1" si="15"/>
        <v>0</v>
      </c>
      <c r="T214" s="587">
        <f t="shared" ca="1" si="15"/>
        <v>0</v>
      </c>
      <c r="U214" s="587">
        <f t="shared" ca="1" si="15"/>
        <v>0</v>
      </c>
      <c r="V214" s="587">
        <f t="shared" ca="1" si="15"/>
        <v>0</v>
      </c>
      <c r="W214" s="587">
        <f t="shared" ca="1" si="15"/>
        <v>0</v>
      </c>
      <c r="X214" s="587">
        <f t="shared" ca="1" si="15"/>
        <v>0</v>
      </c>
      <c r="Y214" s="1935">
        <f t="shared" ca="1" si="15"/>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5" ht="18.75" thickBot="1">
      <c r="A217" s="1921" t="str">
        <f>'DC Distr 0'!A217</f>
        <v xml:space="preserve">Monthly Purchases / Production costs for </v>
      </c>
      <c r="I217" s="1921" t="str">
        <f>I$18</f>
        <v>VAT NOT included</v>
      </c>
      <c r="K217" s="1932">
        <f>Parameters!$F$30</f>
        <v>0.21</v>
      </c>
    </row>
    <row r="218" spans="1:25" ht="33" customHeight="1" thickBot="1">
      <c r="A218" s="441" t="str">
        <f t="array" ref="A218:A231">A$110:A$123</f>
        <v>Months before sale</v>
      </c>
      <c r="B218" s="1938" t="str">
        <f t="array" ref="B218:Y218">B$71:Y$71</f>
        <v>January
2029</v>
      </c>
      <c r="C218" s="1938" t="str">
        <v>February
2029</v>
      </c>
      <c r="D218" s="1938" t="str">
        <v>March
2029</v>
      </c>
      <c r="E218" s="1938" t="str">
        <v>April
2029</v>
      </c>
      <c r="F218" s="1938" t="str">
        <v>May
2029</v>
      </c>
      <c r="G218" s="1938" t="str">
        <v>June
2029</v>
      </c>
      <c r="H218" s="1938" t="str">
        <v>July
2029</v>
      </c>
      <c r="I218" s="1938" t="str">
        <v>August
2029</v>
      </c>
      <c r="J218" s="1938" t="str">
        <v>September
2029</v>
      </c>
      <c r="K218" s="1938" t="str">
        <v>October
2029</v>
      </c>
      <c r="L218" s="1938" t="str">
        <v>November
2029</v>
      </c>
      <c r="M218" s="1938" t="str">
        <v>December
2029</v>
      </c>
      <c r="N218" s="2721" t="str">
        <v>January 
2030</v>
      </c>
      <c r="O218" s="2722" t="str">
        <v>February 
2030</v>
      </c>
      <c r="P218" s="2722" t="str">
        <v>March 
2030</v>
      </c>
      <c r="Q218" s="2722" t="str">
        <v>April 
2030</v>
      </c>
      <c r="R218" s="2722" t="str">
        <v>May 
2030</v>
      </c>
      <c r="S218" s="2722" t="str">
        <v>June 
2030</v>
      </c>
      <c r="T218" s="2722" t="str">
        <v>July 
2030</v>
      </c>
      <c r="U218" s="2722" t="str">
        <v>August 
2030</v>
      </c>
      <c r="V218" s="2722" t="str">
        <v>September 
2030</v>
      </c>
      <c r="W218" s="2722" t="str">
        <v>October 
2030</v>
      </c>
      <c r="X218" s="2722" t="str">
        <v>November 
2030</v>
      </c>
      <c r="Y218" s="2723" t="str">
        <v>December 
2030</v>
      </c>
    </row>
    <row r="219" spans="1:25">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5">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f t="array" aca="1" ref="Y220:Y231" ca="1">'DC Distr 5'!M220:M231</f>
        <v>0</v>
      </c>
    </row>
    <row r="221" spans="1:25">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6">
        <f t="array" aca="1" ref="X221:X231" ca="1">'DC Distr 5'!L221:L231</f>
        <v>0</v>
      </c>
      <c r="Y221" s="1934">
        <f ca="1"/>
        <v>0</v>
      </c>
    </row>
    <row r="222" spans="1:25">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6">
        <f t="array" aca="1" ref="W222:W231" ca="1">'DC Distr 5'!K222:K231</f>
        <v>0</v>
      </c>
      <c r="X222" s="1916">
        <f ca="1"/>
        <v>0</v>
      </c>
      <c r="Y222" s="1934">
        <f ca="1"/>
        <v>0</v>
      </c>
    </row>
    <row r="223" spans="1:25">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6">
        <f t="array" aca="1" ref="V223:V231" ca="1">'DC Distr 5'!J223:J231</f>
        <v>0</v>
      </c>
      <c r="W223" s="1916">
        <f ca="1"/>
        <v>0</v>
      </c>
      <c r="X223" s="1916">
        <f ca="1"/>
        <v>0</v>
      </c>
      <c r="Y223" s="1934">
        <f ca="1"/>
        <v>0</v>
      </c>
    </row>
    <row r="224" spans="1:25">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6">
        <f t="array" aca="1" ref="U224:U231" ca="1">'DC Distr 5'!I224:I231</f>
        <v>0</v>
      </c>
      <c r="V224" s="1916">
        <f ca="1"/>
        <v>0</v>
      </c>
      <c r="W224" s="1916">
        <f ca="1"/>
        <v>0</v>
      </c>
      <c r="X224" s="1916">
        <f ca="1"/>
        <v>0</v>
      </c>
      <c r="Y224" s="1934">
        <f ca="1"/>
        <v>0</v>
      </c>
    </row>
    <row r="225" spans="1:25">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6">
        <f t="array" aca="1" ref="T225:T231" ca="1">'DC Distr 5'!H225:H231</f>
        <v>0</v>
      </c>
      <c r="U225" s="1916">
        <f ca="1"/>
        <v>0</v>
      </c>
      <c r="V225" s="1916">
        <f ca="1"/>
        <v>0</v>
      </c>
      <c r="W225" s="1916">
        <f ca="1"/>
        <v>0</v>
      </c>
      <c r="X225" s="1916">
        <f ca="1"/>
        <v>0</v>
      </c>
      <c r="Y225" s="1934">
        <f ca="1"/>
        <v>0</v>
      </c>
    </row>
    <row r="226" spans="1:25">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20">
        <f t="array" aca="1" ref="S226:S231" ca="1">'DC Distr 5'!G226:G231</f>
        <v>0</v>
      </c>
      <c r="T226" s="1920">
        <f ca="1"/>
        <v>0</v>
      </c>
      <c r="U226" s="1920">
        <f ca="1"/>
        <v>0</v>
      </c>
      <c r="V226" s="1920">
        <f ca="1"/>
        <v>0</v>
      </c>
      <c r="W226" s="1920">
        <f ca="1"/>
        <v>0</v>
      </c>
      <c r="X226" s="1920">
        <f ca="1"/>
        <v>0</v>
      </c>
      <c r="Y226" s="1937">
        <f ca="1"/>
        <v>0</v>
      </c>
    </row>
    <row r="227" spans="1:25">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20">
        <f t="array" aca="1" ref="R227:R231" ca="1">'DC Distr 5'!F227:F231</f>
        <v>0</v>
      </c>
      <c r="S227" s="1920">
        <f ca="1"/>
        <v>0</v>
      </c>
      <c r="T227" s="1920">
        <f ca="1"/>
        <v>0</v>
      </c>
      <c r="U227" s="1920">
        <f ca="1"/>
        <v>0</v>
      </c>
      <c r="V227" s="1920">
        <f ca="1"/>
        <v>0</v>
      </c>
      <c r="W227" s="1920">
        <f ca="1"/>
        <v>0</v>
      </c>
      <c r="X227" s="1920">
        <f ca="1"/>
        <v>0</v>
      </c>
      <c r="Y227" s="1937">
        <f ca="1"/>
        <v>0</v>
      </c>
    </row>
    <row r="228" spans="1:25">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20">
        <f t="array" aca="1" ref="Q228:Q231" ca="1">'DC Distr 5'!E228:E231</f>
        <v>0</v>
      </c>
      <c r="R228" s="1920">
        <f ca="1"/>
        <v>0</v>
      </c>
      <c r="S228" s="1920">
        <f ca="1"/>
        <v>0</v>
      </c>
      <c r="T228" s="1920">
        <f ca="1"/>
        <v>0</v>
      </c>
      <c r="U228" s="1920">
        <f ca="1"/>
        <v>0</v>
      </c>
      <c r="V228" s="1920">
        <f ca="1"/>
        <v>0</v>
      </c>
      <c r="W228" s="1920">
        <f ca="1"/>
        <v>0</v>
      </c>
      <c r="X228" s="1920">
        <f ca="1"/>
        <v>0</v>
      </c>
      <c r="Y228" s="1937">
        <f ca="1"/>
        <v>0</v>
      </c>
    </row>
    <row r="229" spans="1:25">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20">
        <f t="array" aca="1" ref="P229:P231" ca="1">'DC Distr 5'!D229:D231</f>
        <v>0</v>
      </c>
      <c r="Q229" s="1920">
        <f ca="1"/>
        <v>0</v>
      </c>
      <c r="R229" s="1920">
        <f ca="1"/>
        <v>0</v>
      </c>
      <c r="S229" s="1920">
        <f ca="1"/>
        <v>0</v>
      </c>
      <c r="T229" s="1920">
        <f ca="1"/>
        <v>0</v>
      </c>
      <c r="U229" s="1920">
        <f ca="1"/>
        <v>0</v>
      </c>
      <c r="V229" s="1920">
        <f ca="1"/>
        <v>0</v>
      </c>
      <c r="W229" s="1920">
        <f ca="1"/>
        <v>0</v>
      </c>
      <c r="X229" s="1920">
        <f ca="1"/>
        <v>0</v>
      </c>
      <c r="Y229" s="1937">
        <f ca="1"/>
        <v>0</v>
      </c>
    </row>
    <row r="230" spans="1:25">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20">
        <f ca="1">'DC Distr 5'!C230</f>
        <v>0</v>
      </c>
      <c r="P230" s="1920">
        <f ca="1"/>
        <v>0</v>
      </c>
      <c r="Q230" s="1920">
        <f ca="1"/>
        <v>0</v>
      </c>
      <c r="R230" s="1920">
        <f ca="1"/>
        <v>0</v>
      </c>
      <c r="S230" s="1920">
        <f ca="1"/>
        <v>0</v>
      </c>
      <c r="T230" s="1920">
        <f ca="1"/>
        <v>0</v>
      </c>
      <c r="U230" s="1920">
        <f ca="1"/>
        <v>0</v>
      </c>
      <c r="V230" s="1920">
        <f ca="1"/>
        <v>0</v>
      </c>
      <c r="W230" s="1920">
        <f ca="1"/>
        <v>0</v>
      </c>
      <c r="X230" s="1920">
        <f ca="1"/>
        <v>0</v>
      </c>
      <c r="Y230" s="1937">
        <f ca="1"/>
        <v>0</v>
      </c>
    </row>
    <row r="231" spans="1:25"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f ca="1">'DC Distr 5'!B231</f>
        <v>0</v>
      </c>
      <c r="O231" s="1920">
        <f ca="1">'DC Distr 5'!C231</f>
        <v>0</v>
      </c>
      <c r="P231" s="1920">
        <f ca="1"/>
        <v>0</v>
      </c>
      <c r="Q231" s="1920">
        <f ca="1"/>
        <v>0</v>
      </c>
      <c r="R231" s="1920">
        <f ca="1"/>
        <v>0</v>
      </c>
      <c r="S231" s="1920">
        <f ca="1"/>
        <v>0</v>
      </c>
      <c r="T231" s="1920">
        <f ca="1"/>
        <v>0</v>
      </c>
      <c r="U231" s="1920">
        <f ca="1"/>
        <v>0</v>
      </c>
      <c r="V231" s="1920">
        <f ca="1"/>
        <v>0</v>
      </c>
      <c r="W231" s="1920">
        <f ca="1"/>
        <v>0</v>
      </c>
      <c r="X231" s="1920">
        <f ca="1"/>
        <v>0</v>
      </c>
      <c r="Y231" s="1937">
        <f ca="1"/>
        <v>0</v>
      </c>
    </row>
    <row r="232" spans="1:25" ht="13.5" thickBot="1">
      <c r="A232" s="102" t="str">
        <f>"Totals DC "&amp;A$14</f>
        <v xml:space="preserve">Totals DC </v>
      </c>
      <c r="B232" s="587">
        <f t="shared" ref="B232:Y232" ca="1" si="16">SUM(B219:B231)</f>
        <v>0</v>
      </c>
      <c r="C232" s="587">
        <f t="shared" ca="1" si="16"/>
        <v>0</v>
      </c>
      <c r="D232" s="587">
        <f t="shared" ca="1" si="16"/>
        <v>0</v>
      </c>
      <c r="E232" s="587">
        <f t="shared" ca="1" si="16"/>
        <v>0</v>
      </c>
      <c r="F232" s="587">
        <f t="shared" ca="1" si="16"/>
        <v>0</v>
      </c>
      <c r="G232" s="587">
        <f t="shared" ca="1" si="16"/>
        <v>0</v>
      </c>
      <c r="H232" s="587">
        <f t="shared" ca="1" si="16"/>
        <v>0</v>
      </c>
      <c r="I232" s="587">
        <f t="shared" ca="1" si="16"/>
        <v>0</v>
      </c>
      <c r="J232" s="587">
        <f t="shared" ca="1" si="16"/>
        <v>0</v>
      </c>
      <c r="K232" s="587">
        <f t="shared" ca="1" si="16"/>
        <v>0</v>
      </c>
      <c r="L232" s="587">
        <f t="shared" ca="1" si="16"/>
        <v>0</v>
      </c>
      <c r="M232" s="587">
        <f t="shared" ca="1" si="16"/>
        <v>0</v>
      </c>
      <c r="N232" s="587">
        <f t="shared" ca="1" si="16"/>
        <v>0</v>
      </c>
      <c r="O232" s="587">
        <f t="shared" ca="1" si="16"/>
        <v>0</v>
      </c>
      <c r="P232" s="587">
        <f t="shared" ca="1" si="16"/>
        <v>0</v>
      </c>
      <c r="Q232" s="587">
        <f t="shared" ca="1" si="16"/>
        <v>0</v>
      </c>
      <c r="R232" s="587">
        <f t="shared" ca="1" si="16"/>
        <v>0</v>
      </c>
      <c r="S232" s="587">
        <f t="shared" ca="1" si="16"/>
        <v>0</v>
      </c>
      <c r="T232" s="587">
        <f t="shared" ca="1" si="16"/>
        <v>0</v>
      </c>
      <c r="U232" s="587">
        <f t="shared" ca="1" si="16"/>
        <v>0</v>
      </c>
      <c r="V232" s="587">
        <f t="shared" ca="1" si="16"/>
        <v>0</v>
      </c>
      <c r="W232" s="587">
        <f t="shared" ca="1" si="16"/>
        <v>0</v>
      </c>
      <c r="X232" s="587">
        <f t="shared" ca="1" si="16"/>
        <v>0</v>
      </c>
      <c r="Y232" s="1935">
        <f t="shared" ca="1" si="16"/>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5" ht="18.75" thickBot="1">
      <c r="A235" s="1921" t="str">
        <f>'DC Distr 0'!A235</f>
        <v xml:space="preserve">Monthly Purchases / Production costs for </v>
      </c>
      <c r="I235" s="1921" t="str">
        <f>I$18</f>
        <v>VAT NOT included</v>
      </c>
      <c r="K235" s="1932">
        <f>Parameters!$F$31</f>
        <v>0.21</v>
      </c>
    </row>
    <row r="236" spans="1:25" ht="30" customHeight="1" thickBot="1">
      <c r="A236" s="441" t="str">
        <f t="array" ref="A236:A249">A$110:A$123</f>
        <v>Months before sale</v>
      </c>
      <c r="B236" s="1938" t="str">
        <f t="array" ref="B236:Y236">B$71:Y$71</f>
        <v>January
2029</v>
      </c>
      <c r="C236" s="1938" t="str">
        <v>February
2029</v>
      </c>
      <c r="D236" s="1938" t="str">
        <v>March
2029</v>
      </c>
      <c r="E236" s="1938" t="str">
        <v>April
2029</v>
      </c>
      <c r="F236" s="1938" t="str">
        <v>May
2029</v>
      </c>
      <c r="G236" s="1938" t="str">
        <v>June
2029</v>
      </c>
      <c r="H236" s="1938" t="str">
        <v>July
2029</v>
      </c>
      <c r="I236" s="1938" t="str">
        <v>August
2029</v>
      </c>
      <c r="J236" s="1938" t="str">
        <v>September
2029</v>
      </c>
      <c r="K236" s="1938" t="str">
        <v>October
2029</v>
      </c>
      <c r="L236" s="1938" t="str">
        <v>November
2029</v>
      </c>
      <c r="M236" s="1938" t="str">
        <v>December
2029</v>
      </c>
      <c r="N236" s="2721" t="str">
        <v>January 
2030</v>
      </c>
      <c r="O236" s="2722" t="str">
        <v>February 
2030</v>
      </c>
      <c r="P236" s="2722" t="str">
        <v>March 
2030</v>
      </c>
      <c r="Q236" s="2722" t="str">
        <v>April 
2030</v>
      </c>
      <c r="R236" s="2722" t="str">
        <v>May 
2030</v>
      </c>
      <c r="S236" s="2722" t="str">
        <v>June 
2030</v>
      </c>
      <c r="T236" s="2722" t="str">
        <v>July 
2030</v>
      </c>
      <c r="U236" s="2722" t="str">
        <v>August 
2030</v>
      </c>
      <c r="V236" s="2722" t="str">
        <v>September 
2030</v>
      </c>
      <c r="W236" s="2722" t="str">
        <v>October 
2030</v>
      </c>
      <c r="X236" s="2722" t="str">
        <v>November 
2030</v>
      </c>
      <c r="Y236" s="2723" t="str">
        <v>December 
2030</v>
      </c>
    </row>
    <row r="237" spans="1:25">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5">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f t="array" aca="1" ref="Y238:Y249" ca="1">'DC Distr 5'!M238:M249</f>
        <v>0</v>
      </c>
    </row>
    <row r="239" spans="1:25">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6">
        <f t="array" aca="1" ref="X239:X249" ca="1">'DC Distr 5'!L239:L249</f>
        <v>0</v>
      </c>
      <c r="Y239" s="1934">
        <f ca="1"/>
        <v>0</v>
      </c>
    </row>
    <row r="240" spans="1:25">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6">
        <f t="array" aca="1" ref="W240:W249" ca="1">'DC Distr 5'!K240:K249</f>
        <v>0</v>
      </c>
      <c r="X240" s="1916">
        <f ca="1"/>
        <v>0</v>
      </c>
      <c r="Y240" s="1934">
        <f ca="1"/>
        <v>0</v>
      </c>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6">
        <f t="array" aca="1" ref="V241:V249" ca="1">'DC Distr 5'!J241:J249</f>
        <v>0</v>
      </c>
      <c r="W241" s="1916">
        <f ca="1"/>
        <v>0</v>
      </c>
      <c r="X241" s="1916">
        <f ca="1"/>
        <v>0</v>
      </c>
      <c r="Y241" s="1934">
        <f ca="1"/>
        <v>0</v>
      </c>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6">
        <f t="array" aca="1" ref="U242:U249" ca="1">'DC Distr 5'!I242:I249</f>
        <v>0</v>
      </c>
      <c r="V242" s="1916">
        <f ca="1"/>
        <v>0</v>
      </c>
      <c r="W242" s="1916">
        <f ca="1"/>
        <v>0</v>
      </c>
      <c r="X242" s="1916">
        <f ca="1"/>
        <v>0</v>
      </c>
      <c r="Y242" s="1934">
        <f ca="1"/>
        <v>0</v>
      </c>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6">
        <f t="array" aca="1" ref="T243:T249" ca="1">'DC Distr 5'!H243:H249</f>
        <v>0</v>
      </c>
      <c r="U243" s="1916">
        <f ca="1"/>
        <v>0</v>
      </c>
      <c r="V243" s="1916">
        <f ca="1"/>
        <v>0</v>
      </c>
      <c r="W243" s="1916">
        <f ca="1"/>
        <v>0</v>
      </c>
      <c r="X243" s="1916">
        <f ca="1"/>
        <v>0</v>
      </c>
      <c r="Y243" s="1934">
        <f ca="1"/>
        <v>0</v>
      </c>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20">
        <f t="array" aca="1" ref="S244:S249" ca="1">'DC Distr 5'!G244:G249</f>
        <v>0</v>
      </c>
      <c r="T244" s="1920">
        <f ca="1"/>
        <v>0</v>
      </c>
      <c r="U244" s="1920">
        <f ca="1"/>
        <v>0</v>
      </c>
      <c r="V244" s="1920">
        <f ca="1"/>
        <v>0</v>
      </c>
      <c r="W244" s="1920">
        <f ca="1"/>
        <v>0</v>
      </c>
      <c r="X244" s="1920">
        <f ca="1"/>
        <v>0</v>
      </c>
      <c r="Y244" s="1937">
        <f ca="1"/>
        <v>0</v>
      </c>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20">
        <f t="array" aca="1" ref="R245:R249" ca="1">'DC Distr 5'!F245:F249</f>
        <v>0</v>
      </c>
      <c r="S245" s="1920">
        <f ca="1"/>
        <v>0</v>
      </c>
      <c r="T245" s="1920">
        <f ca="1"/>
        <v>0</v>
      </c>
      <c r="U245" s="1920">
        <f ca="1"/>
        <v>0</v>
      </c>
      <c r="V245" s="1920">
        <f ca="1"/>
        <v>0</v>
      </c>
      <c r="W245" s="1920">
        <f ca="1"/>
        <v>0</v>
      </c>
      <c r="X245" s="1920">
        <f ca="1"/>
        <v>0</v>
      </c>
      <c r="Y245" s="1937">
        <f ca="1"/>
        <v>0</v>
      </c>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20">
        <f t="array" aca="1" ref="Q246:Q249" ca="1">'DC Distr 5'!E246:E249</f>
        <v>0</v>
      </c>
      <c r="R246" s="1920">
        <f ca="1"/>
        <v>0</v>
      </c>
      <c r="S246" s="1920">
        <f ca="1"/>
        <v>0</v>
      </c>
      <c r="T246" s="1920">
        <f ca="1"/>
        <v>0</v>
      </c>
      <c r="U246" s="1920">
        <f ca="1"/>
        <v>0</v>
      </c>
      <c r="V246" s="1920">
        <f ca="1"/>
        <v>0</v>
      </c>
      <c r="W246" s="1920">
        <f ca="1"/>
        <v>0</v>
      </c>
      <c r="X246" s="1920">
        <f ca="1"/>
        <v>0</v>
      </c>
      <c r="Y246" s="1937">
        <f ca="1"/>
        <v>0</v>
      </c>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20">
        <f t="array" aca="1" ref="P247:P249" ca="1">'DC Distr 5'!D247:D249</f>
        <v>0</v>
      </c>
      <c r="Q247" s="1920">
        <f ca="1"/>
        <v>0</v>
      </c>
      <c r="R247" s="1920">
        <f ca="1"/>
        <v>0</v>
      </c>
      <c r="S247" s="1920">
        <f ca="1"/>
        <v>0</v>
      </c>
      <c r="T247" s="1920">
        <f ca="1"/>
        <v>0</v>
      </c>
      <c r="U247" s="1920">
        <f ca="1"/>
        <v>0</v>
      </c>
      <c r="V247" s="1920">
        <f ca="1"/>
        <v>0</v>
      </c>
      <c r="W247" s="1920">
        <f ca="1"/>
        <v>0</v>
      </c>
      <c r="X247" s="1920">
        <f ca="1"/>
        <v>0</v>
      </c>
      <c r="Y247" s="1937">
        <f ca="1"/>
        <v>0</v>
      </c>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20">
        <f ca="1">'DC Distr 5'!C248</f>
        <v>0</v>
      </c>
      <c r="P248" s="1920">
        <f ca="1"/>
        <v>0</v>
      </c>
      <c r="Q248" s="1920">
        <f ca="1"/>
        <v>0</v>
      </c>
      <c r="R248" s="1920">
        <f ca="1"/>
        <v>0</v>
      </c>
      <c r="S248" s="1920">
        <f ca="1"/>
        <v>0</v>
      </c>
      <c r="T248" s="1920">
        <f ca="1"/>
        <v>0</v>
      </c>
      <c r="U248" s="1920">
        <f ca="1"/>
        <v>0</v>
      </c>
      <c r="V248" s="1920">
        <f ca="1"/>
        <v>0</v>
      </c>
      <c r="W248" s="1920">
        <f ca="1"/>
        <v>0</v>
      </c>
      <c r="X248" s="1920">
        <f ca="1"/>
        <v>0</v>
      </c>
      <c r="Y248" s="1937">
        <f ca="1"/>
        <v>0</v>
      </c>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f ca="1">'DC Distr 5'!B249</f>
        <v>0</v>
      </c>
      <c r="O249" s="1920">
        <f ca="1">'DC Distr 5'!C249</f>
        <v>0</v>
      </c>
      <c r="P249" s="1920">
        <f ca="1"/>
        <v>0</v>
      </c>
      <c r="Q249" s="1920">
        <f ca="1"/>
        <v>0</v>
      </c>
      <c r="R249" s="1920">
        <f ca="1"/>
        <v>0</v>
      </c>
      <c r="S249" s="1920">
        <f ca="1"/>
        <v>0</v>
      </c>
      <c r="T249" s="1920">
        <f ca="1"/>
        <v>0</v>
      </c>
      <c r="U249" s="1920">
        <f ca="1"/>
        <v>0</v>
      </c>
      <c r="V249" s="1920">
        <f ca="1"/>
        <v>0</v>
      </c>
      <c r="W249" s="1920">
        <f ca="1"/>
        <v>0</v>
      </c>
      <c r="X249" s="1920">
        <f ca="1"/>
        <v>0</v>
      </c>
      <c r="Y249" s="1937">
        <f ca="1"/>
        <v>0</v>
      </c>
    </row>
    <row r="250" spans="1:25" ht="13.5" thickBot="1">
      <c r="A250" s="102" t="str">
        <f>"Totals DC "&amp;A$15</f>
        <v xml:space="preserve">Totals DC </v>
      </c>
      <c r="B250" s="587">
        <f t="shared" ref="B250:Y250" ca="1" si="17">SUM(B237:B249)</f>
        <v>0</v>
      </c>
      <c r="C250" s="587">
        <f t="shared" ca="1" si="17"/>
        <v>0</v>
      </c>
      <c r="D250" s="587">
        <f t="shared" ca="1" si="17"/>
        <v>0</v>
      </c>
      <c r="E250" s="587">
        <f t="shared" ca="1" si="17"/>
        <v>0</v>
      </c>
      <c r="F250" s="587">
        <f t="shared" ca="1" si="17"/>
        <v>0</v>
      </c>
      <c r="G250" s="587">
        <f t="shared" ca="1" si="17"/>
        <v>0</v>
      </c>
      <c r="H250" s="587">
        <f t="shared" ca="1" si="17"/>
        <v>0</v>
      </c>
      <c r="I250" s="587">
        <f t="shared" ca="1" si="17"/>
        <v>0</v>
      </c>
      <c r="J250" s="587">
        <f t="shared" ca="1" si="17"/>
        <v>0</v>
      </c>
      <c r="K250" s="587">
        <f t="shared" ca="1" si="17"/>
        <v>0</v>
      </c>
      <c r="L250" s="587">
        <f t="shared" ca="1" si="17"/>
        <v>0</v>
      </c>
      <c r="M250" s="587">
        <f t="shared" ca="1" si="17"/>
        <v>0</v>
      </c>
      <c r="N250" s="587">
        <f t="shared" ca="1" si="17"/>
        <v>0</v>
      </c>
      <c r="O250" s="587">
        <f t="shared" ca="1" si="17"/>
        <v>0</v>
      </c>
      <c r="P250" s="587">
        <f t="shared" ca="1" si="17"/>
        <v>0</v>
      </c>
      <c r="Q250" s="587">
        <f t="shared" ca="1" si="17"/>
        <v>0</v>
      </c>
      <c r="R250" s="587">
        <f t="shared" ca="1" si="17"/>
        <v>0</v>
      </c>
      <c r="S250" s="587">
        <f t="shared" ca="1" si="17"/>
        <v>0</v>
      </c>
      <c r="T250" s="587">
        <f t="shared" ca="1" si="17"/>
        <v>0</v>
      </c>
      <c r="U250" s="587">
        <f t="shared" ca="1" si="17"/>
        <v>0</v>
      </c>
      <c r="V250" s="587">
        <f t="shared" ca="1" si="17"/>
        <v>0</v>
      </c>
      <c r="W250" s="587">
        <f t="shared" ca="1" si="17"/>
        <v>0</v>
      </c>
      <c r="X250" s="587">
        <f t="shared" ca="1" si="17"/>
        <v>0</v>
      </c>
      <c r="Y250" s="1935">
        <f t="shared" ca="1" si="17"/>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68">
    <tabColor indexed="16"/>
    <pageSetUpPr fitToPage="1"/>
  </sheetPr>
  <dimension ref="A1:Z251"/>
  <sheetViews>
    <sheetView zoomScale="70" zoomScaleNormal="70" workbookViewId="0">
      <pane xSplit="1" topLeftCell="B1" activePane="topRight" state="frozenSplit"/>
      <selection activeCell="E23" sqref="E23"/>
      <selection pane="topRight" activeCell="E23" sqref="E23"/>
    </sheetView>
  </sheetViews>
  <sheetFormatPr baseColWidth="10" defaultColWidth="11" defaultRowHeight="12.75"/>
  <cols>
    <col min="1" max="1" width="24" style="230" customWidth="1"/>
    <col min="2" max="2" width="11.375" style="60" customWidth="1"/>
    <col min="3" max="4" width="11.375" style="61" customWidth="1"/>
    <col min="5" max="5" width="10.375" style="61" customWidth="1"/>
    <col min="6" max="14" width="11.375" style="61" customWidth="1"/>
    <col min="15" max="15" width="11.5" style="230" customWidth="1"/>
    <col min="16" max="18" width="11" style="61"/>
    <col min="19" max="19" width="12" style="61" customWidth="1"/>
    <col min="20" max="16384" width="11" style="61"/>
  </cols>
  <sheetData>
    <row r="1" spans="1:15" ht="22.5">
      <c r="A1" s="66" t="s">
        <v>609</v>
      </c>
      <c r="K1" s="2398" t="str">
        <f>Parameters!G$77</f>
        <v>Year 5 :   2031</v>
      </c>
      <c r="L1" s="416"/>
    </row>
    <row r="2" spans="1:15" ht="22.5">
      <c r="A2" s="66" t="str">
        <f>'Base Data'!B9</f>
        <v>WWW, Ltd.</v>
      </c>
    </row>
    <row r="3" spans="1:15" ht="14.25" customHeight="1">
      <c r="A3" s="59"/>
    </row>
    <row r="4" spans="1:15" ht="14.25" customHeight="1">
      <c r="A4" s="59"/>
    </row>
    <row r="5" spans="1:15" ht="14.25" customHeight="1">
      <c r="A5" s="59"/>
    </row>
    <row r="6" spans="1:15" ht="24" customHeight="1" thickBot="1">
      <c r="A6" s="1921" t="str">
        <f>'DC Distr 0'!A6</f>
        <v>Sales in Units by lines Forecast</v>
      </c>
    </row>
    <row r="7" spans="1:15" s="442" customFormat="1" ht="15.75" customHeight="1" thickBot="1">
      <c r="A7" s="441" t="str">
        <f>'DC Distr 0'!A7</f>
        <v>Sales (Units)</v>
      </c>
      <c r="B7" s="439" t="str">
        <f t="array" ref="B7:M7">meses</f>
        <v>January</v>
      </c>
      <c r="C7" s="435" t="str">
        <v>February</v>
      </c>
      <c r="D7" s="435" t="str">
        <v>March</v>
      </c>
      <c r="E7" s="435" t="str">
        <v>April</v>
      </c>
      <c r="F7" s="435" t="str">
        <v>May</v>
      </c>
      <c r="G7" s="435" t="str">
        <v>June</v>
      </c>
      <c r="H7" s="435" t="str">
        <v>July</v>
      </c>
      <c r="I7" s="435" t="str">
        <v>August</v>
      </c>
      <c r="J7" s="435" t="str">
        <v>September</v>
      </c>
      <c r="K7" s="435" t="str">
        <v>October</v>
      </c>
      <c r="L7" s="435" t="str">
        <v>November</v>
      </c>
      <c r="M7" s="436" t="str">
        <v>December</v>
      </c>
      <c r="N7" s="433" t="s">
        <v>554</v>
      </c>
    </row>
    <row r="8" spans="1:15" ht="15.75" customHeight="1">
      <c r="A8" s="2399" t="str">
        <f t="array" ref="A8:A15">productos</f>
        <v>product 1</v>
      </c>
      <c r="B8" s="569">
        <f t="array" aca="1" ref="B8:M15" ca="1">'Sales Forecasts'!B71:M78*Parameters!B$88:M$88</f>
        <v>1158</v>
      </c>
      <c r="C8" s="570">
        <f ca="1"/>
        <v>1158</v>
      </c>
      <c r="D8" s="570">
        <f ca="1"/>
        <v>1158</v>
      </c>
      <c r="E8" s="570">
        <f ca="1"/>
        <v>1158</v>
      </c>
      <c r="F8" s="570">
        <f ca="1"/>
        <v>1158</v>
      </c>
      <c r="G8" s="570">
        <f ca="1"/>
        <v>1158</v>
      </c>
      <c r="H8" s="570">
        <f ca="1"/>
        <v>1158</v>
      </c>
      <c r="I8" s="570">
        <f ca="1"/>
        <v>1158</v>
      </c>
      <c r="J8" s="570">
        <f ca="1"/>
        <v>1158</v>
      </c>
      <c r="K8" s="570">
        <f ca="1"/>
        <v>1158</v>
      </c>
      <c r="L8" s="570">
        <f ca="1"/>
        <v>1158</v>
      </c>
      <c r="M8" s="592">
        <f ca="1"/>
        <v>1158</v>
      </c>
      <c r="N8" s="571">
        <f t="shared" ref="N8:N15" ca="1" si="0">SUM(B8:M8)</f>
        <v>13896</v>
      </c>
      <c r="O8" s="61"/>
    </row>
    <row r="9" spans="1:15" ht="15.75" customHeight="1">
      <c r="A9" s="2400" t="str">
        <v/>
      </c>
      <c r="B9" s="572">
        <f ca="1"/>
        <v>0</v>
      </c>
      <c r="C9" s="573">
        <f ca="1"/>
        <v>0</v>
      </c>
      <c r="D9" s="573">
        <f ca="1"/>
        <v>0</v>
      </c>
      <c r="E9" s="573">
        <f ca="1"/>
        <v>0</v>
      </c>
      <c r="F9" s="573">
        <f ca="1"/>
        <v>0</v>
      </c>
      <c r="G9" s="573">
        <f ca="1"/>
        <v>0</v>
      </c>
      <c r="H9" s="573">
        <f ca="1"/>
        <v>0</v>
      </c>
      <c r="I9" s="573">
        <f ca="1"/>
        <v>0</v>
      </c>
      <c r="J9" s="573">
        <f ca="1"/>
        <v>0</v>
      </c>
      <c r="K9" s="573">
        <f ca="1"/>
        <v>0</v>
      </c>
      <c r="L9" s="573">
        <f ca="1"/>
        <v>0</v>
      </c>
      <c r="M9" s="593">
        <f ca="1"/>
        <v>0</v>
      </c>
      <c r="N9" s="574">
        <f t="shared" ca="1" si="0"/>
        <v>0</v>
      </c>
      <c r="O9" s="61"/>
    </row>
    <row r="10" spans="1:15" ht="15.75" customHeight="1">
      <c r="A10" s="2400" t="str">
        <v/>
      </c>
      <c r="B10" s="572">
        <f ca="1"/>
        <v>0</v>
      </c>
      <c r="C10" s="573">
        <f ca="1"/>
        <v>0</v>
      </c>
      <c r="D10" s="573">
        <f ca="1"/>
        <v>0</v>
      </c>
      <c r="E10" s="573">
        <f ca="1"/>
        <v>0</v>
      </c>
      <c r="F10" s="573">
        <f ca="1"/>
        <v>0</v>
      </c>
      <c r="G10" s="573">
        <f ca="1"/>
        <v>0</v>
      </c>
      <c r="H10" s="573">
        <f ca="1"/>
        <v>0</v>
      </c>
      <c r="I10" s="573">
        <f ca="1"/>
        <v>0</v>
      </c>
      <c r="J10" s="573">
        <f ca="1"/>
        <v>0</v>
      </c>
      <c r="K10" s="573">
        <f ca="1"/>
        <v>0</v>
      </c>
      <c r="L10" s="573">
        <f ca="1"/>
        <v>0</v>
      </c>
      <c r="M10" s="593">
        <f ca="1"/>
        <v>0</v>
      </c>
      <c r="N10" s="574">
        <f t="shared" ca="1" si="0"/>
        <v>0</v>
      </c>
      <c r="O10" s="61"/>
    </row>
    <row r="11" spans="1:15" ht="15.75" customHeight="1">
      <c r="A11" s="2400" t="str">
        <v/>
      </c>
      <c r="B11" s="572">
        <f ca="1"/>
        <v>0</v>
      </c>
      <c r="C11" s="573">
        <f ca="1"/>
        <v>0</v>
      </c>
      <c r="D11" s="573">
        <f ca="1"/>
        <v>0</v>
      </c>
      <c r="E11" s="573">
        <f ca="1"/>
        <v>0</v>
      </c>
      <c r="F11" s="573">
        <f ca="1"/>
        <v>0</v>
      </c>
      <c r="G11" s="573">
        <f ca="1"/>
        <v>0</v>
      </c>
      <c r="H11" s="573">
        <f ca="1"/>
        <v>0</v>
      </c>
      <c r="I11" s="573">
        <f ca="1"/>
        <v>0</v>
      </c>
      <c r="J11" s="573">
        <f ca="1"/>
        <v>0</v>
      </c>
      <c r="K11" s="573">
        <f ca="1"/>
        <v>0</v>
      </c>
      <c r="L11" s="573">
        <f ca="1"/>
        <v>0</v>
      </c>
      <c r="M11" s="593">
        <f ca="1"/>
        <v>0</v>
      </c>
      <c r="N11" s="574">
        <f t="shared" ca="1" si="0"/>
        <v>0</v>
      </c>
      <c r="O11" s="61"/>
    </row>
    <row r="12" spans="1:15" ht="15.75" customHeight="1">
      <c r="A12" s="2400" t="str">
        <v/>
      </c>
      <c r="B12" s="572">
        <f ca="1"/>
        <v>0</v>
      </c>
      <c r="C12" s="573">
        <f ca="1"/>
        <v>0</v>
      </c>
      <c r="D12" s="573">
        <f ca="1"/>
        <v>0</v>
      </c>
      <c r="E12" s="573">
        <f ca="1"/>
        <v>0</v>
      </c>
      <c r="F12" s="573">
        <f ca="1"/>
        <v>0</v>
      </c>
      <c r="G12" s="573">
        <f ca="1"/>
        <v>0</v>
      </c>
      <c r="H12" s="573">
        <f ca="1"/>
        <v>0</v>
      </c>
      <c r="I12" s="573">
        <f ca="1"/>
        <v>0</v>
      </c>
      <c r="J12" s="573">
        <f ca="1"/>
        <v>0</v>
      </c>
      <c r="K12" s="573">
        <f ca="1"/>
        <v>0</v>
      </c>
      <c r="L12" s="573">
        <f ca="1"/>
        <v>0</v>
      </c>
      <c r="M12" s="593">
        <f ca="1"/>
        <v>0</v>
      </c>
      <c r="N12" s="574">
        <f t="shared" ca="1" si="0"/>
        <v>0</v>
      </c>
      <c r="O12" s="61"/>
    </row>
    <row r="13" spans="1:15" ht="15.75" customHeight="1">
      <c r="A13" s="2400" t="str">
        <v/>
      </c>
      <c r="B13" s="572">
        <f ca="1"/>
        <v>0</v>
      </c>
      <c r="C13" s="573">
        <f ca="1"/>
        <v>0</v>
      </c>
      <c r="D13" s="573">
        <f ca="1"/>
        <v>0</v>
      </c>
      <c r="E13" s="573">
        <f ca="1"/>
        <v>0</v>
      </c>
      <c r="F13" s="573">
        <f ca="1"/>
        <v>0</v>
      </c>
      <c r="G13" s="573">
        <f ca="1"/>
        <v>0</v>
      </c>
      <c r="H13" s="573">
        <f ca="1"/>
        <v>0</v>
      </c>
      <c r="I13" s="573">
        <f ca="1"/>
        <v>0</v>
      </c>
      <c r="J13" s="573">
        <f ca="1"/>
        <v>0</v>
      </c>
      <c r="K13" s="573">
        <f ca="1"/>
        <v>0</v>
      </c>
      <c r="L13" s="573">
        <f ca="1"/>
        <v>0</v>
      </c>
      <c r="M13" s="593">
        <f ca="1"/>
        <v>0</v>
      </c>
      <c r="N13" s="574">
        <f t="shared" ca="1" si="0"/>
        <v>0</v>
      </c>
      <c r="O13" s="61"/>
    </row>
    <row r="14" spans="1:15" ht="15.75" customHeight="1">
      <c r="A14" s="2400" t="str">
        <v/>
      </c>
      <c r="B14" s="572">
        <f ca="1"/>
        <v>0</v>
      </c>
      <c r="C14" s="573">
        <f ca="1"/>
        <v>0</v>
      </c>
      <c r="D14" s="573">
        <f ca="1"/>
        <v>0</v>
      </c>
      <c r="E14" s="573">
        <f ca="1"/>
        <v>0</v>
      </c>
      <c r="F14" s="573">
        <f ca="1"/>
        <v>0</v>
      </c>
      <c r="G14" s="573">
        <f ca="1"/>
        <v>0</v>
      </c>
      <c r="H14" s="573">
        <f ca="1"/>
        <v>0</v>
      </c>
      <c r="I14" s="573">
        <f ca="1"/>
        <v>0</v>
      </c>
      <c r="J14" s="573">
        <f ca="1"/>
        <v>0</v>
      </c>
      <c r="K14" s="573">
        <f ca="1"/>
        <v>0</v>
      </c>
      <c r="L14" s="573">
        <f ca="1"/>
        <v>0</v>
      </c>
      <c r="M14" s="593">
        <f ca="1"/>
        <v>0</v>
      </c>
      <c r="N14" s="574">
        <f t="shared" ca="1" si="0"/>
        <v>0</v>
      </c>
      <c r="O14" s="61"/>
    </row>
    <row r="15" spans="1:15" ht="15.75" customHeight="1" thickBot="1">
      <c r="A15" s="2401" t="str">
        <v/>
      </c>
      <c r="B15" s="575">
        <f ca="1"/>
        <v>0</v>
      </c>
      <c r="C15" s="576">
        <f ca="1"/>
        <v>0</v>
      </c>
      <c r="D15" s="576">
        <f ca="1"/>
        <v>0</v>
      </c>
      <c r="E15" s="576">
        <f ca="1"/>
        <v>0</v>
      </c>
      <c r="F15" s="576">
        <f ca="1"/>
        <v>0</v>
      </c>
      <c r="G15" s="576">
        <f ca="1"/>
        <v>0</v>
      </c>
      <c r="H15" s="576">
        <f ca="1"/>
        <v>0</v>
      </c>
      <c r="I15" s="576">
        <f ca="1"/>
        <v>0</v>
      </c>
      <c r="J15" s="576">
        <f ca="1"/>
        <v>0</v>
      </c>
      <c r="K15" s="576">
        <f ca="1"/>
        <v>0</v>
      </c>
      <c r="L15" s="576">
        <f ca="1"/>
        <v>0</v>
      </c>
      <c r="M15" s="594">
        <f ca="1"/>
        <v>0</v>
      </c>
      <c r="N15" s="577">
        <f t="shared" ca="1" si="0"/>
        <v>0</v>
      </c>
      <c r="O15" s="61"/>
    </row>
    <row r="16" spans="1:15" ht="15">
      <c r="A16" s="71"/>
    </row>
    <row r="17" spans="1:15" ht="15">
      <c r="A17" s="211"/>
    </row>
    <row r="18" spans="1:15" ht="18.75" thickBot="1">
      <c r="A18" s="1921" t="str">
        <f>'DC Distr 0'!A18</f>
        <v>Production Costs (Direct) Forecasts for the units sold during the year</v>
      </c>
      <c r="G18" s="2716" t="str">
        <f>$K$1</f>
        <v>Year 5 :   2031</v>
      </c>
      <c r="I18" s="1921" t="str">
        <f>'Base Data'!$A$28&amp;" NOT included"</f>
        <v>VAT NOT included</v>
      </c>
    </row>
    <row r="19" spans="1:15" s="440" customFormat="1" ht="15.75" customHeight="1" thickBot="1">
      <c r="A19" s="441" t="str">
        <f>'DC Distr 0'!A19</f>
        <v>Production Costs</v>
      </c>
      <c r="B19" s="439" t="str">
        <f t="array" ref="B19:M19">meses</f>
        <v>January</v>
      </c>
      <c r="C19" s="435" t="str">
        <v>February</v>
      </c>
      <c r="D19" s="435" t="str">
        <v>March</v>
      </c>
      <c r="E19" s="435" t="str">
        <v>April</v>
      </c>
      <c r="F19" s="435" t="str">
        <v>May</v>
      </c>
      <c r="G19" s="435" t="str">
        <v>June</v>
      </c>
      <c r="H19" s="435" t="str">
        <v>July</v>
      </c>
      <c r="I19" s="435" t="str">
        <v>August</v>
      </c>
      <c r="J19" s="435" t="str">
        <v>September</v>
      </c>
      <c r="K19" s="435" t="str">
        <v>October</v>
      </c>
      <c r="L19" s="435" t="str">
        <v>November</v>
      </c>
      <c r="M19" s="436" t="str">
        <v>December</v>
      </c>
      <c r="N19" s="433" t="str">
        <f>N$7</f>
        <v>Totals</v>
      </c>
    </row>
    <row r="20" spans="1:15" ht="15.75" customHeight="1">
      <c r="A20" s="2399" t="str">
        <f t="array" ref="A20:A27">productos</f>
        <v>product 1</v>
      </c>
      <c r="B20" s="578">
        <f t="array" aca="1" ref="B20:M27" ca="1">B8:M15*'Prices - DC'!$J19:$J26</f>
        <v>130.33392019800002</v>
      </c>
      <c r="C20" s="579">
        <f ca="1"/>
        <v>130.33392019800002</v>
      </c>
      <c r="D20" s="579">
        <f ca="1"/>
        <v>130.33392019800002</v>
      </c>
      <c r="E20" s="579">
        <f ca="1"/>
        <v>130.33392019800002</v>
      </c>
      <c r="F20" s="579">
        <f ca="1"/>
        <v>130.33392019800002</v>
      </c>
      <c r="G20" s="579">
        <f ca="1"/>
        <v>130.33392019800002</v>
      </c>
      <c r="H20" s="579">
        <f ca="1"/>
        <v>130.33392019800002</v>
      </c>
      <c r="I20" s="579">
        <f ca="1"/>
        <v>130.33392019800002</v>
      </c>
      <c r="J20" s="579">
        <f ca="1"/>
        <v>130.33392019800002</v>
      </c>
      <c r="K20" s="579">
        <f ca="1"/>
        <v>130.33392019800002</v>
      </c>
      <c r="L20" s="579">
        <f ca="1"/>
        <v>130.33392019800002</v>
      </c>
      <c r="M20" s="589">
        <f ca="1"/>
        <v>130.33392019800002</v>
      </c>
      <c r="N20" s="571">
        <f t="shared" ref="N20:N28" ca="1" si="1">SUM(B20:M20)</f>
        <v>1564.0070423760001</v>
      </c>
      <c r="O20" s="61"/>
    </row>
    <row r="21" spans="1:15" ht="15.75" customHeight="1">
      <c r="A21" s="2400" t="str">
        <v/>
      </c>
      <c r="B21" s="580">
        <f ca="1"/>
        <v>0</v>
      </c>
      <c r="C21" s="581">
        <f ca="1"/>
        <v>0</v>
      </c>
      <c r="D21" s="581">
        <f ca="1"/>
        <v>0</v>
      </c>
      <c r="E21" s="581">
        <f ca="1"/>
        <v>0</v>
      </c>
      <c r="F21" s="581">
        <f ca="1"/>
        <v>0</v>
      </c>
      <c r="G21" s="581">
        <f ca="1"/>
        <v>0</v>
      </c>
      <c r="H21" s="581">
        <f ca="1"/>
        <v>0</v>
      </c>
      <c r="I21" s="581">
        <f ca="1"/>
        <v>0</v>
      </c>
      <c r="J21" s="581">
        <f ca="1"/>
        <v>0</v>
      </c>
      <c r="K21" s="581">
        <f ca="1"/>
        <v>0</v>
      </c>
      <c r="L21" s="581">
        <f ca="1"/>
        <v>0</v>
      </c>
      <c r="M21" s="590">
        <f ca="1"/>
        <v>0</v>
      </c>
      <c r="N21" s="574">
        <f t="shared" ca="1" si="1"/>
        <v>0</v>
      </c>
      <c r="O21" s="61"/>
    </row>
    <row r="22" spans="1:15" ht="15.75" customHeight="1">
      <c r="A22" s="2400" t="str">
        <v/>
      </c>
      <c r="B22" s="580">
        <f ca="1"/>
        <v>0</v>
      </c>
      <c r="C22" s="581">
        <f ca="1"/>
        <v>0</v>
      </c>
      <c r="D22" s="581">
        <f ca="1"/>
        <v>0</v>
      </c>
      <c r="E22" s="581">
        <f ca="1"/>
        <v>0</v>
      </c>
      <c r="F22" s="581">
        <f ca="1"/>
        <v>0</v>
      </c>
      <c r="G22" s="581">
        <f ca="1"/>
        <v>0</v>
      </c>
      <c r="H22" s="581">
        <f ca="1"/>
        <v>0</v>
      </c>
      <c r="I22" s="581">
        <f ca="1"/>
        <v>0</v>
      </c>
      <c r="J22" s="581">
        <f ca="1"/>
        <v>0</v>
      </c>
      <c r="K22" s="581">
        <f ca="1"/>
        <v>0</v>
      </c>
      <c r="L22" s="581">
        <f ca="1"/>
        <v>0</v>
      </c>
      <c r="M22" s="590">
        <f ca="1"/>
        <v>0</v>
      </c>
      <c r="N22" s="574">
        <f t="shared" ca="1" si="1"/>
        <v>0</v>
      </c>
      <c r="O22" s="61"/>
    </row>
    <row r="23" spans="1:15" ht="15.75" customHeight="1">
      <c r="A23" s="2400" t="str">
        <v/>
      </c>
      <c r="B23" s="580">
        <f ca="1"/>
        <v>0</v>
      </c>
      <c r="C23" s="581">
        <f ca="1"/>
        <v>0</v>
      </c>
      <c r="D23" s="581">
        <f ca="1"/>
        <v>0</v>
      </c>
      <c r="E23" s="581">
        <f ca="1"/>
        <v>0</v>
      </c>
      <c r="F23" s="581">
        <f ca="1"/>
        <v>0</v>
      </c>
      <c r="G23" s="581">
        <f ca="1"/>
        <v>0</v>
      </c>
      <c r="H23" s="581">
        <f ca="1"/>
        <v>0</v>
      </c>
      <c r="I23" s="581">
        <f ca="1"/>
        <v>0</v>
      </c>
      <c r="J23" s="581">
        <f ca="1"/>
        <v>0</v>
      </c>
      <c r="K23" s="581">
        <f ca="1"/>
        <v>0</v>
      </c>
      <c r="L23" s="581">
        <f ca="1"/>
        <v>0</v>
      </c>
      <c r="M23" s="590">
        <f ca="1"/>
        <v>0</v>
      </c>
      <c r="N23" s="574">
        <f t="shared" ca="1" si="1"/>
        <v>0</v>
      </c>
      <c r="O23" s="61"/>
    </row>
    <row r="24" spans="1:15" ht="15.75" customHeight="1">
      <c r="A24" s="2400" t="str">
        <v/>
      </c>
      <c r="B24" s="580">
        <f ca="1"/>
        <v>0</v>
      </c>
      <c r="C24" s="581">
        <f ca="1"/>
        <v>0</v>
      </c>
      <c r="D24" s="581">
        <f ca="1"/>
        <v>0</v>
      </c>
      <c r="E24" s="581">
        <f ca="1"/>
        <v>0</v>
      </c>
      <c r="F24" s="581">
        <f ca="1"/>
        <v>0</v>
      </c>
      <c r="G24" s="581">
        <f ca="1"/>
        <v>0</v>
      </c>
      <c r="H24" s="581">
        <f ca="1"/>
        <v>0</v>
      </c>
      <c r="I24" s="581">
        <f ca="1"/>
        <v>0</v>
      </c>
      <c r="J24" s="581">
        <f ca="1"/>
        <v>0</v>
      </c>
      <c r="K24" s="581">
        <f ca="1"/>
        <v>0</v>
      </c>
      <c r="L24" s="581">
        <f ca="1"/>
        <v>0</v>
      </c>
      <c r="M24" s="590">
        <f ca="1"/>
        <v>0</v>
      </c>
      <c r="N24" s="574">
        <f t="shared" ca="1" si="1"/>
        <v>0</v>
      </c>
      <c r="O24" s="61"/>
    </row>
    <row r="25" spans="1:15" ht="15.75" customHeight="1">
      <c r="A25" s="2400" t="str">
        <v/>
      </c>
      <c r="B25" s="580">
        <f ca="1"/>
        <v>0</v>
      </c>
      <c r="C25" s="581">
        <f ca="1"/>
        <v>0</v>
      </c>
      <c r="D25" s="581">
        <f ca="1"/>
        <v>0</v>
      </c>
      <c r="E25" s="581">
        <f ca="1"/>
        <v>0</v>
      </c>
      <c r="F25" s="581">
        <f ca="1"/>
        <v>0</v>
      </c>
      <c r="G25" s="581">
        <f ca="1"/>
        <v>0</v>
      </c>
      <c r="H25" s="581">
        <f ca="1"/>
        <v>0</v>
      </c>
      <c r="I25" s="581">
        <f ca="1"/>
        <v>0</v>
      </c>
      <c r="J25" s="581">
        <f ca="1"/>
        <v>0</v>
      </c>
      <c r="K25" s="581">
        <f ca="1"/>
        <v>0</v>
      </c>
      <c r="L25" s="581">
        <f ca="1"/>
        <v>0</v>
      </c>
      <c r="M25" s="590">
        <f ca="1"/>
        <v>0</v>
      </c>
      <c r="N25" s="574">
        <f t="shared" ca="1" si="1"/>
        <v>0</v>
      </c>
      <c r="O25" s="61"/>
    </row>
    <row r="26" spans="1:15" ht="15.75" customHeight="1">
      <c r="A26" s="2400" t="str">
        <v/>
      </c>
      <c r="B26" s="580">
        <f ca="1"/>
        <v>0</v>
      </c>
      <c r="C26" s="581">
        <f ca="1"/>
        <v>0</v>
      </c>
      <c r="D26" s="581">
        <f ca="1"/>
        <v>0</v>
      </c>
      <c r="E26" s="581">
        <f ca="1"/>
        <v>0</v>
      </c>
      <c r="F26" s="581">
        <f ca="1"/>
        <v>0</v>
      </c>
      <c r="G26" s="581">
        <f ca="1"/>
        <v>0</v>
      </c>
      <c r="H26" s="581">
        <f ca="1"/>
        <v>0</v>
      </c>
      <c r="I26" s="581">
        <f ca="1"/>
        <v>0</v>
      </c>
      <c r="J26" s="581">
        <f ca="1"/>
        <v>0</v>
      </c>
      <c r="K26" s="581">
        <f ca="1"/>
        <v>0</v>
      </c>
      <c r="L26" s="581">
        <f ca="1"/>
        <v>0</v>
      </c>
      <c r="M26" s="590">
        <f ca="1"/>
        <v>0</v>
      </c>
      <c r="N26" s="574">
        <f t="shared" ca="1" si="1"/>
        <v>0</v>
      </c>
      <c r="O26" s="61"/>
    </row>
    <row r="27" spans="1:15" ht="15.75" customHeight="1" thickBot="1">
      <c r="A27" s="2402" t="str">
        <v/>
      </c>
      <c r="B27" s="582">
        <f ca="1"/>
        <v>0</v>
      </c>
      <c r="C27" s="583">
        <f ca="1"/>
        <v>0</v>
      </c>
      <c r="D27" s="583">
        <f ca="1"/>
        <v>0</v>
      </c>
      <c r="E27" s="583">
        <f ca="1"/>
        <v>0</v>
      </c>
      <c r="F27" s="583">
        <f ca="1"/>
        <v>0</v>
      </c>
      <c r="G27" s="583">
        <f ca="1"/>
        <v>0</v>
      </c>
      <c r="H27" s="583">
        <f ca="1"/>
        <v>0</v>
      </c>
      <c r="I27" s="583">
        <f ca="1"/>
        <v>0</v>
      </c>
      <c r="J27" s="583">
        <f ca="1"/>
        <v>0</v>
      </c>
      <c r="K27" s="583">
        <f ca="1"/>
        <v>0</v>
      </c>
      <c r="L27" s="583">
        <f ca="1"/>
        <v>0</v>
      </c>
      <c r="M27" s="591">
        <f ca="1"/>
        <v>0</v>
      </c>
      <c r="N27" s="584">
        <f t="shared" ca="1" si="1"/>
        <v>0</v>
      </c>
      <c r="O27" s="61"/>
    </row>
    <row r="28" spans="1:15" ht="15.75" customHeight="1" thickBot="1">
      <c r="A28" s="2403" t="s">
        <v>577</v>
      </c>
      <c r="B28" s="586">
        <f t="shared" ref="B28:M28" ca="1" si="2">SUM(B20:B27)</f>
        <v>130.33392019800002</v>
      </c>
      <c r="C28" s="587">
        <f t="shared" ca="1" si="2"/>
        <v>130.33392019800002</v>
      </c>
      <c r="D28" s="587">
        <f t="shared" ca="1" si="2"/>
        <v>130.33392019800002</v>
      </c>
      <c r="E28" s="587">
        <f t="shared" ca="1" si="2"/>
        <v>130.33392019800002</v>
      </c>
      <c r="F28" s="587">
        <f t="shared" ca="1" si="2"/>
        <v>130.33392019800002</v>
      </c>
      <c r="G28" s="587">
        <f t="shared" ca="1" si="2"/>
        <v>130.33392019800002</v>
      </c>
      <c r="H28" s="587">
        <f t="shared" ca="1" si="2"/>
        <v>130.33392019800002</v>
      </c>
      <c r="I28" s="587">
        <f t="shared" ca="1" si="2"/>
        <v>130.33392019800002</v>
      </c>
      <c r="J28" s="587">
        <f t="shared" ca="1" si="2"/>
        <v>130.33392019800002</v>
      </c>
      <c r="K28" s="587">
        <f t="shared" ca="1" si="2"/>
        <v>130.33392019800002</v>
      </c>
      <c r="L28" s="587">
        <f t="shared" ca="1" si="2"/>
        <v>130.33392019800002</v>
      </c>
      <c r="M28" s="588">
        <f t="shared" ca="1" si="2"/>
        <v>130.33392019800002</v>
      </c>
      <c r="N28" s="585">
        <f t="shared" ca="1" si="1"/>
        <v>1564.0070423760001</v>
      </c>
      <c r="O28" s="61"/>
    </row>
    <row r="29" spans="1:15" ht="15">
      <c r="A29" s="211"/>
    </row>
    <row r="30" spans="1:15" ht="15.75" thickBot="1">
      <c r="A30" s="211"/>
    </row>
    <row r="31" spans="1:15" ht="19.5" customHeight="1" thickBot="1">
      <c r="A31" s="441" t="str">
        <f>'DC Distr 0'!A31</f>
        <v>Input VAT Production Costs</v>
      </c>
      <c r="B31" s="439" t="str">
        <f t="array" ref="B31:M31">meses</f>
        <v>January</v>
      </c>
      <c r="C31" s="435" t="str">
        <v>February</v>
      </c>
      <c r="D31" s="435" t="str">
        <v>March</v>
      </c>
      <c r="E31" s="435" t="str">
        <v>April</v>
      </c>
      <c r="F31" s="435" t="str">
        <v>May</v>
      </c>
      <c r="G31" s="435" t="str">
        <v>June</v>
      </c>
      <c r="H31" s="435" t="str">
        <v>July</v>
      </c>
      <c r="I31" s="435" t="str">
        <v>August</v>
      </c>
      <c r="J31" s="435" t="str">
        <v>September</v>
      </c>
      <c r="K31" s="435" t="str">
        <v>October</v>
      </c>
      <c r="L31" s="435" t="str">
        <v>November</v>
      </c>
      <c r="M31" s="436" t="str">
        <v>December</v>
      </c>
      <c r="N31" s="433" t="str">
        <f>N$7</f>
        <v>Totals</v>
      </c>
    </row>
    <row r="32" spans="1:15" ht="15.75" customHeight="1">
      <c r="A32" s="2399" t="str">
        <f t="array" ref="A32:A39">productos</f>
        <v>product 1</v>
      </c>
      <c r="B32" s="578">
        <f t="array" aca="1" ref="B32:M39" ca="1">B20:M27*Parameters!$F24:$F31</f>
        <v>27.370123241580004</v>
      </c>
      <c r="C32" s="579">
        <f ca="1"/>
        <v>27.370123241580004</v>
      </c>
      <c r="D32" s="579">
        <f ca="1"/>
        <v>27.370123241580004</v>
      </c>
      <c r="E32" s="579">
        <f ca="1"/>
        <v>27.370123241580004</v>
      </c>
      <c r="F32" s="579">
        <f ca="1"/>
        <v>27.370123241580004</v>
      </c>
      <c r="G32" s="579">
        <f ca="1"/>
        <v>27.370123241580004</v>
      </c>
      <c r="H32" s="579">
        <f ca="1"/>
        <v>27.370123241580004</v>
      </c>
      <c r="I32" s="579">
        <f ca="1"/>
        <v>27.370123241580004</v>
      </c>
      <c r="J32" s="579">
        <f ca="1"/>
        <v>27.370123241580004</v>
      </c>
      <c r="K32" s="579">
        <f ca="1"/>
        <v>27.370123241580004</v>
      </c>
      <c r="L32" s="579">
        <f ca="1"/>
        <v>27.370123241580004</v>
      </c>
      <c r="M32" s="589">
        <f ca="1"/>
        <v>27.370123241580004</v>
      </c>
      <c r="N32" s="571">
        <f t="shared" ref="N32:N40" ca="1" si="3">SUM(B32:M32)</f>
        <v>328.44147889896016</v>
      </c>
      <c r="O32" s="61"/>
    </row>
    <row r="33" spans="1:15" ht="15.75" customHeight="1">
      <c r="A33" s="2400" t="str">
        <v/>
      </c>
      <c r="B33" s="580">
        <f ca="1"/>
        <v>0</v>
      </c>
      <c r="C33" s="581">
        <f ca="1"/>
        <v>0</v>
      </c>
      <c r="D33" s="581">
        <f ca="1"/>
        <v>0</v>
      </c>
      <c r="E33" s="581">
        <f ca="1"/>
        <v>0</v>
      </c>
      <c r="F33" s="581">
        <f ca="1"/>
        <v>0</v>
      </c>
      <c r="G33" s="581">
        <f ca="1"/>
        <v>0</v>
      </c>
      <c r="H33" s="581">
        <f ca="1"/>
        <v>0</v>
      </c>
      <c r="I33" s="581">
        <f ca="1"/>
        <v>0</v>
      </c>
      <c r="J33" s="581">
        <f ca="1"/>
        <v>0</v>
      </c>
      <c r="K33" s="581">
        <f ca="1"/>
        <v>0</v>
      </c>
      <c r="L33" s="581">
        <f ca="1"/>
        <v>0</v>
      </c>
      <c r="M33" s="590">
        <f ca="1"/>
        <v>0</v>
      </c>
      <c r="N33" s="574">
        <f t="shared" ca="1" si="3"/>
        <v>0</v>
      </c>
      <c r="O33" s="61"/>
    </row>
    <row r="34" spans="1:15" ht="15.75" customHeight="1">
      <c r="A34" s="2400" t="str">
        <v/>
      </c>
      <c r="B34" s="580">
        <f ca="1"/>
        <v>0</v>
      </c>
      <c r="C34" s="581">
        <f ca="1"/>
        <v>0</v>
      </c>
      <c r="D34" s="581">
        <f ca="1"/>
        <v>0</v>
      </c>
      <c r="E34" s="581">
        <f ca="1"/>
        <v>0</v>
      </c>
      <c r="F34" s="581">
        <f ca="1"/>
        <v>0</v>
      </c>
      <c r="G34" s="581">
        <f ca="1"/>
        <v>0</v>
      </c>
      <c r="H34" s="581">
        <f ca="1"/>
        <v>0</v>
      </c>
      <c r="I34" s="581">
        <f ca="1"/>
        <v>0</v>
      </c>
      <c r="J34" s="581">
        <f ca="1"/>
        <v>0</v>
      </c>
      <c r="K34" s="581">
        <f ca="1"/>
        <v>0</v>
      </c>
      <c r="L34" s="581">
        <f ca="1"/>
        <v>0</v>
      </c>
      <c r="M34" s="590">
        <f ca="1"/>
        <v>0</v>
      </c>
      <c r="N34" s="574">
        <f t="shared" ca="1" si="3"/>
        <v>0</v>
      </c>
      <c r="O34" s="61"/>
    </row>
    <row r="35" spans="1:15" ht="15.75" customHeight="1">
      <c r="A35" s="2400" t="str">
        <v/>
      </c>
      <c r="B35" s="580">
        <f ca="1"/>
        <v>0</v>
      </c>
      <c r="C35" s="581">
        <f ca="1"/>
        <v>0</v>
      </c>
      <c r="D35" s="581">
        <f ca="1"/>
        <v>0</v>
      </c>
      <c r="E35" s="581">
        <f ca="1"/>
        <v>0</v>
      </c>
      <c r="F35" s="581">
        <f ca="1"/>
        <v>0</v>
      </c>
      <c r="G35" s="581">
        <f ca="1"/>
        <v>0</v>
      </c>
      <c r="H35" s="581">
        <f ca="1"/>
        <v>0</v>
      </c>
      <c r="I35" s="581">
        <f ca="1"/>
        <v>0</v>
      </c>
      <c r="J35" s="581">
        <f ca="1"/>
        <v>0</v>
      </c>
      <c r="K35" s="581">
        <f ca="1"/>
        <v>0</v>
      </c>
      <c r="L35" s="581">
        <f ca="1"/>
        <v>0</v>
      </c>
      <c r="M35" s="590">
        <f ca="1"/>
        <v>0</v>
      </c>
      <c r="N35" s="574">
        <f t="shared" ca="1" si="3"/>
        <v>0</v>
      </c>
      <c r="O35" s="61"/>
    </row>
    <row r="36" spans="1:15" ht="15.75" customHeight="1">
      <c r="A36" s="2400" t="str">
        <v/>
      </c>
      <c r="B36" s="580">
        <f ca="1"/>
        <v>0</v>
      </c>
      <c r="C36" s="581">
        <f ca="1"/>
        <v>0</v>
      </c>
      <c r="D36" s="581">
        <f ca="1"/>
        <v>0</v>
      </c>
      <c r="E36" s="581">
        <f ca="1"/>
        <v>0</v>
      </c>
      <c r="F36" s="581">
        <f ca="1"/>
        <v>0</v>
      </c>
      <c r="G36" s="581">
        <f ca="1"/>
        <v>0</v>
      </c>
      <c r="H36" s="581">
        <f ca="1"/>
        <v>0</v>
      </c>
      <c r="I36" s="581">
        <f ca="1"/>
        <v>0</v>
      </c>
      <c r="J36" s="581">
        <f ca="1"/>
        <v>0</v>
      </c>
      <c r="K36" s="581">
        <f ca="1"/>
        <v>0</v>
      </c>
      <c r="L36" s="581">
        <f ca="1"/>
        <v>0</v>
      </c>
      <c r="M36" s="590">
        <f ca="1"/>
        <v>0</v>
      </c>
      <c r="N36" s="574">
        <f t="shared" ca="1" si="3"/>
        <v>0</v>
      </c>
      <c r="O36" s="61"/>
    </row>
    <row r="37" spans="1:15" ht="15.75" customHeight="1">
      <c r="A37" s="2400" t="str">
        <v/>
      </c>
      <c r="B37" s="580">
        <f ca="1"/>
        <v>0</v>
      </c>
      <c r="C37" s="581">
        <f ca="1"/>
        <v>0</v>
      </c>
      <c r="D37" s="581">
        <f ca="1"/>
        <v>0</v>
      </c>
      <c r="E37" s="581">
        <f ca="1"/>
        <v>0</v>
      </c>
      <c r="F37" s="581">
        <f ca="1"/>
        <v>0</v>
      </c>
      <c r="G37" s="581">
        <f ca="1"/>
        <v>0</v>
      </c>
      <c r="H37" s="581">
        <f ca="1"/>
        <v>0</v>
      </c>
      <c r="I37" s="581">
        <f ca="1"/>
        <v>0</v>
      </c>
      <c r="J37" s="581">
        <f ca="1"/>
        <v>0</v>
      </c>
      <c r="K37" s="581">
        <f ca="1"/>
        <v>0</v>
      </c>
      <c r="L37" s="581">
        <f ca="1"/>
        <v>0</v>
      </c>
      <c r="M37" s="590">
        <f ca="1"/>
        <v>0</v>
      </c>
      <c r="N37" s="574">
        <f t="shared" ca="1" si="3"/>
        <v>0</v>
      </c>
      <c r="O37" s="61"/>
    </row>
    <row r="38" spans="1:15" ht="15.75" customHeight="1">
      <c r="A38" s="2400" t="str">
        <v/>
      </c>
      <c r="B38" s="580">
        <f ca="1"/>
        <v>0</v>
      </c>
      <c r="C38" s="581">
        <f ca="1"/>
        <v>0</v>
      </c>
      <c r="D38" s="581">
        <f ca="1"/>
        <v>0</v>
      </c>
      <c r="E38" s="581">
        <f ca="1"/>
        <v>0</v>
      </c>
      <c r="F38" s="581">
        <f ca="1"/>
        <v>0</v>
      </c>
      <c r="G38" s="581">
        <f ca="1"/>
        <v>0</v>
      </c>
      <c r="H38" s="581">
        <f ca="1"/>
        <v>0</v>
      </c>
      <c r="I38" s="581">
        <f ca="1"/>
        <v>0</v>
      </c>
      <c r="J38" s="581">
        <f ca="1"/>
        <v>0</v>
      </c>
      <c r="K38" s="581">
        <f ca="1"/>
        <v>0</v>
      </c>
      <c r="L38" s="581">
        <f ca="1"/>
        <v>0</v>
      </c>
      <c r="M38" s="590">
        <f ca="1"/>
        <v>0</v>
      </c>
      <c r="N38" s="574">
        <f t="shared" ca="1" si="3"/>
        <v>0</v>
      </c>
      <c r="O38" s="61"/>
    </row>
    <row r="39" spans="1:15" ht="15.75" customHeight="1" thickBot="1">
      <c r="A39" s="2402" t="str">
        <v/>
      </c>
      <c r="B39" s="582">
        <f ca="1"/>
        <v>0</v>
      </c>
      <c r="C39" s="583">
        <f ca="1"/>
        <v>0</v>
      </c>
      <c r="D39" s="583">
        <f ca="1"/>
        <v>0</v>
      </c>
      <c r="E39" s="583">
        <f ca="1"/>
        <v>0</v>
      </c>
      <c r="F39" s="583">
        <f ca="1"/>
        <v>0</v>
      </c>
      <c r="G39" s="583">
        <f ca="1"/>
        <v>0</v>
      </c>
      <c r="H39" s="583">
        <f ca="1"/>
        <v>0</v>
      </c>
      <c r="I39" s="583">
        <f ca="1"/>
        <v>0</v>
      </c>
      <c r="J39" s="583">
        <f ca="1"/>
        <v>0</v>
      </c>
      <c r="K39" s="583">
        <f ca="1"/>
        <v>0</v>
      </c>
      <c r="L39" s="583">
        <f ca="1"/>
        <v>0</v>
      </c>
      <c r="M39" s="591">
        <f ca="1"/>
        <v>0</v>
      </c>
      <c r="N39" s="584">
        <f t="shared" ca="1" si="3"/>
        <v>0</v>
      </c>
      <c r="O39" s="61"/>
    </row>
    <row r="40" spans="1:15" ht="15.75" customHeight="1" thickBot="1">
      <c r="A40" s="2403" t="str">
        <f>A$28</f>
        <v>Monthly Totals</v>
      </c>
      <c r="B40" s="586">
        <f t="shared" ref="B40:M40" ca="1" si="4">SUM(B32:B39)</f>
        <v>27.370123241580004</v>
      </c>
      <c r="C40" s="587">
        <f t="shared" ca="1" si="4"/>
        <v>27.370123241580004</v>
      </c>
      <c r="D40" s="587">
        <f t="shared" ca="1" si="4"/>
        <v>27.370123241580004</v>
      </c>
      <c r="E40" s="587">
        <f t="shared" ca="1" si="4"/>
        <v>27.370123241580004</v>
      </c>
      <c r="F40" s="587">
        <f t="shared" ca="1" si="4"/>
        <v>27.370123241580004</v>
      </c>
      <c r="G40" s="587">
        <f t="shared" ca="1" si="4"/>
        <v>27.370123241580004</v>
      </c>
      <c r="H40" s="587">
        <f t="shared" ca="1" si="4"/>
        <v>27.370123241580004</v>
      </c>
      <c r="I40" s="587">
        <f t="shared" ca="1" si="4"/>
        <v>27.370123241580004</v>
      </c>
      <c r="J40" s="587">
        <f t="shared" ca="1" si="4"/>
        <v>27.370123241580004</v>
      </c>
      <c r="K40" s="587">
        <f t="shared" ca="1" si="4"/>
        <v>27.370123241580004</v>
      </c>
      <c r="L40" s="587">
        <f t="shared" ca="1" si="4"/>
        <v>27.370123241580004</v>
      </c>
      <c r="M40" s="588">
        <f t="shared" ca="1" si="4"/>
        <v>27.370123241580004</v>
      </c>
      <c r="N40" s="585">
        <f t="shared" ca="1" si="3"/>
        <v>328.44147889896016</v>
      </c>
      <c r="O40" s="61"/>
    </row>
    <row r="41" spans="1:15" ht="15">
      <c r="A41" s="211"/>
    </row>
    <row r="42" spans="1:15" ht="15">
      <c r="A42" s="211"/>
    </row>
    <row r="43" spans="1:15" ht="15">
      <c r="A43" s="211"/>
    </row>
    <row r="44" spans="1:15" ht="18.75" thickBot="1">
      <c r="A44" s="1921" t="str">
        <f>'DC Distr 0'!A44</f>
        <v>Production Costs during the year</v>
      </c>
      <c r="G44" s="2717" t="str">
        <f>$K$1</f>
        <v>Year 5 :   2031</v>
      </c>
      <c r="I44" s="1921" t="str">
        <f>I$18</f>
        <v>VAT NOT included</v>
      </c>
    </row>
    <row r="45" spans="1:15" s="440" customFormat="1" ht="15.75" customHeight="1" thickBot="1">
      <c r="A45" s="441" t="str">
        <f>A$19</f>
        <v>Production Costs</v>
      </c>
      <c r="B45" s="439" t="str">
        <f t="array" ref="B45:M45">meses</f>
        <v>January</v>
      </c>
      <c r="C45" s="435" t="str">
        <v>February</v>
      </c>
      <c r="D45" s="435" t="str">
        <v>March</v>
      </c>
      <c r="E45" s="435" t="str">
        <v>April</v>
      </c>
      <c r="F45" s="435" t="str">
        <v>May</v>
      </c>
      <c r="G45" s="435" t="str">
        <v>June</v>
      </c>
      <c r="H45" s="435" t="str">
        <v>July</v>
      </c>
      <c r="I45" s="435" t="str">
        <v>August</v>
      </c>
      <c r="J45" s="435" t="str">
        <v>September</v>
      </c>
      <c r="K45" s="435" t="str">
        <v>October</v>
      </c>
      <c r="L45" s="435" t="str">
        <v>November</v>
      </c>
      <c r="M45" s="436" t="str">
        <v>December</v>
      </c>
      <c r="N45" s="433" t="s">
        <v>554</v>
      </c>
    </row>
    <row r="46" spans="1:15" ht="15.75" customHeight="1">
      <c r="A46" s="2399" t="str">
        <f t="array" ref="A46:A53">productos</f>
        <v>product 1</v>
      </c>
      <c r="B46" s="578">
        <f t="array" aca="1" ref="B46:M46" ca="1">N124:Y124</f>
        <v>130.33392019800002</v>
      </c>
      <c r="C46" s="579">
        <f ca="1"/>
        <v>130.33392019800002</v>
      </c>
      <c r="D46" s="579">
        <f ca="1"/>
        <v>130.33392019800002</v>
      </c>
      <c r="E46" s="579">
        <f ca="1"/>
        <v>130.33392019800002</v>
      </c>
      <c r="F46" s="579">
        <f ca="1"/>
        <v>130.33392019800002</v>
      </c>
      <c r="G46" s="579">
        <f ca="1"/>
        <v>130.33392019800002</v>
      </c>
      <c r="H46" s="579">
        <f ca="1"/>
        <v>130.33392019800002</v>
      </c>
      <c r="I46" s="579">
        <f ca="1"/>
        <v>130.33392019800002</v>
      </c>
      <c r="J46" s="579">
        <f ca="1"/>
        <v>130.33392019800002</v>
      </c>
      <c r="K46" s="579">
        <f ca="1"/>
        <v>130.33392019800002</v>
      </c>
      <c r="L46" s="579">
        <f ca="1"/>
        <v>130.33392019800002</v>
      </c>
      <c r="M46" s="589">
        <f ca="1"/>
        <v>130.33392019800002</v>
      </c>
      <c r="N46" s="571">
        <f t="shared" ref="N46:N54" ca="1" si="5">SUM(B46:M46)</f>
        <v>1564.0070423760001</v>
      </c>
      <c r="O46" s="61"/>
    </row>
    <row r="47" spans="1:15" ht="15.75" customHeight="1">
      <c r="A47" s="2400" t="str">
        <v/>
      </c>
      <c r="B47" s="580">
        <f t="array" aca="1" ref="B47:M47" ca="1">N142:Y142</f>
        <v>0</v>
      </c>
      <c r="C47" s="581">
        <f ca="1"/>
        <v>0</v>
      </c>
      <c r="D47" s="581">
        <f ca="1"/>
        <v>0</v>
      </c>
      <c r="E47" s="581">
        <f ca="1"/>
        <v>0</v>
      </c>
      <c r="F47" s="581">
        <f ca="1"/>
        <v>0</v>
      </c>
      <c r="G47" s="581">
        <f ca="1"/>
        <v>0</v>
      </c>
      <c r="H47" s="581">
        <f ca="1"/>
        <v>0</v>
      </c>
      <c r="I47" s="581">
        <f ca="1"/>
        <v>0</v>
      </c>
      <c r="J47" s="581">
        <f ca="1"/>
        <v>0</v>
      </c>
      <c r="K47" s="581">
        <f ca="1"/>
        <v>0</v>
      </c>
      <c r="L47" s="581">
        <f ca="1"/>
        <v>0</v>
      </c>
      <c r="M47" s="590">
        <f ca="1"/>
        <v>0</v>
      </c>
      <c r="N47" s="574">
        <f t="shared" ca="1" si="5"/>
        <v>0</v>
      </c>
      <c r="O47" s="61"/>
    </row>
    <row r="48" spans="1:15" ht="15.75" customHeight="1">
      <c r="A48" s="2400" t="str">
        <v/>
      </c>
      <c r="B48" s="580">
        <f t="array" aca="1" ref="B48:M48" ca="1">N160:Y160</f>
        <v>0</v>
      </c>
      <c r="C48" s="581">
        <f ca="1"/>
        <v>0</v>
      </c>
      <c r="D48" s="581">
        <f ca="1"/>
        <v>0</v>
      </c>
      <c r="E48" s="581">
        <f ca="1"/>
        <v>0</v>
      </c>
      <c r="F48" s="581">
        <f ca="1"/>
        <v>0</v>
      </c>
      <c r="G48" s="581">
        <f ca="1"/>
        <v>0</v>
      </c>
      <c r="H48" s="581">
        <f ca="1"/>
        <v>0</v>
      </c>
      <c r="I48" s="581">
        <f ca="1"/>
        <v>0</v>
      </c>
      <c r="J48" s="581">
        <f ca="1"/>
        <v>0</v>
      </c>
      <c r="K48" s="581">
        <f ca="1"/>
        <v>0</v>
      </c>
      <c r="L48" s="581">
        <f ca="1"/>
        <v>0</v>
      </c>
      <c r="M48" s="590">
        <f ca="1"/>
        <v>0</v>
      </c>
      <c r="N48" s="574">
        <f t="shared" ca="1" si="5"/>
        <v>0</v>
      </c>
      <c r="O48" s="61"/>
    </row>
    <row r="49" spans="1:15" ht="15.75" customHeight="1">
      <c r="A49" s="2400" t="str">
        <v/>
      </c>
      <c r="B49" s="580">
        <f t="array" aca="1" ref="B49:M49" ca="1">N178:Y178</f>
        <v>0</v>
      </c>
      <c r="C49" s="581">
        <f ca="1"/>
        <v>0</v>
      </c>
      <c r="D49" s="581">
        <f ca="1"/>
        <v>0</v>
      </c>
      <c r="E49" s="581">
        <f ca="1"/>
        <v>0</v>
      </c>
      <c r="F49" s="581">
        <f ca="1"/>
        <v>0</v>
      </c>
      <c r="G49" s="581">
        <f ca="1"/>
        <v>0</v>
      </c>
      <c r="H49" s="581">
        <f ca="1"/>
        <v>0</v>
      </c>
      <c r="I49" s="581">
        <f ca="1"/>
        <v>0</v>
      </c>
      <c r="J49" s="581">
        <f ca="1"/>
        <v>0</v>
      </c>
      <c r="K49" s="581">
        <f ca="1"/>
        <v>0</v>
      </c>
      <c r="L49" s="581">
        <f ca="1"/>
        <v>0</v>
      </c>
      <c r="M49" s="590">
        <f ca="1"/>
        <v>0</v>
      </c>
      <c r="N49" s="574">
        <f t="shared" ca="1" si="5"/>
        <v>0</v>
      </c>
      <c r="O49" s="61"/>
    </row>
    <row r="50" spans="1:15" ht="15.75" customHeight="1">
      <c r="A50" s="2400" t="str">
        <v/>
      </c>
      <c r="B50" s="580">
        <f t="array" aca="1" ref="B50:M50" ca="1">N196:Y196</f>
        <v>0</v>
      </c>
      <c r="C50" s="581">
        <f ca="1"/>
        <v>0</v>
      </c>
      <c r="D50" s="581">
        <f ca="1"/>
        <v>0</v>
      </c>
      <c r="E50" s="581">
        <f ca="1"/>
        <v>0</v>
      </c>
      <c r="F50" s="581">
        <f ca="1"/>
        <v>0</v>
      </c>
      <c r="G50" s="581">
        <f ca="1"/>
        <v>0</v>
      </c>
      <c r="H50" s="581">
        <f ca="1"/>
        <v>0</v>
      </c>
      <c r="I50" s="581">
        <f ca="1"/>
        <v>0</v>
      </c>
      <c r="J50" s="581">
        <f ca="1"/>
        <v>0</v>
      </c>
      <c r="K50" s="581">
        <f ca="1"/>
        <v>0</v>
      </c>
      <c r="L50" s="581">
        <f ca="1"/>
        <v>0</v>
      </c>
      <c r="M50" s="590">
        <f ca="1"/>
        <v>0</v>
      </c>
      <c r="N50" s="574">
        <f t="shared" ca="1" si="5"/>
        <v>0</v>
      </c>
      <c r="O50" s="61"/>
    </row>
    <row r="51" spans="1:15" ht="15.75" customHeight="1">
      <c r="A51" s="2400" t="str">
        <v/>
      </c>
      <c r="B51" s="580">
        <f t="array" aca="1" ref="B51:M51" ca="1">N214:Y214</f>
        <v>0</v>
      </c>
      <c r="C51" s="581">
        <f ca="1"/>
        <v>0</v>
      </c>
      <c r="D51" s="581">
        <f ca="1"/>
        <v>0</v>
      </c>
      <c r="E51" s="581">
        <f ca="1"/>
        <v>0</v>
      </c>
      <c r="F51" s="581">
        <f ca="1"/>
        <v>0</v>
      </c>
      <c r="G51" s="581">
        <f ca="1"/>
        <v>0</v>
      </c>
      <c r="H51" s="581">
        <f ca="1"/>
        <v>0</v>
      </c>
      <c r="I51" s="581">
        <f ca="1"/>
        <v>0</v>
      </c>
      <c r="J51" s="581">
        <f ca="1"/>
        <v>0</v>
      </c>
      <c r="K51" s="581">
        <f ca="1"/>
        <v>0</v>
      </c>
      <c r="L51" s="581">
        <f ca="1"/>
        <v>0</v>
      </c>
      <c r="M51" s="590">
        <f ca="1"/>
        <v>0</v>
      </c>
      <c r="N51" s="574">
        <f t="shared" ca="1" si="5"/>
        <v>0</v>
      </c>
      <c r="O51" s="61"/>
    </row>
    <row r="52" spans="1:15" ht="15.75" customHeight="1">
      <c r="A52" s="2400" t="str">
        <v/>
      </c>
      <c r="B52" s="580">
        <f t="array" aca="1" ref="B52:M52" ca="1">N232:Y232</f>
        <v>0</v>
      </c>
      <c r="C52" s="581">
        <f ca="1"/>
        <v>0</v>
      </c>
      <c r="D52" s="581">
        <f ca="1"/>
        <v>0</v>
      </c>
      <c r="E52" s="581">
        <f ca="1"/>
        <v>0</v>
      </c>
      <c r="F52" s="581">
        <f ca="1"/>
        <v>0</v>
      </c>
      <c r="G52" s="581">
        <f ca="1"/>
        <v>0</v>
      </c>
      <c r="H52" s="581">
        <f ca="1"/>
        <v>0</v>
      </c>
      <c r="I52" s="581">
        <f ca="1"/>
        <v>0</v>
      </c>
      <c r="J52" s="581">
        <f ca="1"/>
        <v>0</v>
      </c>
      <c r="K52" s="581">
        <f ca="1"/>
        <v>0</v>
      </c>
      <c r="L52" s="581">
        <f ca="1"/>
        <v>0</v>
      </c>
      <c r="M52" s="590">
        <f ca="1"/>
        <v>0</v>
      </c>
      <c r="N52" s="574">
        <f t="shared" ca="1" si="5"/>
        <v>0</v>
      </c>
      <c r="O52" s="61"/>
    </row>
    <row r="53" spans="1:15" ht="15.75" customHeight="1" thickBot="1">
      <c r="A53" s="2402" t="str">
        <v/>
      </c>
      <c r="B53" s="582">
        <f t="array" aca="1" ref="B53:M53" ca="1">N250:Y250</f>
        <v>0</v>
      </c>
      <c r="C53" s="583">
        <f ca="1"/>
        <v>0</v>
      </c>
      <c r="D53" s="583">
        <f ca="1"/>
        <v>0</v>
      </c>
      <c r="E53" s="583">
        <f ca="1"/>
        <v>0</v>
      </c>
      <c r="F53" s="583">
        <f ca="1"/>
        <v>0</v>
      </c>
      <c r="G53" s="583">
        <f ca="1"/>
        <v>0</v>
      </c>
      <c r="H53" s="583">
        <f ca="1"/>
        <v>0</v>
      </c>
      <c r="I53" s="583">
        <f ca="1"/>
        <v>0</v>
      </c>
      <c r="J53" s="583">
        <f ca="1"/>
        <v>0</v>
      </c>
      <c r="K53" s="583">
        <f ca="1"/>
        <v>0</v>
      </c>
      <c r="L53" s="583">
        <f ca="1"/>
        <v>0</v>
      </c>
      <c r="M53" s="591">
        <f ca="1"/>
        <v>0</v>
      </c>
      <c r="N53" s="584">
        <f t="shared" ca="1" si="5"/>
        <v>0</v>
      </c>
      <c r="O53" s="61"/>
    </row>
    <row r="54" spans="1:15" ht="15.75" customHeight="1" thickBot="1">
      <c r="A54" s="2403" t="s">
        <v>577</v>
      </c>
      <c r="B54" s="586">
        <f t="shared" ref="B54:M54" ca="1" si="6">SUM(B46:B53)</f>
        <v>130.33392019800002</v>
      </c>
      <c r="C54" s="587">
        <f t="shared" ca="1" si="6"/>
        <v>130.33392019800002</v>
      </c>
      <c r="D54" s="587">
        <f t="shared" ca="1" si="6"/>
        <v>130.33392019800002</v>
      </c>
      <c r="E54" s="587">
        <f t="shared" ca="1" si="6"/>
        <v>130.33392019800002</v>
      </c>
      <c r="F54" s="587">
        <f t="shared" ca="1" si="6"/>
        <v>130.33392019800002</v>
      </c>
      <c r="G54" s="587">
        <f t="shared" ca="1" si="6"/>
        <v>130.33392019800002</v>
      </c>
      <c r="H54" s="587">
        <f t="shared" ca="1" si="6"/>
        <v>130.33392019800002</v>
      </c>
      <c r="I54" s="587">
        <f t="shared" ca="1" si="6"/>
        <v>130.33392019800002</v>
      </c>
      <c r="J54" s="587">
        <f t="shared" ca="1" si="6"/>
        <v>130.33392019800002</v>
      </c>
      <c r="K54" s="587">
        <f t="shared" ca="1" si="6"/>
        <v>130.33392019800002</v>
      </c>
      <c r="L54" s="587">
        <f t="shared" ca="1" si="6"/>
        <v>130.33392019800002</v>
      </c>
      <c r="M54" s="588">
        <f t="shared" ca="1" si="6"/>
        <v>130.33392019800002</v>
      </c>
      <c r="N54" s="585">
        <f t="shared" ca="1" si="5"/>
        <v>1564.0070423760001</v>
      </c>
      <c r="O54" s="61"/>
    </row>
    <row r="55" spans="1:15">
      <c r="A55" s="981" t="s">
        <v>610</v>
      </c>
      <c r="B55" s="981">
        <f ca="1">SUM(B124:M124,B142:M142,B160:M160,B178:M178,B196:M196,B214:M214,B232:M232,B250:M250)</f>
        <v>0</v>
      </c>
    </row>
    <row r="57" spans="1:15" ht="18.75" thickBot="1">
      <c r="A57" s="1921" t="str">
        <f>'DC Distr 0'!A57</f>
        <v>Input VAT of production costs for year</v>
      </c>
      <c r="G57" s="2717" t="str">
        <f>$K$1</f>
        <v>Year 5 :   2031</v>
      </c>
      <c r="I57" s="1921"/>
    </row>
    <row r="58" spans="1:15" s="440" customFormat="1" ht="15.75" customHeight="1" thickBot="1">
      <c r="A58" s="441" t="str">
        <f>A$19</f>
        <v>Production Costs</v>
      </c>
      <c r="B58" s="439" t="str">
        <f t="array" ref="B58:M58">meses</f>
        <v>January</v>
      </c>
      <c r="C58" s="435" t="str">
        <v>February</v>
      </c>
      <c r="D58" s="435" t="str">
        <v>March</v>
      </c>
      <c r="E58" s="435" t="str">
        <v>April</v>
      </c>
      <c r="F58" s="435" t="str">
        <v>May</v>
      </c>
      <c r="G58" s="435" t="str">
        <v>June</v>
      </c>
      <c r="H58" s="435" t="str">
        <v>July</v>
      </c>
      <c r="I58" s="435" t="str">
        <v>August</v>
      </c>
      <c r="J58" s="435" t="str">
        <v>September</v>
      </c>
      <c r="K58" s="435" t="str">
        <v>October</v>
      </c>
      <c r="L58" s="435" t="str">
        <v>November</v>
      </c>
      <c r="M58" s="436" t="str">
        <v>December</v>
      </c>
      <c r="N58" s="433" t="s">
        <v>554</v>
      </c>
    </row>
    <row r="59" spans="1:15" ht="15.75" customHeight="1">
      <c r="A59" s="2399" t="str">
        <f t="array" ref="A59:A66">productos</f>
        <v>product 1</v>
      </c>
      <c r="B59" s="578">
        <f t="array" aca="1" ref="B59:M59" ca="1">N125:Y125</f>
        <v>27.370123241580004</v>
      </c>
      <c r="C59" s="579">
        <f ca="1"/>
        <v>27.370123241580004</v>
      </c>
      <c r="D59" s="579">
        <f ca="1"/>
        <v>27.370123241580004</v>
      </c>
      <c r="E59" s="579">
        <f ca="1"/>
        <v>27.370123241580004</v>
      </c>
      <c r="F59" s="579">
        <f ca="1"/>
        <v>27.370123241580004</v>
      </c>
      <c r="G59" s="579">
        <f ca="1"/>
        <v>27.370123241580004</v>
      </c>
      <c r="H59" s="579">
        <f ca="1"/>
        <v>27.370123241580004</v>
      </c>
      <c r="I59" s="579">
        <f ca="1"/>
        <v>27.370123241580004</v>
      </c>
      <c r="J59" s="579">
        <f ca="1"/>
        <v>27.370123241580004</v>
      </c>
      <c r="K59" s="579">
        <f ca="1"/>
        <v>27.370123241580004</v>
      </c>
      <c r="L59" s="579">
        <f ca="1"/>
        <v>27.370123241580004</v>
      </c>
      <c r="M59" s="589">
        <f ca="1"/>
        <v>27.370123241580004</v>
      </c>
      <c r="N59" s="571">
        <f t="shared" ref="N59:N67" ca="1" si="7">SUM(B59:M59)</f>
        <v>328.44147889896016</v>
      </c>
      <c r="O59" s="61"/>
    </row>
    <row r="60" spans="1:15" ht="15.75" customHeight="1">
      <c r="A60" s="2400" t="str">
        <v/>
      </c>
      <c r="B60" s="580">
        <f t="array" aca="1" ref="B60:M60" ca="1">N143:Y143</f>
        <v>0</v>
      </c>
      <c r="C60" s="581">
        <f ca="1"/>
        <v>0</v>
      </c>
      <c r="D60" s="581">
        <f ca="1"/>
        <v>0</v>
      </c>
      <c r="E60" s="581">
        <f ca="1"/>
        <v>0</v>
      </c>
      <c r="F60" s="581">
        <f ca="1"/>
        <v>0</v>
      </c>
      <c r="G60" s="581">
        <f ca="1"/>
        <v>0</v>
      </c>
      <c r="H60" s="581">
        <f ca="1"/>
        <v>0</v>
      </c>
      <c r="I60" s="581">
        <f ca="1"/>
        <v>0</v>
      </c>
      <c r="J60" s="581">
        <f ca="1"/>
        <v>0</v>
      </c>
      <c r="K60" s="581">
        <f ca="1"/>
        <v>0</v>
      </c>
      <c r="L60" s="581">
        <f ca="1"/>
        <v>0</v>
      </c>
      <c r="M60" s="590">
        <f ca="1"/>
        <v>0</v>
      </c>
      <c r="N60" s="574">
        <f t="shared" ca="1" si="7"/>
        <v>0</v>
      </c>
      <c r="O60" s="61"/>
    </row>
    <row r="61" spans="1:15" ht="15.75" customHeight="1">
      <c r="A61" s="2400" t="str">
        <v/>
      </c>
      <c r="B61" s="580">
        <f t="array" aca="1" ref="B61:M61" ca="1">N161:Y161</f>
        <v>0</v>
      </c>
      <c r="C61" s="581">
        <f ca="1"/>
        <v>0</v>
      </c>
      <c r="D61" s="581">
        <f ca="1"/>
        <v>0</v>
      </c>
      <c r="E61" s="581">
        <f ca="1"/>
        <v>0</v>
      </c>
      <c r="F61" s="581">
        <f ca="1"/>
        <v>0</v>
      </c>
      <c r="G61" s="581">
        <f ca="1"/>
        <v>0</v>
      </c>
      <c r="H61" s="581">
        <f ca="1"/>
        <v>0</v>
      </c>
      <c r="I61" s="581">
        <f ca="1"/>
        <v>0</v>
      </c>
      <c r="J61" s="581">
        <f ca="1"/>
        <v>0</v>
      </c>
      <c r="K61" s="581">
        <f ca="1"/>
        <v>0</v>
      </c>
      <c r="L61" s="581">
        <f ca="1"/>
        <v>0</v>
      </c>
      <c r="M61" s="590">
        <f ca="1"/>
        <v>0</v>
      </c>
      <c r="N61" s="574">
        <f t="shared" ca="1" si="7"/>
        <v>0</v>
      </c>
      <c r="O61" s="61"/>
    </row>
    <row r="62" spans="1:15" ht="15.75" customHeight="1">
      <c r="A62" s="2400" t="str">
        <v/>
      </c>
      <c r="B62" s="580">
        <f t="array" aca="1" ref="B62:M62" ca="1">N179:Y179</f>
        <v>0</v>
      </c>
      <c r="C62" s="581">
        <f ca="1"/>
        <v>0</v>
      </c>
      <c r="D62" s="581">
        <f ca="1"/>
        <v>0</v>
      </c>
      <c r="E62" s="581">
        <f ca="1"/>
        <v>0</v>
      </c>
      <c r="F62" s="581">
        <f ca="1"/>
        <v>0</v>
      </c>
      <c r="G62" s="581">
        <f ca="1"/>
        <v>0</v>
      </c>
      <c r="H62" s="581">
        <f ca="1"/>
        <v>0</v>
      </c>
      <c r="I62" s="581">
        <f ca="1"/>
        <v>0</v>
      </c>
      <c r="J62" s="581">
        <f ca="1"/>
        <v>0</v>
      </c>
      <c r="K62" s="581">
        <f ca="1"/>
        <v>0</v>
      </c>
      <c r="L62" s="581">
        <f ca="1"/>
        <v>0</v>
      </c>
      <c r="M62" s="590">
        <f ca="1"/>
        <v>0</v>
      </c>
      <c r="N62" s="574">
        <f t="shared" ca="1" si="7"/>
        <v>0</v>
      </c>
      <c r="O62" s="61"/>
    </row>
    <row r="63" spans="1:15" ht="15.75" customHeight="1">
      <c r="A63" s="2400" t="str">
        <v/>
      </c>
      <c r="B63" s="580">
        <f t="array" aca="1" ref="B63:M63" ca="1">N197:Y197</f>
        <v>0</v>
      </c>
      <c r="C63" s="581">
        <f ca="1"/>
        <v>0</v>
      </c>
      <c r="D63" s="581">
        <f ca="1"/>
        <v>0</v>
      </c>
      <c r="E63" s="581">
        <f ca="1"/>
        <v>0</v>
      </c>
      <c r="F63" s="581">
        <f ca="1"/>
        <v>0</v>
      </c>
      <c r="G63" s="581">
        <f ca="1"/>
        <v>0</v>
      </c>
      <c r="H63" s="581">
        <f ca="1"/>
        <v>0</v>
      </c>
      <c r="I63" s="581">
        <f ca="1"/>
        <v>0</v>
      </c>
      <c r="J63" s="581">
        <f ca="1"/>
        <v>0</v>
      </c>
      <c r="K63" s="581">
        <f ca="1"/>
        <v>0</v>
      </c>
      <c r="L63" s="581">
        <f ca="1"/>
        <v>0</v>
      </c>
      <c r="M63" s="590">
        <f ca="1"/>
        <v>0</v>
      </c>
      <c r="N63" s="574">
        <f t="shared" ca="1" si="7"/>
        <v>0</v>
      </c>
      <c r="O63" s="61"/>
    </row>
    <row r="64" spans="1:15" ht="15.75" customHeight="1">
      <c r="A64" s="2400" t="str">
        <v/>
      </c>
      <c r="B64" s="580">
        <f t="array" aca="1" ref="B64:M64" ca="1">N215:Y215</f>
        <v>0</v>
      </c>
      <c r="C64" s="581">
        <f ca="1"/>
        <v>0</v>
      </c>
      <c r="D64" s="581">
        <f ca="1"/>
        <v>0</v>
      </c>
      <c r="E64" s="581">
        <f ca="1"/>
        <v>0</v>
      </c>
      <c r="F64" s="581">
        <f ca="1"/>
        <v>0</v>
      </c>
      <c r="G64" s="581">
        <f ca="1"/>
        <v>0</v>
      </c>
      <c r="H64" s="581">
        <f ca="1"/>
        <v>0</v>
      </c>
      <c r="I64" s="581">
        <f ca="1"/>
        <v>0</v>
      </c>
      <c r="J64" s="581">
        <f ca="1"/>
        <v>0</v>
      </c>
      <c r="K64" s="581">
        <f ca="1"/>
        <v>0</v>
      </c>
      <c r="L64" s="581">
        <f ca="1"/>
        <v>0</v>
      </c>
      <c r="M64" s="590">
        <f ca="1"/>
        <v>0</v>
      </c>
      <c r="N64" s="574">
        <f t="shared" ca="1" si="7"/>
        <v>0</v>
      </c>
      <c r="O64" s="61"/>
    </row>
    <row r="65" spans="1:26" ht="15.75" customHeight="1">
      <c r="A65" s="2400" t="str">
        <v/>
      </c>
      <c r="B65" s="580">
        <f t="array" aca="1" ref="B65:M65" ca="1">N233:Y233</f>
        <v>0</v>
      </c>
      <c r="C65" s="581">
        <f ca="1"/>
        <v>0</v>
      </c>
      <c r="D65" s="581">
        <f ca="1"/>
        <v>0</v>
      </c>
      <c r="E65" s="581">
        <f ca="1"/>
        <v>0</v>
      </c>
      <c r="F65" s="581">
        <f ca="1"/>
        <v>0</v>
      </c>
      <c r="G65" s="581">
        <f ca="1"/>
        <v>0</v>
      </c>
      <c r="H65" s="581">
        <f ca="1"/>
        <v>0</v>
      </c>
      <c r="I65" s="581">
        <f ca="1"/>
        <v>0</v>
      </c>
      <c r="J65" s="581">
        <f ca="1"/>
        <v>0</v>
      </c>
      <c r="K65" s="581">
        <f ca="1"/>
        <v>0</v>
      </c>
      <c r="L65" s="581">
        <f ca="1"/>
        <v>0</v>
      </c>
      <c r="M65" s="590">
        <f ca="1"/>
        <v>0</v>
      </c>
      <c r="N65" s="574">
        <f t="shared" ca="1" si="7"/>
        <v>0</v>
      </c>
      <c r="O65" s="61"/>
    </row>
    <row r="66" spans="1:26" ht="15.75" customHeight="1" thickBot="1">
      <c r="A66" s="2402" t="str">
        <v/>
      </c>
      <c r="B66" s="582">
        <f t="array" aca="1" ref="B66:M66" ca="1">N251:Y251</f>
        <v>0</v>
      </c>
      <c r="C66" s="583">
        <f ca="1"/>
        <v>0</v>
      </c>
      <c r="D66" s="583">
        <f ca="1"/>
        <v>0</v>
      </c>
      <c r="E66" s="583">
        <f ca="1"/>
        <v>0</v>
      </c>
      <c r="F66" s="583">
        <f ca="1"/>
        <v>0</v>
      </c>
      <c r="G66" s="583">
        <f ca="1"/>
        <v>0</v>
      </c>
      <c r="H66" s="583">
        <f ca="1"/>
        <v>0</v>
      </c>
      <c r="I66" s="583">
        <f ca="1"/>
        <v>0</v>
      </c>
      <c r="J66" s="583">
        <f ca="1"/>
        <v>0</v>
      </c>
      <c r="K66" s="583">
        <f ca="1"/>
        <v>0</v>
      </c>
      <c r="L66" s="583">
        <f ca="1"/>
        <v>0</v>
      </c>
      <c r="M66" s="591">
        <f ca="1"/>
        <v>0</v>
      </c>
      <c r="N66" s="584">
        <f t="shared" ca="1" si="7"/>
        <v>0</v>
      </c>
      <c r="O66" s="61"/>
    </row>
    <row r="67" spans="1:26" ht="15.75" customHeight="1" thickBot="1">
      <c r="A67" s="2403" t="s">
        <v>577</v>
      </c>
      <c r="B67" s="586">
        <f t="shared" ref="B67:M67" ca="1" si="8">SUM(B59:B66)</f>
        <v>27.370123241580004</v>
      </c>
      <c r="C67" s="587">
        <f t="shared" ca="1" si="8"/>
        <v>27.370123241580004</v>
      </c>
      <c r="D67" s="587">
        <f t="shared" ca="1" si="8"/>
        <v>27.370123241580004</v>
      </c>
      <c r="E67" s="587">
        <f t="shared" ca="1" si="8"/>
        <v>27.370123241580004</v>
      </c>
      <c r="F67" s="587">
        <f t="shared" ca="1" si="8"/>
        <v>27.370123241580004</v>
      </c>
      <c r="G67" s="587">
        <f t="shared" ca="1" si="8"/>
        <v>27.370123241580004</v>
      </c>
      <c r="H67" s="587">
        <f t="shared" ca="1" si="8"/>
        <v>27.370123241580004</v>
      </c>
      <c r="I67" s="587">
        <f t="shared" ca="1" si="8"/>
        <v>27.370123241580004</v>
      </c>
      <c r="J67" s="587">
        <f t="shared" ca="1" si="8"/>
        <v>27.370123241580004</v>
      </c>
      <c r="K67" s="587">
        <f t="shared" ca="1" si="8"/>
        <v>27.370123241580004</v>
      </c>
      <c r="L67" s="587">
        <f t="shared" ca="1" si="8"/>
        <v>27.370123241580004</v>
      </c>
      <c r="M67" s="588">
        <f t="shared" ca="1" si="8"/>
        <v>27.370123241580004</v>
      </c>
      <c r="N67" s="585">
        <f t="shared" ca="1" si="7"/>
        <v>328.44147889896016</v>
      </c>
      <c r="O67" s="61"/>
    </row>
    <row r="68" spans="1:26">
      <c r="A68" s="981" t="str">
        <f>"Previous pending "&amp;'Base Data'!$A$28</f>
        <v>Previous pending VAT</v>
      </c>
      <c r="B68" s="981">
        <f ca="1">SUM(B125:M125,B143:M143,B161:M161,B179:M179,B197:M197,B215:M215,B233:M233,B251:M251)</f>
        <v>0</v>
      </c>
    </row>
    <row r="69" spans="1:26" ht="15">
      <c r="A69" s="211"/>
    </row>
    <row r="70" spans="1:26" ht="18.75" thickBot="1">
      <c r="A70" s="1921" t="str">
        <f>'DC Distr 0'!A70</f>
        <v xml:space="preserve">Monthy distribution of Production Costs for the units sold during the year </v>
      </c>
      <c r="I70" s="1921" t="str">
        <f>I$18</f>
        <v>VAT NOT included</v>
      </c>
    </row>
    <row r="71" spans="1:26" s="440" customFormat="1" ht="32.25" customHeight="1" thickBot="1">
      <c r="A71" s="441" t="s">
        <v>595</v>
      </c>
      <c r="B71" s="1938" t="str">
        <f t="array" ref="B71:M71">CONCATENATE(meses,"
",Parameters!B76:M76+4)</f>
        <v>January
2030</v>
      </c>
      <c r="C71" s="1938" t="str">
        <v>February
2030</v>
      </c>
      <c r="D71" s="1938" t="str">
        <v>March
2030</v>
      </c>
      <c r="E71" s="1938" t="str">
        <v>April
2030</v>
      </c>
      <c r="F71" s="1938" t="str">
        <v>May
2030</v>
      </c>
      <c r="G71" s="1938" t="str">
        <v>June
2030</v>
      </c>
      <c r="H71" s="1938" t="str">
        <v>July
2030</v>
      </c>
      <c r="I71" s="1938" t="str">
        <v>August
2030</v>
      </c>
      <c r="J71" s="1938" t="str">
        <v>September
2030</v>
      </c>
      <c r="K71" s="1938" t="str">
        <v>October
2030</v>
      </c>
      <c r="L71" s="1938" t="str">
        <v>November
2030</v>
      </c>
      <c r="M71" s="1938" t="str">
        <v>December
2030</v>
      </c>
      <c r="N71" s="2718" t="str">
        <f t="array" ref="N71:Y71">'Sales Forecasts'!B70:M70</f>
        <v>January 
2031</v>
      </c>
      <c r="O71" s="2719" t="str">
        <v>February 
2031</v>
      </c>
      <c r="P71" s="2719" t="str">
        <v>March 
2031</v>
      </c>
      <c r="Q71" s="2719" t="str">
        <v>April 
2031</v>
      </c>
      <c r="R71" s="2719" t="str">
        <v>May 
2031</v>
      </c>
      <c r="S71" s="2719" t="str">
        <v>June 
2031</v>
      </c>
      <c r="T71" s="2719" t="str">
        <v>July 
2031</v>
      </c>
      <c r="U71" s="2719" t="str">
        <v>August 
2031</v>
      </c>
      <c r="V71" s="2719" t="str">
        <v>September 
2031</v>
      </c>
      <c r="W71" s="2719" t="str">
        <v>October 
2031</v>
      </c>
      <c r="X71" s="2719" t="str">
        <v>November 
2031</v>
      </c>
      <c r="Y71" s="2720" t="str">
        <v>December 
2031</v>
      </c>
      <c r="Z71" s="61"/>
    </row>
    <row r="72" spans="1:26" ht="15.75" customHeight="1">
      <c r="A72" s="1922" t="s">
        <v>596</v>
      </c>
      <c r="B72" s="1919"/>
      <c r="C72" s="1919"/>
      <c r="D72" s="1919"/>
      <c r="E72" s="1919"/>
      <c r="F72" s="1919"/>
      <c r="G72" s="1919"/>
      <c r="H72" s="1917">
        <v>0</v>
      </c>
      <c r="I72" s="1918">
        <v>0</v>
      </c>
      <c r="J72" s="1918">
        <v>0</v>
      </c>
      <c r="K72" s="1918">
        <v>0</v>
      </c>
      <c r="L72" s="1918">
        <v>0</v>
      </c>
      <c r="M72" s="1918">
        <v>0</v>
      </c>
      <c r="N72" s="579">
        <f t="array" aca="1" ref="N72" ca="1">SUM(B20:B27*Production!$N$8:$N$15)</f>
        <v>130.33392019800002</v>
      </c>
      <c r="O72" s="579">
        <f t="array" aca="1" ref="O72" ca="1">SUM(C20:C27*Production!$N$8:$N$15)</f>
        <v>130.33392019800002</v>
      </c>
      <c r="P72" s="579">
        <f t="array" aca="1" ref="P72" ca="1">SUM(D20:D27*Production!$N$8:$N$15)</f>
        <v>130.33392019800002</v>
      </c>
      <c r="Q72" s="579">
        <f t="array" aca="1" ref="Q72" ca="1">SUM(E20:E27*Production!$N$8:$N$15)</f>
        <v>130.33392019800002</v>
      </c>
      <c r="R72" s="579">
        <f t="array" aca="1" ref="R72" ca="1">SUM(F20:F27*Production!$N$8:$N$15)</f>
        <v>130.33392019800002</v>
      </c>
      <c r="S72" s="579">
        <f t="array" aca="1" ref="S72" ca="1">SUM(G20:G27*Production!$N$8:$N$15)</f>
        <v>130.33392019800002</v>
      </c>
      <c r="T72" s="579">
        <f t="array" aca="1" ref="T72" ca="1">SUM(H20:H27*Production!$N$8:$N$15)</f>
        <v>130.33392019800002</v>
      </c>
      <c r="U72" s="579">
        <f t="array" aca="1" ref="U72" ca="1">SUM(I20:I27*Production!$N$8:$N$15)</f>
        <v>130.33392019800002</v>
      </c>
      <c r="V72" s="579">
        <f t="array" aca="1" ref="V72" ca="1">SUM(J20:J27*Production!$N$8:$N$15)</f>
        <v>130.33392019800002</v>
      </c>
      <c r="W72" s="579">
        <f t="array" aca="1" ref="W72" ca="1">SUM(K20:K27*Production!$N$8:$N$15)</f>
        <v>130.33392019800002</v>
      </c>
      <c r="X72" s="579">
        <f t="array" aca="1" ref="X72" ca="1">SUM(L20:L27*Production!$N$8:$N$15)</f>
        <v>130.33392019800002</v>
      </c>
      <c r="Y72" s="1936">
        <f t="array" aca="1" ref="Y72" ca="1">SUM(M20:M27*Production!$N$8:$N$15)</f>
        <v>130.33392019800002</v>
      </c>
    </row>
    <row r="73" spans="1:26" ht="15.75" customHeight="1">
      <c r="A73" s="1923" t="s">
        <v>597</v>
      </c>
      <c r="B73" s="1919"/>
      <c r="C73" s="1919"/>
      <c r="D73" s="1919"/>
      <c r="E73" s="1919"/>
      <c r="F73" s="1919"/>
      <c r="G73" s="1919"/>
      <c r="H73" s="1919"/>
      <c r="I73" s="1916"/>
      <c r="J73" s="1916"/>
      <c r="K73" s="1916"/>
      <c r="L73" s="1916"/>
      <c r="M73" s="581">
        <f t="array" aca="1" ref="M73" ca="1">SUM(B20:B27*Production!$M$8:$M$15)</f>
        <v>0</v>
      </c>
      <c r="N73" s="581">
        <f t="array" aca="1" ref="N73" ca="1">SUM(C20:C27*Production!$M$8:$M$15)</f>
        <v>0</v>
      </c>
      <c r="O73" s="581">
        <f t="array" aca="1" ref="O73" ca="1">SUM(D20:D27*Production!$M$8:$M$15)</f>
        <v>0</v>
      </c>
      <c r="P73" s="581">
        <f t="array" aca="1" ref="P73" ca="1">SUM(E20:E27*Production!$M$8:$M$15)</f>
        <v>0</v>
      </c>
      <c r="Q73" s="581">
        <f t="array" aca="1" ref="Q73" ca="1">SUM(F20:F27*Production!$M$8:$M$15)</f>
        <v>0</v>
      </c>
      <c r="R73" s="581">
        <f t="array" aca="1" ref="R73" ca="1">SUM(G20:G27*Production!$M$8:$M$15)</f>
        <v>0</v>
      </c>
      <c r="S73" s="581">
        <f t="array" aca="1" ref="S73" ca="1">SUM(H20:H27*Production!$M$8:$M$15)</f>
        <v>0</v>
      </c>
      <c r="T73" s="581">
        <f t="array" aca="1" ref="T73" ca="1">SUM(I20:I27*Production!$M$8:$M$15)</f>
        <v>0</v>
      </c>
      <c r="U73" s="581">
        <f t="array" aca="1" ref="U73" ca="1">SUM(J20:J27*Production!$M$8:$M$15)</f>
        <v>0</v>
      </c>
      <c r="V73" s="581">
        <f t="array" aca="1" ref="V73" ca="1">SUM(K20:K27*Production!$M$8:$M$15)</f>
        <v>0</v>
      </c>
      <c r="W73" s="581">
        <f t="array" aca="1" ref="W73" ca="1">SUM(L20:L27*Production!$M$8:$M$15)</f>
        <v>0</v>
      </c>
      <c r="X73" s="581">
        <f t="array" aca="1" ref="X73" ca="1">SUM(M20:M27*Production!$M$8:$M$15)</f>
        <v>0</v>
      </c>
      <c r="Y73" s="1934"/>
    </row>
    <row r="74" spans="1:26" ht="15.75" customHeight="1">
      <c r="A74" s="1923" t="s">
        <v>598</v>
      </c>
      <c r="B74" s="1919"/>
      <c r="C74" s="1919"/>
      <c r="D74" s="1919"/>
      <c r="E74" s="1919"/>
      <c r="F74" s="1919"/>
      <c r="G74" s="1919"/>
      <c r="H74" s="1919"/>
      <c r="I74" s="1916"/>
      <c r="J74" s="1916"/>
      <c r="K74" s="1916"/>
      <c r="L74" s="581">
        <f t="array" aca="1" ref="L74" ca="1">SUM(B20:B27*Production!$L$8:$L$15)</f>
        <v>0</v>
      </c>
      <c r="M74" s="581">
        <f t="array" aca="1" ref="M74" ca="1">SUM(C20:C27*Production!$L$8:$L$15)</f>
        <v>0</v>
      </c>
      <c r="N74" s="581">
        <f t="array" aca="1" ref="N74" ca="1">SUM(D20:D27*Production!$L$8:$L$15)</f>
        <v>0</v>
      </c>
      <c r="O74" s="581">
        <f t="array" aca="1" ref="O74" ca="1">SUM(E20:E27*Production!$L$8:$L$15)</f>
        <v>0</v>
      </c>
      <c r="P74" s="581">
        <f t="array" aca="1" ref="P74" ca="1">SUM(F20:F27*Production!$L$8:$L$15)</f>
        <v>0</v>
      </c>
      <c r="Q74" s="581">
        <f t="array" aca="1" ref="Q74" ca="1">SUM(G20:G27*Production!$L$8:$L$15)</f>
        <v>0</v>
      </c>
      <c r="R74" s="581">
        <f t="array" aca="1" ref="R74" ca="1">SUM(H20:H27*Production!$L$8:$L$15)</f>
        <v>0</v>
      </c>
      <c r="S74" s="581">
        <f t="array" aca="1" ref="S74" ca="1">SUM(I20:I27*Production!$L$8:$L$15)</f>
        <v>0</v>
      </c>
      <c r="T74" s="581">
        <f t="array" aca="1" ref="T74" ca="1">SUM(J20:J27*Production!$L$8:$L$15)</f>
        <v>0</v>
      </c>
      <c r="U74" s="581">
        <f t="array" aca="1" ref="U74" ca="1">SUM(K20:K27*Production!$L$8:$L$15)</f>
        <v>0</v>
      </c>
      <c r="V74" s="581">
        <f t="array" aca="1" ref="V74" ca="1">SUM(L20:L27*Production!$L$8:$L$15)</f>
        <v>0</v>
      </c>
      <c r="W74" s="581">
        <f t="array" aca="1" ref="W74" ca="1">SUM(M20:M27*Production!$L$8:$L$15)</f>
        <v>0</v>
      </c>
      <c r="X74" s="1916"/>
      <c r="Y74" s="1934"/>
    </row>
    <row r="75" spans="1:26" ht="15.75" customHeight="1">
      <c r="A75" s="1923" t="s">
        <v>599</v>
      </c>
      <c r="B75" s="1919"/>
      <c r="C75" s="1919"/>
      <c r="D75" s="1919"/>
      <c r="E75" s="1919"/>
      <c r="F75" s="1919"/>
      <c r="G75" s="1919"/>
      <c r="H75" s="1919"/>
      <c r="I75" s="1916"/>
      <c r="J75" s="1916"/>
      <c r="K75" s="581">
        <f t="array" aca="1" ref="K75" ca="1">SUM(B20:B27*Production!$K$8:$K$15)</f>
        <v>0</v>
      </c>
      <c r="L75" s="581">
        <f t="array" aca="1" ref="L75" ca="1">SUM(C20:C27*Production!$K$8:$K$15)</f>
        <v>0</v>
      </c>
      <c r="M75" s="581">
        <f t="array" aca="1" ref="M75" ca="1">SUM(D20:D27*Production!$K$8:$K$15)</f>
        <v>0</v>
      </c>
      <c r="N75" s="581">
        <f t="array" aca="1" ref="N75" ca="1">SUM(E20:E27*Production!$K$8:$K$15)</f>
        <v>0</v>
      </c>
      <c r="O75" s="581">
        <f t="array" aca="1" ref="O75" ca="1">SUM(F20:F27*Production!$K$8:$K$15)</f>
        <v>0</v>
      </c>
      <c r="P75" s="581">
        <f t="array" aca="1" ref="P75" ca="1">SUM(G20:G27*Production!$K$8:$K$15)</f>
        <v>0</v>
      </c>
      <c r="Q75" s="581">
        <f t="array" aca="1" ref="Q75" ca="1">SUM(H20:H27*Production!$K$8:$K$15)</f>
        <v>0</v>
      </c>
      <c r="R75" s="581">
        <f t="array" aca="1" ref="R75" ca="1">SUM(I20:I27*Production!$K$8:$K$15)</f>
        <v>0</v>
      </c>
      <c r="S75" s="581">
        <f t="array" aca="1" ref="S75" ca="1">SUM(J20:J27*Production!$K$8:$K$15)</f>
        <v>0</v>
      </c>
      <c r="T75" s="581">
        <f t="array" aca="1" ref="T75" ca="1">SUM(K20:K27*Production!$K$8:$K$15)</f>
        <v>0</v>
      </c>
      <c r="U75" s="581">
        <f t="array" aca="1" ref="U75" ca="1">SUM(L20:L27*Production!$K$8:$K$15)</f>
        <v>0</v>
      </c>
      <c r="V75" s="581">
        <f t="array" aca="1" ref="V75" ca="1">SUM(M20:M27*Production!$K$8:$K$15)</f>
        <v>0</v>
      </c>
      <c r="W75" s="1916"/>
      <c r="X75" s="1916"/>
      <c r="Y75" s="1934"/>
    </row>
    <row r="76" spans="1:26" ht="15.75" customHeight="1">
      <c r="A76" s="1923" t="s">
        <v>600</v>
      </c>
      <c r="B76" s="1919"/>
      <c r="C76" s="1919"/>
      <c r="D76" s="1919"/>
      <c r="E76" s="1919"/>
      <c r="F76" s="1919"/>
      <c r="G76" s="1919"/>
      <c r="H76" s="1919"/>
      <c r="I76" s="1916"/>
      <c r="J76" s="581">
        <f t="array" aca="1" ref="J76" ca="1">SUM(B20:B27*Production!$J$8:$J$15)</f>
        <v>0</v>
      </c>
      <c r="K76" s="581">
        <f t="array" aca="1" ref="K76" ca="1">SUM(C20:C27*Production!$J$8:$J$15)</f>
        <v>0</v>
      </c>
      <c r="L76" s="581">
        <f t="array" aca="1" ref="L76" ca="1">SUM(D20:D27*Production!$J$8:$J$15)</f>
        <v>0</v>
      </c>
      <c r="M76" s="581">
        <f t="array" aca="1" ref="M76" ca="1">SUM(E20:E27*Production!$J$8:$J$15)</f>
        <v>0</v>
      </c>
      <c r="N76" s="581">
        <f t="array" aca="1" ref="N76" ca="1">SUM(F20:F27*Production!$J$8:$J$15)</f>
        <v>0</v>
      </c>
      <c r="O76" s="581">
        <f t="array" aca="1" ref="O76" ca="1">SUM(G20:G27*Production!$J$8:$J$15)</f>
        <v>0</v>
      </c>
      <c r="P76" s="581">
        <f t="array" aca="1" ref="P76" ca="1">SUM(H20:H27*Production!$J$8:$J$15)</f>
        <v>0</v>
      </c>
      <c r="Q76" s="581">
        <f t="array" aca="1" ref="Q76" ca="1">SUM(I20:I27*Production!$J$8:$J$15)</f>
        <v>0</v>
      </c>
      <c r="R76" s="581">
        <f t="array" aca="1" ref="R76" ca="1">SUM(J20:J27*Production!$J$8:$J$15)</f>
        <v>0</v>
      </c>
      <c r="S76" s="581">
        <f t="array" aca="1" ref="S76" ca="1">SUM(K20:K27*Production!$J$8:$J$15)</f>
        <v>0</v>
      </c>
      <c r="T76" s="581">
        <f t="array" aca="1" ref="T76" ca="1">SUM(L20:L27*Production!$J$8:$J$15)</f>
        <v>0</v>
      </c>
      <c r="U76" s="581">
        <f t="array" aca="1" ref="U76" ca="1">SUM(M20:M27*Production!$J$8:$J$15)</f>
        <v>0</v>
      </c>
      <c r="V76" s="1916"/>
      <c r="W76" s="1916"/>
      <c r="X76" s="1916"/>
      <c r="Y76" s="1934"/>
    </row>
    <row r="77" spans="1:26" ht="15.75" customHeight="1">
      <c r="A77" s="1923" t="s">
        <v>601</v>
      </c>
      <c r="B77" s="1919"/>
      <c r="C77" s="1919"/>
      <c r="D77" s="1919"/>
      <c r="E77" s="1919"/>
      <c r="F77" s="1919"/>
      <c r="G77" s="1919"/>
      <c r="H77" s="1919"/>
      <c r="I77" s="581">
        <f t="array" aca="1" ref="I77" ca="1">SUM(B20:B27*Production!$I$8:$I$15)</f>
        <v>0</v>
      </c>
      <c r="J77" s="581">
        <f t="array" aca="1" ref="J77" ca="1">SUM(C20:C27*Production!$I$8:$I$15)</f>
        <v>0</v>
      </c>
      <c r="K77" s="581">
        <f t="array" aca="1" ref="K77" ca="1">SUM(D20:D27*Production!$I$8:$I$15)</f>
        <v>0</v>
      </c>
      <c r="L77" s="581">
        <f t="array" aca="1" ref="L77" ca="1">SUM(E20:E27*Production!$I$8:$I$15)</f>
        <v>0</v>
      </c>
      <c r="M77" s="581">
        <f t="array" aca="1" ref="M77" ca="1">SUM(F20:F27*Production!$I$8:$I$15)</f>
        <v>0</v>
      </c>
      <c r="N77" s="581">
        <f t="array" aca="1" ref="N77" ca="1">SUM(G20:G27*Production!$I$8:$I$15)</f>
        <v>0</v>
      </c>
      <c r="O77" s="581">
        <f t="array" aca="1" ref="O77" ca="1">SUM(H20:H27*Production!$I$8:$I$15)</f>
        <v>0</v>
      </c>
      <c r="P77" s="581">
        <f t="array" aca="1" ref="P77" ca="1">SUM(I20:I27*Production!$I$8:$I$15)</f>
        <v>0</v>
      </c>
      <c r="Q77" s="581">
        <f t="array" aca="1" ref="Q77" ca="1">SUM(J20:J27*Production!$I$8:$I$15)</f>
        <v>0</v>
      </c>
      <c r="R77" s="581">
        <f t="array" aca="1" ref="R77" ca="1">SUM(K20:K27*Production!$I$8:$I$15)</f>
        <v>0</v>
      </c>
      <c r="S77" s="581">
        <f t="array" aca="1" ref="S77" ca="1">SUM(L20:L27*Production!$I$8:$I$15)</f>
        <v>0</v>
      </c>
      <c r="T77" s="581">
        <f t="array" aca="1" ref="T77" ca="1">SUM(M20:M27*Production!$I$8:$I$15)</f>
        <v>0</v>
      </c>
      <c r="U77" s="1916"/>
      <c r="V77" s="1916"/>
      <c r="W77" s="1916"/>
      <c r="X77" s="1916"/>
      <c r="Y77" s="1934"/>
    </row>
    <row r="78" spans="1:26" ht="15.75" customHeight="1">
      <c r="A78" s="1923" t="s">
        <v>602</v>
      </c>
      <c r="B78" s="1919"/>
      <c r="C78" s="1919"/>
      <c r="D78" s="1919"/>
      <c r="E78" s="1919"/>
      <c r="F78" s="1919"/>
      <c r="G78" s="1919"/>
      <c r="H78" s="581">
        <f t="array" aca="1" ref="H78" ca="1">SUM(B20:B27*Production!$H$8:$H$15)</f>
        <v>0</v>
      </c>
      <c r="I78" s="581">
        <f t="array" aca="1" ref="I78" ca="1">SUM(C20:C27*Production!$H$8:$H$15)</f>
        <v>0</v>
      </c>
      <c r="J78" s="581">
        <f t="array" aca="1" ref="J78" ca="1">SUM(D20:D27*Production!$H$8:$H$15)</f>
        <v>0</v>
      </c>
      <c r="K78" s="581">
        <f t="array" aca="1" ref="K78" ca="1">SUM(E20:E27*Production!$H$8:$H$15)</f>
        <v>0</v>
      </c>
      <c r="L78" s="581">
        <f t="array" aca="1" ref="L78" ca="1">SUM(F20:F27*Production!$H$8:$H$15)</f>
        <v>0</v>
      </c>
      <c r="M78" s="581">
        <f t="array" aca="1" ref="M78" ca="1">SUM(G20:G27*Production!$H$8:$H$15)</f>
        <v>0</v>
      </c>
      <c r="N78" s="581">
        <f t="array" aca="1" ref="N78" ca="1">SUM(H20:H27*Production!$H$8:$H$15)</f>
        <v>0</v>
      </c>
      <c r="O78" s="581">
        <f t="array" aca="1" ref="O78" ca="1">SUM(I20:I27*Production!$H$8:$H$15)</f>
        <v>0</v>
      </c>
      <c r="P78" s="581">
        <f t="array" aca="1" ref="P78" ca="1">SUM(J20:J27*Production!$H$8:$H$15)</f>
        <v>0</v>
      </c>
      <c r="Q78" s="581">
        <f t="array" aca="1" ref="Q78" ca="1">SUM(K20:K27*Production!$H$8:$H$15)</f>
        <v>0</v>
      </c>
      <c r="R78" s="581">
        <f t="array" aca="1" ref="R78" ca="1">SUM(L20:L27*Production!$H$8:$H$15)</f>
        <v>0</v>
      </c>
      <c r="S78" s="581">
        <f t="array" aca="1" ref="S78" ca="1">SUM(M20:M27*Production!$H$8:$H$15)</f>
        <v>0</v>
      </c>
      <c r="T78" s="1916"/>
      <c r="U78" s="1916"/>
      <c r="V78" s="1916"/>
      <c r="W78" s="1916"/>
      <c r="X78" s="1916"/>
      <c r="Y78" s="1934"/>
    </row>
    <row r="79" spans="1:26" ht="15.75" customHeight="1">
      <c r="A79" s="1923" t="s">
        <v>603</v>
      </c>
      <c r="B79" s="1919"/>
      <c r="C79" s="1919"/>
      <c r="D79" s="1919"/>
      <c r="E79" s="1919"/>
      <c r="F79" s="1919"/>
      <c r="G79" s="583">
        <f t="array" aca="1" ref="G79" ca="1">SUM(B20:B27*Production!$G$8:$G$15)</f>
        <v>0</v>
      </c>
      <c r="H79" s="583">
        <f t="array" aca="1" ref="H79" ca="1">SUM(C20:C27*Production!$G$8:$G$15)</f>
        <v>0</v>
      </c>
      <c r="I79" s="583">
        <f t="array" aca="1" ref="I79" ca="1">SUM(D20:D27*Production!$G$8:$G$15)</f>
        <v>0</v>
      </c>
      <c r="J79" s="583">
        <f t="array" aca="1" ref="J79" ca="1">SUM(E20:E27*Production!$G$8:$G$15)</f>
        <v>0</v>
      </c>
      <c r="K79" s="583">
        <f t="array" aca="1" ref="K79" ca="1">SUM(F20:F27*Production!$G$8:$G$15)</f>
        <v>0</v>
      </c>
      <c r="L79" s="583">
        <f t="array" aca="1" ref="L79" ca="1">SUM(G20:G27*Production!$G$8:$G$15)</f>
        <v>0</v>
      </c>
      <c r="M79" s="583">
        <f t="array" aca="1" ref="M79" ca="1">SUM(H20:H27*Production!$G$8:$G$15)</f>
        <v>0</v>
      </c>
      <c r="N79" s="583">
        <f t="array" aca="1" ref="N79" ca="1">SUM(I20:I27*Production!$G$8:$G$15)</f>
        <v>0</v>
      </c>
      <c r="O79" s="583">
        <f t="array" aca="1" ref="O79" ca="1">SUM(J20:J27*Production!$G$8:$G$15)</f>
        <v>0</v>
      </c>
      <c r="P79" s="583">
        <f t="array" aca="1" ref="P79" ca="1">SUM(K20:K27*Production!$G$8:$G$15)</f>
        <v>0</v>
      </c>
      <c r="Q79" s="583">
        <f t="array" aca="1" ref="Q79" ca="1">SUM(L20:L27*Production!$G$8:$G$15)</f>
        <v>0</v>
      </c>
      <c r="R79" s="583">
        <f t="array" aca="1" ref="R79" ca="1">SUM(M20:M27*Production!$G$8:$G$15)</f>
        <v>0</v>
      </c>
      <c r="S79" s="1920"/>
      <c r="T79" s="1920"/>
      <c r="U79" s="1920"/>
      <c r="V79" s="1920"/>
      <c r="W79" s="1920"/>
      <c r="X79" s="1920"/>
      <c r="Y79" s="1937"/>
    </row>
    <row r="80" spans="1:26" ht="15.75" customHeight="1">
      <c r="A80" s="1923" t="s">
        <v>604</v>
      </c>
      <c r="B80" s="1919"/>
      <c r="C80" s="1919"/>
      <c r="D80" s="1919"/>
      <c r="E80" s="1919"/>
      <c r="F80" s="583">
        <f t="array" aca="1" ref="F80" ca="1">SUM(B20:B27*Production!$F$8:$F$15)</f>
        <v>0</v>
      </c>
      <c r="G80" s="583">
        <f t="array" aca="1" ref="G80" ca="1">SUM(C20:C27*Production!$F$8:$F$15)</f>
        <v>0</v>
      </c>
      <c r="H80" s="583">
        <f t="array" aca="1" ref="H80" ca="1">SUM(D20:D27*Production!$F$8:$F$15)</f>
        <v>0</v>
      </c>
      <c r="I80" s="583">
        <f t="array" aca="1" ref="I80" ca="1">SUM(E20:E27*Production!$F$8:$F$15)</f>
        <v>0</v>
      </c>
      <c r="J80" s="583">
        <f t="array" aca="1" ref="J80" ca="1">SUM(F20:F27*Production!$F$8:$F$15)</f>
        <v>0</v>
      </c>
      <c r="K80" s="583">
        <f t="array" aca="1" ref="K80" ca="1">SUM(G20:G27*Production!$F$8:$F$15)</f>
        <v>0</v>
      </c>
      <c r="L80" s="583">
        <f t="array" aca="1" ref="L80" ca="1">SUM(H20:H27*Production!$F$8:$F$15)</f>
        <v>0</v>
      </c>
      <c r="M80" s="583">
        <f t="array" aca="1" ref="M80" ca="1">SUM(I20:I27*Production!$F$8:$F$15)</f>
        <v>0</v>
      </c>
      <c r="N80" s="583">
        <f t="array" aca="1" ref="N80" ca="1">SUM(J20:J27*Production!$F$8:$F$15)</f>
        <v>0</v>
      </c>
      <c r="O80" s="583">
        <f t="array" aca="1" ref="O80" ca="1">SUM(K20:K27*Production!$F$8:$F$15)</f>
        <v>0</v>
      </c>
      <c r="P80" s="583">
        <f t="array" aca="1" ref="P80" ca="1">SUM(L20:L27*Production!$F$8:$F$15)</f>
        <v>0</v>
      </c>
      <c r="Q80" s="583">
        <f t="array" aca="1" ref="Q80" ca="1">SUM(M20:M27*Production!$F$8:$F$15)</f>
        <v>0</v>
      </c>
      <c r="R80" s="1920"/>
      <c r="S80" s="1920"/>
      <c r="T80" s="1920"/>
      <c r="U80" s="1920"/>
      <c r="V80" s="1920"/>
      <c r="W80" s="1920"/>
      <c r="X80" s="1920"/>
      <c r="Y80" s="1937"/>
    </row>
    <row r="81" spans="1:26" ht="15.75" customHeight="1">
      <c r="A81" s="1923" t="s">
        <v>605</v>
      </c>
      <c r="B81" s="1919"/>
      <c r="C81" s="1919"/>
      <c r="D81" s="1919"/>
      <c r="E81" s="583">
        <f t="array" aca="1" ref="E81" ca="1">SUM(B20:B27*Production!$E$8:$E$15)</f>
        <v>0</v>
      </c>
      <c r="F81" s="583">
        <f t="array" aca="1" ref="F81" ca="1">SUM(C20:C27*Production!$E$8:$E$15)</f>
        <v>0</v>
      </c>
      <c r="G81" s="583">
        <f t="array" aca="1" ref="G81" ca="1">SUM(D20:D27*Production!$E$8:$E$15)</f>
        <v>0</v>
      </c>
      <c r="H81" s="583">
        <f t="array" aca="1" ref="H81" ca="1">SUM(E20:E27*Production!$E$8:$E$15)</f>
        <v>0</v>
      </c>
      <c r="I81" s="583">
        <f t="array" aca="1" ref="I81" ca="1">SUM(F20:F27*Production!$E$8:$E$15)</f>
        <v>0</v>
      </c>
      <c r="J81" s="583">
        <f t="array" aca="1" ref="J81" ca="1">SUM(G20:G27*Production!$E$8:$E$15)</f>
        <v>0</v>
      </c>
      <c r="K81" s="583">
        <f t="array" aca="1" ref="K81" ca="1">SUM(H20:H27*Production!$E$8:$E$15)</f>
        <v>0</v>
      </c>
      <c r="L81" s="583">
        <f t="array" aca="1" ref="L81" ca="1">SUM(I20:I27*Production!$E$8:$E$15)</f>
        <v>0</v>
      </c>
      <c r="M81" s="583">
        <f t="array" aca="1" ref="M81" ca="1">SUM(J20:J27*Production!$E$8:$E$15)</f>
        <v>0</v>
      </c>
      <c r="N81" s="583">
        <f t="array" aca="1" ref="N81" ca="1">SUM(K20:K27*Production!$E$8:$E$15)</f>
        <v>0</v>
      </c>
      <c r="O81" s="583">
        <f t="array" aca="1" ref="O81" ca="1">SUM(L20:L27*Production!$E$8:$E$15)</f>
        <v>0</v>
      </c>
      <c r="P81" s="583">
        <f t="array" aca="1" ref="P81" ca="1">SUM(M20:M27*Production!$E$8:$E$15)</f>
        <v>0</v>
      </c>
      <c r="Q81" s="1920"/>
      <c r="R81" s="1920"/>
      <c r="S81" s="1920"/>
      <c r="T81" s="1920"/>
      <c r="U81" s="1920"/>
      <c r="V81" s="1920"/>
      <c r="W81" s="1920"/>
      <c r="X81" s="1920"/>
      <c r="Y81" s="1937"/>
    </row>
    <row r="82" spans="1:26" ht="15.75" customHeight="1">
      <c r="A82" s="1923" t="s">
        <v>606</v>
      </c>
      <c r="B82" s="1919"/>
      <c r="C82" s="1919"/>
      <c r="D82" s="582">
        <f t="array" aca="1" ref="D82" ca="1">SUM(B20:B27*Production!$D$8:$D$15)</f>
        <v>0</v>
      </c>
      <c r="E82" s="582">
        <f t="array" aca="1" ref="E82" ca="1">SUM(C20:C27*Production!$D$8:$D$15)</f>
        <v>0</v>
      </c>
      <c r="F82" s="582">
        <f t="array" aca="1" ref="F82" ca="1">SUM(D20:D27*Production!$D$8:$D$15)</f>
        <v>0</v>
      </c>
      <c r="G82" s="582">
        <f t="array" aca="1" ref="G82" ca="1">SUM(E20:E27*Production!$D$8:$D$15)</f>
        <v>0</v>
      </c>
      <c r="H82" s="582">
        <f t="array" aca="1" ref="H82" ca="1">SUM(F20:F27*Production!$D$8:$D$15)</f>
        <v>0</v>
      </c>
      <c r="I82" s="582">
        <f t="array" aca="1" ref="I82" ca="1">SUM(G20:G27*Production!$D$8:$D$15)</f>
        <v>0</v>
      </c>
      <c r="J82" s="582">
        <f t="array" aca="1" ref="J82" ca="1">SUM(H20:H27*Production!$D$8:$D$15)</f>
        <v>0</v>
      </c>
      <c r="K82" s="582">
        <f t="array" aca="1" ref="K82" ca="1">SUM(I20:I27*Production!$D$8:$D$15)</f>
        <v>0</v>
      </c>
      <c r="L82" s="582">
        <f t="array" aca="1" ref="L82" ca="1">SUM(J20:J27*Production!$D$8:$D$15)</f>
        <v>0</v>
      </c>
      <c r="M82" s="582">
        <f t="array" aca="1" ref="M82" ca="1">SUM(K20:K27*Production!$D$8:$D$15)</f>
        <v>0</v>
      </c>
      <c r="N82" s="582">
        <f t="array" aca="1" ref="N82" ca="1">SUM(L20:L27*Production!$D$8:$D$15)</f>
        <v>0</v>
      </c>
      <c r="O82" s="582">
        <f t="array" aca="1" ref="O82" ca="1">SUM(M20:M27*Production!$D$8:$D$15)</f>
        <v>0</v>
      </c>
      <c r="P82" s="1920"/>
      <c r="Q82" s="1920"/>
      <c r="R82" s="1920"/>
      <c r="S82" s="1920"/>
      <c r="T82" s="1920"/>
      <c r="U82" s="1920"/>
      <c r="V82" s="1920"/>
      <c r="W82" s="1920"/>
      <c r="X82" s="1920"/>
      <c r="Y82" s="1937"/>
    </row>
    <row r="83" spans="1:26" ht="15.75" customHeight="1">
      <c r="A83" s="1923" t="s">
        <v>607</v>
      </c>
      <c r="B83" s="1919"/>
      <c r="C83" s="583">
        <f t="array" aca="1" ref="C83" ca="1">SUM(B20:B27*Production!$C$8:$C$15)</f>
        <v>0</v>
      </c>
      <c r="D83" s="583">
        <f t="array" aca="1" ref="D83" ca="1">SUM(C20:C27*Production!$C$8:$C$15)</f>
        <v>0</v>
      </c>
      <c r="E83" s="583">
        <f t="array" aca="1" ref="E83" ca="1">SUM(D20:D27*Production!$C$8:$C$15)</f>
        <v>0</v>
      </c>
      <c r="F83" s="583">
        <f t="array" aca="1" ref="F83" ca="1">SUM(E20:E27*Production!$C$8:$C$15)</f>
        <v>0</v>
      </c>
      <c r="G83" s="583">
        <f t="array" aca="1" ref="G83" ca="1">SUM(F20:F27*Production!$C$8:$C$15)</f>
        <v>0</v>
      </c>
      <c r="H83" s="583">
        <f t="array" aca="1" ref="H83" ca="1">SUM(G20:G27*Production!$C$8:$C$15)</f>
        <v>0</v>
      </c>
      <c r="I83" s="583">
        <f t="array" aca="1" ref="I83" ca="1">SUM(H20:H27*Production!$C$8:$C$15)</f>
        <v>0</v>
      </c>
      <c r="J83" s="583">
        <f t="array" aca="1" ref="J83" ca="1">SUM(I20:I27*Production!$C$8:$C$15)</f>
        <v>0</v>
      </c>
      <c r="K83" s="583">
        <f t="array" aca="1" ref="K83" ca="1">SUM(J20:J27*Production!$C$8:$C$15)</f>
        <v>0</v>
      </c>
      <c r="L83" s="583">
        <f t="array" aca="1" ref="L83" ca="1">SUM(K20:K27*Production!$C$8:$C$15)</f>
        <v>0</v>
      </c>
      <c r="M83" s="583">
        <f t="array" aca="1" ref="M83" ca="1">SUM(L20:L27*Production!$C$8:$C$15)</f>
        <v>0</v>
      </c>
      <c r="N83" s="583">
        <f t="array" aca="1" ref="N83" ca="1">SUM(M20:M27*Production!$C$8:$C$15)</f>
        <v>0</v>
      </c>
      <c r="O83" s="1920"/>
      <c r="P83" s="1920"/>
      <c r="Q83" s="1920"/>
      <c r="R83" s="1920"/>
      <c r="S83" s="1920"/>
      <c r="T83" s="1920"/>
      <c r="U83" s="1920"/>
      <c r="V83" s="1920"/>
      <c r="W83" s="1920"/>
      <c r="X83" s="1920"/>
      <c r="Y83" s="1937"/>
    </row>
    <row r="84" spans="1:26" ht="15.75" customHeight="1" thickBot="1">
      <c r="A84" s="1923" t="s">
        <v>608</v>
      </c>
      <c r="B84" s="583">
        <f t="array" aca="1" ref="B84" ca="1">SUM(B20:B27*Production!$B$8:$B$15)</f>
        <v>0</v>
      </c>
      <c r="C84" s="583">
        <f t="array" aca="1" ref="C84" ca="1">SUM(C20:C27*Production!$B$8:$B$15)</f>
        <v>0</v>
      </c>
      <c r="D84" s="583">
        <f t="array" aca="1" ref="D84" ca="1">SUM(D20:D27*Production!$B$8:$B$15)</f>
        <v>0</v>
      </c>
      <c r="E84" s="583">
        <f t="array" aca="1" ref="E84" ca="1">SUM(E20:E27*Production!$B$8:$B$15)</f>
        <v>0</v>
      </c>
      <c r="F84" s="583">
        <f t="array" aca="1" ref="F84" ca="1">SUM(F20:F27*Production!$B$8:$B$15)</f>
        <v>0</v>
      </c>
      <c r="G84" s="583">
        <f t="array" aca="1" ref="G84" ca="1">SUM(G20:G27*Production!$B$8:$B$15)</f>
        <v>0</v>
      </c>
      <c r="H84" s="583">
        <f t="array" aca="1" ref="H84" ca="1">SUM(H20:H27*Production!$B$8:$B$15)</f>
        <v>0</v>
      </c>
      <c r="I84" s="583">
        <f t="array" aca="1" ref="I84" ca="1">SUM(I20:I27*Production!$B$8:$B$15)</f>
        <v>0</v>
      </c>
      <c r="J84" s="583">
        <f t="array" aca="1" ref="J84" ca="1">SUM(J20:J27*Production!$B$8:$B$15)</f>
        <v>0</v>
      </c>
      <c r="K84" s="583">
        <f t="array" aca="1" ref="K84" ca="1">SUM(K20:K27*Production!$B$8:$B$15)</f>
        <v>0</v>
      </c>
      <c r="L84" s="583">
        <f t="array" aca="1" ref="L84" ca="1">SUM(L20:L27*Production!$B$8:$B$15)</f>
        <v>0</v>
      </c>
      <c r="M84" s="583">
        <f t="array" aca="1" ref="M84" ca="1">SUM(M20:M27*Production!$B$8:$B$15)</f>
        <v>0</v>
      </c>
      <c r="N84" s="1920"/>
      <c r="O84" s="1920"/>
      <c r="P84" s="1920"/>
      <c r="Q84" s="1920"/>
      <c r="R84" s="1920"/>
      <c r="S84" s="1920"/>
      <c r="T84" s="1920"/>
      <c r="U84" s="1920"/>
      <c r="V84" s="1920"/>
      <c r="W84" s="1920"/>
      <c r="X84" s="1920"/>
      <c r="Y84" s="1937"/>
    </row>
    <row r="85" spans="1:26" ht="15.75" customHeight="1" thickBot="1">
      <c r="A85" s="2403" t="s">
        <v>577</v>
      </c>
      <c r="B85" s="587">
        <f t="shared" ref="B85:Y85" ca="1" si="9">SUM(B72:B84)</f>
        <v>0</v>
      </c>
      <c r="C85" s="587">
        <f t="shared" ca="1" si="9"/>
        <v>0</v>
      </c>
      <c r="D85" s="587">
        <f t="shared" ca="1" si="9"/>
        <v>0</v>
      </c>
      <c r="E85" s="587">
        <f t="shared" ca="1" si="9"/>
        <v>0</v>
      </c>
      <c r="F85" s="587">
        <f t="shared" ca="1" si="9"/>
        <v>0</v>
      </c>
      <c r="G85" s="587">
        <f t="shared" ca="1" si="9"/>
        <v>0</v>
      </c>
      <c r="H85" s="587">
        <f t="shared" ca="1" si="9"/>
        <v>0</v>
      </c>
      <c r="I85" s="587">
        <f t="shared" ca="1" si="9"/>
        <v>0</v>
      </c>
      <c r="J85" s="587">
        <f t="shared" ca="1" si="9"/>
        <v>0</v>
      </c>
      <c r="K85" s="587">
        <f t="shared" ca="1" si="9"/>
        <v>0</v>
      </c>
      <c r="L85" s="587">
        <f t="shared" ca="1" si="9"/>
        <v>0</v>
      </c>
      <c r="M85" s="587">
        <f t="shared" ca="1" si="9"/>
        <v>0</v>
      </c>
      <c r="N85" s="587">
        <f t="shared" ca="1" si="9"/>
        <v>130.33392019800002</v>
      </c>
      <c r="O85" s="587">
        <f t="shared" ca="1" si="9"/>
        <v>130.33392019800002</v>
      </c>
      <c r="P85" s="587">
        <f t="shared" ca="1" si="9"/>
        <v>130.33392019800002</v>
      </c>
      <c r="Q85" s="587">
        <f t="shared" ca="1" si="9"/>
        <v>130.33392019800002</v>
      </c>
      <c r="R85" s="587">
        <f t="shared" ca="1" si="9"/>
        <v>130.33392019800002</v>
      </c>
      <c r="S85" s="587">
        <f t="shared" ca="1" si="9"/>
        <v>130.33392019800002</v>
      </c>
      <c r="T85" s="587">
        <f t="shared" ca="1" si="9"/>
        <v>130.33392019800002</v>
      </c>
      <c r="U85" s="587">
        <f t="shared" ca="1" si="9"/>
        <v>130.33392019800002</v>
      </c>
      <c r="V85" s="587">
        <f t="shared" ca="1" si="9"/>
        <v>130.33392019800002</v>
      </c>
      <c r="W85" s="587">
        <f t="shared" ca="1" si="9"/>
        <v>130.33392019800002</v>
      </c>
      <c r="X85" s="587">
        <f t="shared" ca="1" si="9"/>
        <v>130.33392019800002</v>
      </c>
      <c r="Y85" s="1935">
        <f t="shared" ca="1" si="9"/>
        <v>130.33392019800002</v>
      </c>
    </row>
    <row r="86" spans="1:26">
      <c r="B86" s="61"/>
    </row>
    <row r="87" spans="1:26">
      <c r="A87" s="230" t="s">
        <v>610</v>
      </c>
      <c r="B87" s="61">
        <f ca="1">SUM(B85:M85)</f>
        <v>0</v>
      </c>
    </row>
    <row r="88" spans="1:26">
      <c r="B88" s="61"/>
    </row>
    <row r="89" spans="1:26" ht="18.75" thickBot="1">
      <c r="A89" s="1921" t="str">
        <f>'DC Distr 0'!A89</f>
        <v>Input VAT of production costs by purchasing (effective) cost months</v>
      </c>
      <c r="I89" s="1921"/>
    </row>
    <row r="90" spans="1:26" s="440" customFormat="1" ht="35.25" customHeight="1" thickBot="1">
      <c r="A90" s="441" t="str">
        <f>A71&amp;" "&amp;'Base Data'!$A$28</f>
        <v>Production Costs VAT</v>
      </c>
      <c r="B90" s="1938" t="str">
        <f t="array" ref="B90:Y90">B$71:Y$71</f>
        <v>January
2030</v>
      </c>
      <c r="C90" s="1938" t="str">
        <v>February
2030</v>
      </c>
      <c r="D90" s="1938" t="str">
        <v>March
2030</v>
      </c>
      <c r="E90" s="1938" t="str">
        <v>April
2030</v>
      </c>
      <c r="F90" s="1938" t="str">
        <v>May
2030</v>
      </c>
      <c r="G90" s="1938" t="str">
        <v>June
2030</v>
      </c>
      <c r="H90" s="1938" t="str">
        <v>July
2030</v>
      </c>
      <c r="I90" s="1938" t="str">
        <v>August
2030</v>
      </c>
      <c r="J90" s="1938" t="str">
        <v>September
2030</v>
      </c>
      <c r="K90" s="1938" t="str">
        <v>October
2030</v>
      </c>
      <c r="L90" s="1938" t="str">
        <v>November
2030</v>
      </c>
      <c r="M90" s="1938" t="str">
        <v>December
2030</v>
      </c>
      <c r="N90" s="2721" t="str">
        <v>January 
2031</v>
      </c>
      <c r="O90" s="2722" t="str">
        <v>February 
2031</v>
      </c>
      <c r="P90" s="2722" t="str">
        <v>March 
2031</v>
      </c>
      <c r="Q90" s="2722" t="str">
        <v>April 
2031</v>
      </c>
      <c r="R90" s="2722" t="str">
        <v>May 
2031</v>
      </c>
      <c r="S90" s="2722" t="str">
        <v>June 
2031</v>
      </c>
      <c r="T90" s="2722" t="str">
        <v>July 
2031</v>
      </c>
      <c r="U90" s="2722" t="str">
        <v>August 
2031</v>
      </c>
      <c r="V90" s="2722" t="str">
        <v>September 
2031</v>
      </c>
      <c r="W90" s="2722" t="str">
        <v>October 
2031</v>
      </c>
      <c r="X90" s="2722" t="str">
        <v>November 
2031</v>
      </c>
      <c r="Y90" s="2723" t="str">
        <v>December 
2031</v>
      </c>
      <c r="Z90" s="61"/>
    </row>
    <row r="91" spans="1:26" ht="15.75" customHeight="1">
      <c r="A91" s="1922" t="str">
        <f t="array" ref="A91:A103">A$72:A$84</f>
        <v>same month</v>
      </c>
      <c r="B91" s="1919"/>
      <c r="C91" s="1919"/>
      <c r="D91" s="1919"/>
      <c r="E91" s="1919"/>
      <c r="F91" s="1919"/>
      <c r="G91" s="1919"/>
      <c r="H91" s="1917">
        <v>0</v>
      </c>
      <c r="I91" s="1918">
        <v>0</v>
      </c>
      <c r="J91" s="1918">
        <v>0</v>
      </c>
      <c r="K91" s="1918">
        <v>0</v>
      </c>
      <c r="L91" s="1918">
        <v>0</v>
      </c>
      <c r="M91" s="1918">
        <v>0</v>
      </c>
      <c r="N91" s="579">
        <f t="array" aca="1" ref="N91" ca="1">SUM(B32:B39*Production!$N$8:$N$15)</f>
        <v>27.370123241580004</v>
      </c>
      <c r="O91" s="579">
        <f t="array" aca="1" ref="O91" ca="1">SUM(C32:C39*Production!$N$8:$N$15)</f>
        <v>27.370123241580004</v>
      </c>
      <c r="P91" s="579">
        <f t="array" aca="1" ref="P91" ca="1">SUM(D32:D39*Production!$N$8:$N$15)</f>
        <v>27.370123241580004</v>
      </c>
      <c r="Q91" s="579">
        <f t="array" aca="1" ref="Q91" ca="1">SUM(E32:E39*Production!$N$8:$N$15)</f>
        <v>27.370123241580004</v>
      </c>
      <c r="R91" s="579">
        <f t="array" aca="1" ref="R91" ca="1">SUM(F32:F39*Production!$N$8:$N$15)</f>
        <v>27.370123241580004</v>
      </c>
      <c r="S91" s="579">
        <f t="array" aca="1" ref="S91" ca="1">SUM(G32:G39*Production!$N$8:$N$15)</f>
        <v>27.370123241580004</v>
      </c>
      <c r="T91" s="579">
        <f t="array" aca="1" ref="T91" ca="1">SUM(H32:H39*Production!$N$8:$N$15)</f>
        <v>27.370123241580004</v>
      </c>
      <c r="U91" s="579">
        <f t="array" aca="1" ref="U91" ca="1">SUM(I32:I39*Production!$N$8:$N$15)</f>
        <v>27.370123241580004</v>
      </c>
      <c r="V91" s="579">
        <f t="array" aca="1" ref="V91" ca="1">SUM(J32:J39*Production!$N$8:$N$15)</f>
        <v>27.370123241580004</v>
      </c>
      <c r="W91" s="579">
        <f t="array" aca="1" ref="W91" ca="1">SUM(K32:K39*Production!$N$8:$N$15)</f>
        <v>27.370123241580004</v>
      </c>
      <c r="X91" s="579">
        <f t="array" aca="1" ref="X91" ca="1">SUM(L32:L39*Production!$N$8:$N$15)</f>
        <v>27.370123241580004</v>
      </c>
      <c r="Y91" s="1936">
        <f t="array" aca="1" ref="Y91" ca="1">SUM(M32:M39*Production!$N$8:$N$15)</f>
        <v>27.370123241580004</v>
      </c>
    </row>
    <row r="92" spans="1:26" ht="15.75" customHeight="1">
      <c r="A92" s="1923" t="str">
        <v>1 month before</v>
      </c>
      <c r="B92" s="1919"/>
      <c r="C92" s="1919"/>
      <c r="D92" s="1919"/>
      <c r="E92" s="1919"/>
      <c r="F92" s="1919"/>
      <c r="G92" s="1919"/>
      <c r="H92" s="1919"/>
      <c r="I92" s="1916"/>
      <c r="J92" s="1916"/>
      <c r="K92" s="1916"/>
      <c r="L92" s="1916"/>
      <c r="M92" s="581">
        <f t="array" aca="1" ref="M92" ca="1">SUM(B32:B39*Production!$M$8:$M$15)</f>
        <v>0</v>
      </c>
      <c r="N92" s="581">
        <f t="array" aca="1" ref="N92" ca="1">SUM(C32:C39*Production!$M$8:$M$15)</f>
        <v>0</v>
      </c>
      <c r="O92" s="581">
        <f t="array" aca="1" ref="O92" ca="1">SUM(D32:D39*Production!$M$8:$M$15)</f>
        <v>0</v>
      </c>
      <c r="P92" s="581">
        <f t="array" aca="1" ref="P92" ca="1">SUM(E32:E39*Production!$M$8:$M$15)</f>
        <v>0</v>
      </c>
      <c r="Q92" s="581">
        <f t="array" aca="1" ref="Q92" ca="1">SUM(F32:F39*Production!$M$8:$M$15)</f>
        <v>0</v>
      </c>
      <c r="R92" s="581">
        <f t="array" aca="1" ref="R92" ca="1">SUM(G32:G39*Production!$M$8:$M$15)</f>
        <v>0</v>
      </c>
      <c r="S92" s="581">
        <f t="array" aca="1" ref="S92" ca="1">SUM(H32:H39*Production!$M$8:$M$15)</f>
        <v>0</v>
      </c>
      <c r="T92" s="581">
        <f t="array" aca="1" ref="T92" ca="1">SUM(I32:I39*Production!$M$8:$M$15)</f>
        <v>0</v>
      </c>
      <c r="U92" s="581">
        <f t="array" aca="1" ref="U92" ca="1">SUM(J32:J39*Production!$M$8:$M$15)</f>
        <v>0</v>
      </c>
      <c r="V92" s="581">
        <f t="array" aca="1" ref="V92" ca="1">SUM(K32:K39*Production!$M$8:$M$15)</f>
        <v>0</v>
      </c>
      <c r="W92" s="581">
        <f t="array" aca="1" ref="W92" ca="1">SUM(L32:L39*Production!$M$8:$M$15)</f>
        <v>0</v>
      </c>
      <c r="X92" s="581">
        <f t="array" aca="1" ref="X92" ca="1">SUM(M32:M39*Production!$M$8:$M$15)</f>
        <v>0</v>
      </c>
      <c r="Y92" s="1934"/>
    </row>
    <row r="93" spans="1:26" ht="15.75" customHeight="1">
      <c r="A93" s="1923" t="str">
        <v>2 months before</v>
      </c>
      <c r="B93" s="1919"/>
      <c r="C93" s="1919"/>
      <c r="D93" s="1919"/>
      <c r="E93" s="1919"/>
      <c r="F93" s="1919"/>
      <c r="G93" s="1919"/>
      <c r="H93" s="1919"/>
      <c r="I93" s="1916"/>
      <c r="J93" s="1916"/>
      <c r="K93" s="1916"/>
      <c r="L93" s="581">
        <f t="array" aca="1" ref="L93" ca="1">SUM(B32:B39*Production!$L$8:$L$15)</f>
        <v>0</v>
      </c>
      <c r="M93" s="581">
        <f t="array" aca="1" ref="M93" ca="1">SUM(C32:C39*Production!$L$8:$L$15)</f>
        <v>0</v>
      </c>
      <c r="N93" s="581">
        <f t="array" aca="1" ref="N93" ca="1">SUM(D32:D39*Production!$L$8:$L$15)</f>
        <v>0</v>
      </c>
      <c r="O93" s="581">
        <f t="array" aca="1" ref="O93" ca="1">SUM(E32:E39*Production!$L$8:$L$15)</f>
        <v>0</v>
      </c>
      <c r="P93" s="581">
        <f t="array" aca="1" ref="P93" ca="1">SUM(F32:F39*Production!$L$8:$L$15)</f>
        <v>0</v>
      </c>
      <c r="Q93" s="581">
        <f t="array" aca="1" ref="Q93" ca="1">SUM(G32:G39*Production!$L$8:$L$15)</f>
        <v>0</v>
      </c>
      <c r="R93" s="581">
        <f t="array" aca="1" ref="R93" ca="1">SUM(H32:H39*Production!$L$8:$L$15)</f>
        <v>0</v>
      </c>
      <c r="S93" s="581">
        <f t="array" aca="1" ref="S93" ca="1">SUM(I32:I39*Production!$L$8:$L$15)</f>
        <v>0</v>
      </c>
      <c r="T93" s="581">
        <f t="array" aca="1" ref="T93" ca="1">SUM(J32:J39*Production!$L$8:$L$15)</f>
        <v>0</v>
      </c>
      <c r="U93" s="581">
        <f t="array" aca="1" ref="U93" ca="1">SUM(K32:K39*Production!$L$8:$L$15)</f>
        <v>0</v>
      </c>
      <c r="V93" s="581">
        <f t="array" aca="1" ref="V93" ca="1">SUM(L32:L39*Production!$L$8:$L$15)</f>
        <v>0</v>
      </c>
      <c r="W93" s="581">
        <f t="array" aca="1" ref="W93" ca="1">SUM(M32:M39*Production!$L$8:$L$15)</f>
        <v>0</v>
      </c>
      <c r="X93" s="1916"/>
      <c r="Y93" s="1934"/>
    </row>
    <row r="94" spans="1:26" ht="15.75" customHeight="1">
      <c r="A94" s="1923" t="str">
        <v>3 months before</v>
      </c>
      <c r="B94" s="1919"/>
      <c r="C94" s="1919"/>
      <c r="D94" s="1919"/>
      <c r="E94" s="1919"/>
      <c r="F94" s="1919"/>
      <c r="G94" s="1919"/>
      <c r="H94" s="1919"/>
      <c r="I94" s="1916"/>
      <c r="J94" s="1916"/>
      <c r="K94" s="581">
        <f t="array" aca="1" ref="K94" ca="1">SUM(B32:B39*Production!$K$8:$K$15)</f>
        <v>0</v>
      </c>
      <c r="L94" s="581">
        <f t="array" aca="1" ref="L94" ca="1">SUM(C32:C39*Production!$K$8:$K$15)</f>
        <v>0</v>
      </c>
      <c r="M94" s="581">
        <f t="array" aca="1" ref="M94" ca="1">SUM(D32:D39*Production!$K$8:$K$15)</f>
        <v>0</v>
      </c>
      <c r="N94" s="581">
        <f t="array" aca="1" ref="N94" ca="1">SUM(E32:E39*Production!$K$8:$K$15)</f>
        <v>0</v>
      </c>
      <c r="O94" s="581">
        <f t="array" aca="1" ref="O94" ca="1">SUM(F32:F39*Production!$K$8:$K$15)</f>
        <v>0</v>
      </c>
      <c r="P94" s="581">
        <f t="array" aca="1" ref="P94" ca="1">SUM(G32:G39*Production!$K$8:$K$15)</f>
        <v>0</v>
      </c>
      <c r="Q94" s="581">
        <f t="array" aca="1" ref="Q94" ca="1">SUM(H32:H39*Production!$K$8:$K$15)</f>
        <v>0</v>
      </c>
      <c r="R94" s="581">
        <f t="array" aca="1" ref="R94" ca="1">SUM(I32:I39*Production!$K$8:$K$15)</f>
        <v>0</v>
      </c>
      <c r="S94" s="581">
        <f t="array" aca="1" ref="S94" ca="1">SUM(J32:J39*Production!$K$8:$K$15)</f>
        <v>0</v>
      </c>
      <c r="T94" s="581">
        <f t="array" aca="1" ref="T94" ca="1">SUM(K32:K39*Production!$K$8:$K$15)</f>
        <v>0</v>
      </c>
      <c r="U94" s="581">
        <f t="array" aca="1" ref="U94" ca="1">SUM(L32:L39*Production!$K$8:$K$15)</f>
        <v>0</v>
      </c>
      <c r="V94" s="581">
        <f t="array" aca="1" ref="V94" ca="1">SUM(M32:M39*Production!$K$8:$K$15)</f>
        <v>0</v>
      </c>
      <c r="W94" s="1916"/>
      <c r="X94" s="1916"/>
      <c r="Y94" s="1934"/>
    </row>
    <row r="95" spans="1:26" ht="15.75" customHeight="1">
      <c r="A95" s="1923" t="str">
        <v>4 months before</v>
      </c>
      <c r="B95" s="1919"/>
      <c r="C95" s="1919"/>
      <c r="D95" s="1919"/>
      <c r="E95" s="1919"/>
      <c r="F95" s="1919"/>
      <c r="G95" s="1919"/>
      <c r="H95" s="1919"/>
      <c r="I95" s="1916"/>
      <c r="J95" s="581">
        <f t="array" aca="1" ref="J95" ca="1">SUM(B32:B39*Production!$J$8:$J$15)</f>
        <v>0</v>
      </c>
      <c r="K95" s="581">
        <f t="array" aca="1" ref="K95" ca="1">SUM(C32:C39*Production!$J$8:$J$15)</f>
        <v>0</v>
      </c>
      <c r="L95" s="581">
        <f t="array" aca="1" ref="L95" ca="1">SUM(D32:D39*Production!$J$8:$J$15)</f>
        <v>0</v>
      </c>
      <c r="M95" s="581">
        <f t="array" aca="1" ref="M95" ca="1">SUM(E32:E39*Production!$J$8:$J$15)</f>
        <v>0</v>
      </c>
      <c r="N95" s="581">
        <f t="array" aca="1" ref="N95" ca="1">SUM(F32:F39*Production!$J$8:$J$15)</f>
        <v>0</v>
      </c>
      <c r="O95" s="581">
        <f t="array" aca="1" ref="O95" ca="1">SUM(G32:G39*Production!$J$8:$J$15)</f>
        <v>0</v>
      </c>
      <c r="P95" s="581">
        <f t="array" aca="1" ref="P95" ca="1">SUM(H32:H39*Production!$J$8:$J$15)</f>
        <v>0</v>
      </c>
      <c r="Q95" s="581">
        <f t="array" aca="1" ref="Q95" ca="1">SUM(I32:I39*Production!$J$8:$J$15)</f>
        <v>0</v>
      </c>
      <c r="R95" s="581">
        <f t="array" aca="1" ref="R95" ca="1">SUM(J32:J39*Production!$J$8:$J$15)</f>
        <v>0</v>
      </c>
      <c r="S95" s="581">
        <f t="array" aca="1" ref="S95" ca="1">SUM(K32:K39*Production!$J$8:$J$15)</f>
        <v>0</v>
      </c>
      <c r="T95" s="581">
        <f t="array" aca="1" ref="T95" ca="1">SUM(L32:L39*Production!$J$8:$J$15)</f>
        <v>0</v>
      </c>
      <c r="U95" s="581">
        <f t="array" aca="1" ref="U95" ca="1">SUM(M32:M39*Production!$J$8:$J$15)</f>
        <v>0</v>
      </c>
      <c r="V95" s="1916"/>
      <c r="W95" s="1916"/>
      <c r="X95" s="1916"/>
      <c r="Y95" s="1934"/>
    </row>
    <row r="96" spans="1:26" ht="15.75" customHeight="1">
      <c r="A96" s="1923" t="str">
        <v>5 months before</v>
      </c>
      <c r="B96" s="1919"/>
      <c r="C96" s="1919"/>
      <c r="D96" s="1919"/>
      <c r="E96" s="1919"/>
      <c r="F96" s="1919"/>
      <c r="G96" s="1919"/>
      <c r="H96" s="1919"/>
      <c r="I96" s="581">
        <f t="array" aca="1" ref="I96" ca="1">SUM(B32:B39*Production!$I$8:$I$15)</f>
        <v>0</v>
      </c>
      <c r="J96" s="581">
        <f t="array" aca="1" ref="J96" ca="1">SUM(C32:C39*Production!$I$8:$I$15)</f>
        <v>0</v>
      </c>
      <c r="K96" s="581">
        <f t="array" aca="1" ref="K96" ca="1">SUM(D32:D39*Production!$I$8:$I$15)</f>
        <v>0</v>
      </c>
      <c r="L96" s="581">
        <f t="array" aca="1" ref="L96" ca="1">SUM(E32:E39*Production!$I$8:$I$15)</f>
        <v>0</v>
      </c>
      <c r="M96" s="581">
        <f t="array" aca="1" ref="M96" ca="1">SUM(F32:F39*Production!$I$8:$I$15)</f>
        <v>0</v>
      </c>
      <c r="N96" s="581">
        <f t="array" aca="1" ref="N96" ca="1">SUM(G32:G39*Production!$I$8:$I$15)</f>
        <v>0</v>
      </c>
      <c r="O96" s="581">
        <f t="array" aca="1" ref="O96" ca="1">SUM(H32:H39*Production!$I$8:$I$15)</f>
        <v>0</v>
      </c>
      <c r="P96" s="581">
        <f t="array" aca="1" ref="P96" ca="1">SUM(I32:I39*Production!$I$8:$I$15)</f>
        <v>0</v>
      </c>
      <c r="Q96" s="581">
        <f t="array" aca="1" ref="Q96" ca="1">SUM(J32:J39*Production!$I$8:$I$15)</f>
        <v>0</v>
      </c>
      <c r="R96" s="581">
        <f t="array" aca="1" ref="R96" ca="1">SUM(K32:K39*Production!$I$8:$I$15)</f>
        <v>0</v>
      </c>
      <c r="S96" s="581">
        <f t="array" aca="1" ref="S96" ca="1">SUM(L32:L39*Production!$I$8:$I$15)</f>
        <v>0</v>
      </c>
      <c r="T96" s="581">
        <f t="array" aca="1" ref="T96" ca="1">SUM(M32:M39*Production!$I$8:$I$15)</f>
        <v>0</v>
      </c>
      <c r="U96" s="1916"/>
      <c r="V96" s="1916"/>
      <c r="W96" s="1916"/>
      <c r="X96" s="1916"/>
      <c r="Y96" s="1934"/>
    </row>
    <row r="97" spans="1:26" ht="15.75" customHeight="1">
      <c r="A97" s="1923" t="str">
        <v>6 months before</v>
      </c>
      <c r="B97" s="1919"/>
      <c r="C97" s="1919"/>
      <c r="D97" s="1919"/>
      <c r="E97" s="1919"/>
      <c r="F97" s="1919"/>
      <c r="G97" s="1919"/>
      <c r="H97" s="581">
        <f t="array" aca="1" ref="H97" ca="1">SUM(B32:B39*Production!$H$8:$H$15)</f>
        <v>0</v>
      </c>
      <c r="I97" s="581">
        <f t="array" aca="1" ref="I97" ca="1">SUM(C32:C39*Production!$H$8:$H$15)</f>
        <v>0</v>
      </c>
      <c r="J97" s="581">
        <f t="array" aca="1" ref="J97" ca="1">SUM(D32:D39*Production!$H$8:$H$15)</f>
        <v>0</v>
      </c>
      <c r="K97" s="581">
        <f t="array" aca="1" ref="K97" ca="1">SUM(E32:E39*Production!$H$8:$H$15)</f>
        <v>0</v>
      </c>
      <c r="L97" s="581">
        <f t="array" aca="1" ref="L97" ca="1">SUM(F32:F39*Production!$H$8:$H$15)</f>
        <v>0</v>
      </c>
      <c r="M97" s="581">
        <f t="array" aca="1" ref="M97" ca="1">SUM(G32:G39*Production!$H$8:$H$15)</f>
        <v>0</v>
      </c>
      <c r="N97" s="581">
        <f t="array" aca="1" ref="N97" ca="1">SUM(H32:H39*Production!$H$8:$H$15)</f>
        <v>0</v>
      </c>
      <c r="O97" s="581">
        <f t="array" aca="1" ref="O97" ca="1">SUM(I32:I39*Production!$H$8:$H$15)</f>
        <v>0</v>
      </c>
      <c r="P97" s="581">
        <f t="array" aca="1" ref="P97" ca="1">SUM(J32:J39*Production!$H$8:$H$15)</f>
        <v>0</v>
      </c>
      <c r="Q97" s="581">
        <f t="array" aca="1" ref="Q97" ca="1">SUM(K32:K39*Production!$H$8:$H$15)</f>
        <v>0</v>
      </c>
      <c r="R97" s="581">
        <f t="array" aca="1" ref="R97" ca="1">SUM(L32:L39*Production!$H$8:$H$15)</f>
        <v>0</v>
      </c>
      <c r="S97" s="581">
        <f t="array" aca="1" ref="S97" ca="1">SUM(M32:M39*Production!$H$8:$H$15)</f>
        <v>0</v>
      </c>
      <c r="T97" s="1916"/>
      <c r="U97" s="1916"/>
      <c r="V97" s="1916"/>
      <c r="W97" s="1916"/>
      <c r="X97" s="1916"/>
      <c r="Y97" s="1934"/>
    </row>
    <row r="98" spans="1:26" ht="15.75" customHeight="1">
      <c r="A98" s="1923" t="str">
        <v>7 months before</v>
      </c>
      <c r="B98" s="1919"/>
      <c r="C98" s="1919"/>
      <c r="D98" s="1919"/>
      <c r="E98" s="1919"/>
      <c r="F98" s="1919"/>
      <c r="G98" s="583">
        <f t="array" aca="1" ref="G98" ca="1">SUM(B32:B39*Production!$G$8:$G$15)</f>
        <v>0</v>
      </c>
      <c r="H98" s="583">
        <f t="array" aca="1" ref="H98" ca="1">SUM(C32:C39*Production!$G$8:$G$15)</f>
        <v>0</v>
      </c>
      <c r="I98" s="583">
        <f t="array" aca="1" ref="I98" ca="1">SUM(D32:D39*Production!$G$8:$G$15)</f>
        <v>0</v>
      </c>
      <c r="J98" s="583">
        <f t="array" aca="1" ref="J98" ca="1">SUM(E32:E39*Production!$G$8:$G$15)</f>
        <v>0</v>
      </c>
      <c r="K98" s="583">
        <f t="array" aca="1" ref="K98" ca="1">SUM(F32:F39*Production!$G$8:$G$15)</f>
        <v>0</v>
      </c>
      <c r="L98" s="583">
        <f t="array" aca="1" ref="L98" ca="1">SUM(G32:G39*Production!$G$8:$G$15)</f>
        <v>0</v>
      </c>
      <c r="M98" s="583">
        <f t="array" aca="1" ref="M98" ca="1">SUM(H32:H39*Production!$G$8:$G$15)</f>
        <v>0</v>
      </c>
      <c r="N98" s="583">
        <f t="array" aca="1" ref="N98" ca="1">SUM(I32:I39*Production!$G$8:$G$15)</f>
        <v>0</v>
      </c>
      <c r="O98" s="583">
        <f t="array" aca="1" ref="O98" ca="1">SUM(J32:J39*Production!$G$8:$G$15)</f>
        <v>0</v>
      </c>
      <c r="P98" s="583">
        <f t="array" aca="1" ref="P98" ca="1">SUM(K32:K39*Production!$G$8:$G$15)</f>
        <v>0</v>
      </c>
      <c r="Q98" s="583">
        <f t="array" aca="1" ref="Q98" ca="1">SUM(L32:L39*Production!$G$8:$G$15)</f>
        <v>0</v>
      </c>
      <c r="R98" s="583">
        <f t="array" aca="1" ref="R98" ca="1">SUM(M32:M39*Production!$G$8:$G$15)</f>
        <v>0</v>
      </c>
      <c r="S98" s="1920"/>
      <c r="T98" s="1920"/>
      <c r="U98" s="1920"/>
      <c r="V98" s="1920"/>
      <c r="W98" s="1920"/>
      <c r="X98" s="1920"/>
      <c r="Y98" s="1937"/>
    </row>
    <row r="99" spans="1:26" ht="15.75" customHeight="1">
      <c r="A99" s="1923" t="str">
        <v>8 months before</v>
      </c>
      <c r="B99" s="1919"/>
      <c r="C99" s="1919"/>
      <c r="D99" s="1919"/>
      <c r="E99" s="1919"/>
      <c r="F99" s="583">
        <f t="array" aca="1" ref="F99" ca="1">SUM(B32:B39*Production!$F$8:$F$15)</f>
        <v>0</v>
      </c>
      <c r="G99" s="583">
        <f t="array" aca="1" ref="G99" ca="1">SUM(C32:C39*Production!$F$8:$F$15)</f>
        <v>0</v>
      </c>
      <c r="H99" s="583">
        <f t="array" aca="1" ref="H99" ca="1">SUM(D32:D39*Production!$F$8:$F$15)</f>
        <v>0</v>
      </c>
      <c r="I99" s="583">
        <f t="array" aca="1" ref="I99" ca="1">SUM(E32:E39*Production!$F$8:$F$15)</f>
        <v>0</v>
      </c>
      <c r="J99" s="583">
        <f t="array" aca="1" ref="J99" ca="1">SUM(F32:F39*Production!$F$8:$F$15)</f>
        <v>0</v>
      </c>
      <c r="K99" s="583">
        <f t="array" aca="1" ref="K99" ca="1">SUM(G32:G39*Production!$F$8:$F$15)</f>
        <v>0</v>
      </c>
      <c r="L99" s="583">
        <f t="array" aca="1" ref="L99" ca="1">SUM(H32:H39*Production!$F$8:$F$15)</f>
        <v>0</v>
      </c>
      <c r="M99" s="583">
        <f t="array" aca="1" ref="M99" ca="1">SUM(I32:I39*Production!$F$8:$F$15)</f>
        <v>0</v>
      </c>
      <c r="N99" s="583">
        <f t="array" aca="1" ref="N99" ca="1">SUM(J32:J39*Production!$F$8:$F$15)</f>
        <v>0</v>
      </c>
      <c r="O99" s="583">
        <f t="array" aca="1" ref="O99" ca="1">SUM(K32:K39*Production!$F$8:$F$15)</f>
        <v>0</v>
      </c>
      <c r="P99" s="583">
        <f t="array" aca="1" ref="P99" ca="1">SUM(L32:L39*Production!$F$8:$F$15)</f>
        <v>0</v>
      </c>
      <c r="Q99" s="583">
        <f t="array" aca="1" ref="Q99" ca="1">SUM(M32:M39*Production!$F$8:$F$15)</f>
        <v>0</v>
      </c>
      <c r="R99" s="1920"/>
      <c r="S99" s="1920"/>
      <c r="T99" s="1920"/>
      <c r="U99" s="1920"/>
      <c r="V99" s="1920"/>
      <c r="W99" s="1920"/>
      <c r="X99" s="1920"/>
      <c r="Y99" s="1937"/>
    </row>
    <row r="100" spans="1:26" ht="15.75" customHeight="1">
      <c r="A100" s="1923" t="str">
        <v>9 months before</v>
      </c>
      <c r="B100" s="1919"/>
      <c r="C100" s="1919"/>
      <c r="D100" s="1919"/>
      <c r="E100" s="583">
        <f t="array" aca="1" ref="E100" ca="1">SUM(B32:B39*Production!$E$8:$E$15)</f>
        <v>0</v>
      </c>
      <c r="F100" s="583">
        <f t="array" aca="1" ref="F100" ca="1">SUM(C32:C39*Production!$E$8:$E$15)</f>
        <v>0</v>
      </c>
      <c r="G100" s="583">
        <f t="array" aca="1" ref="G100" ca="1">SUM(D32:D39*Production!$E$8:$E$15)</f>
        <v>0</v>
      </c>
      <c r="H100" s="583">
        <f t="array" aca="1" ref="H100" ca="1">SUM(E32:E39*Production!$E$8:$E$15)</f>
        <v>0</v>
      </c>
      <c r="I100" s="583">
        <f t="array" aca="1" ref="I100" ca="1">SUM(F32:F39*Production!$E$8:$E$15)</f>
        <v>0</v>
      </c>
      <c r="J100" s="583">
        <f t="array" aca="1" ref="J100" ca="1">SUM(G32:G39*Production!$E$8:$E$15)</f>
        <v>0</v>
      </c>
      <c r="K100" s="583">
        <f t="array" aca="1" ref="K100" ca="1">SUM(H32:H39*Production!$E$8:$E$15)</f>
        <v>0</v>
      </c>
      <c r="L100" s="583">
        <f t="array" aca="1" ref="L100" ca="1">SUM(I32:I39*Production!$E$8:$E$15)</f>
        <v>0</v>
      </c>
      <c r="M100" s="583">
        <f t="array" aca="1" ref="M100" ca="1">SUM(J32:J39*Production!$E$8:$E$15)</f>
        <v>0</v>
      </c>
      <c r="N100" s="583">
        <f t="array" aca="1" ref="N100" ca="1">SUM(K32:K39*Production!$E$8:$E$15)</f>
        <v>0</v>
      </c>
      <c r="O100" s="583">
        <f t="array" aca="1" ref="O100" ca="1">SUM(L32:L39*Production!$E$8:$E$15)</f>
        <v>0</v>
      </c>
      <c r="P100" s="583">
        <f t="array" aca="1" ref="P100" ca="1">SUM(M32:M39*Production!$E$8:$E$15)</f>
        <v>0</v>
      </c>
      <c r="Q100" s="1920"/>
      <c r="R100" s="1920"/>
      <c r="S100" s="1920"/>
      <c r="T100" s="1920"/>
      <c r="U100" s="1920"/>
      <c r="V100" s="1920"/>
      <c r="W100" s="1920"/>
      <c r="X100" s="1920"/>
      <c r="Y100" s="1937"/>
    </row>
    <row r="101" spans="1:26" ht="15.75" customHeight="1">
      <c r="A101" s="1923" t="str">
        <v>10 months before</v>
      </c>
      <c r="B101" s="1919"/>
      <c r="C101" s="1919"/>
      <c r="D101" s="582">
        <f t="array" aca="1" ref="D101" ca="1">SUM(B32:B39*Production!$D$8:$D$15)</f>
        <v>0</v>
      </c>
      <c r="E101" s="582">
        <f t="array" aca="1" ref="E101" ca="1">SUM(C32:C39*Production!$D$8:$D$15)</f>
        <v>0</v>
      </c>
      <c r="F101" s="582">
        <f t="array" aca="1" ref="F101" ca="1">SUM(D32:D39*Production!$D$8:$D$15)</f>
        <v>0</v>
      </c>
      <c r="G101" s="582">
        <f t="array" aca="1" ref="G101" ca="1">SUM(E32:E39*Production!$D$8:$D$15)</f>
        <v>0</v>
      </c>
      <c r="H101" s="582">
        <f t="array" aca="1" ref="H101" ca="1">SUM(F32:F39*Production!$D$8:$D$15)</f>
        <v>0</v>
      </c>
      <c r="I101" s="582">
        <f t="array" aca="1" ref="I101" ca="1">SUM(G32:G39*Production!$D$8:$D$15)</f>
        <v>0</v>
      </c>
      <c r="J101" s="582">
        <f t="array" aca="1" ref="J101" ca="1">SUM(H32:H39*Production!$D$8:$D$15)</f>
        <v>0</v>
      </c>
      <c r="K101" s="582">
        <f t="array" aca="1" ref="K101" ca="1">SUM(I32:I39*Production!$D$8:$D$15)</f>
        <v>0</v>
      </c>
      <c r="L101" s="582">
        <f t="array" aca="1" ref="L101" ca="1">SUM(J32:J39*Production!$D$8:$D$15)</f>
        <v>0</v>
      </c>
      <c r="M101" s="582">
        <f t="array" aca="1" ref="M101" ca="1">SUM(K32:K39*Production!$D$8:$D$15)</f>
        <v>0</v>
      </c>
      <c r="N101" s="582">
        <f t="array" aca="1" ref="N101" ca="1">SUM(L32:L39*Production!$D$8:$D$15)</f>
        <v>0</v>
      </c>
      <c r="O101" s="582">
        <f t="array" aca="1" ref="O101" ca="1">SUM(M32:M39*Production!$D$8:$D$15)</f>
        <v>0</v>
      </c>
      <c r="P101" s="1920"/>
      <c r="Q101" s="1920"/>
      <c r="R101" s="1920"/>
      <c r="S101" s="1920"/>
      <c r="T101" s="1920"/>
      <c r="U101" s="1920"/>
      <c r="V101" s="1920"/>
      <c r="W101" s="1920"/>
      <c r="X101" s="1920"/>
      <c r="Y101" s="1937"/>
    </row>
    <row r="102" spans="1:26" ht="15.75" customHeight="1">
      <c r="A102" s="1923" t="str">
        <v>11 months before</v>
      </c>
      <c r="B102" s="1919"/>
      <c r="C102" s="583">
        <f t="array" aca="1" ref="C102" ca="1">SUM(B32:B39*Production!$C$8:$C$15)</f>
        <v>0</v>
      </c>
      <c r="D102" s="583">
        <f t="array" aca="1" ref="D102" ca="1">SUM(C32:C39*Production!$C$8:$C$15)</f>
        <v>0</v>
      </c>
      <c r="E102" s="583">
        <f t="array" aca="1" ref="E102" ca="1">SUM(D32:D39*Production!$C$8:$C$15)</f>
        <v>0</v>
      </c>
      <c r="F102" s="583">
        <f t="array" aca="1" ref="F102" ca="1">SUM(E32:E39*Production!$C$8:$C$15)</f>
        <v>0</v>
      </c>
      <c r="G102" s="583">
        <f t="array" aca="1" ref="G102" ca="1">SUM(F32:F39*Production!$C$8:$C$15)</f>
        <v>0</v>
      </c>
      <c r="H102" s="583">
        <f t="array" aca="1" ref="H102" ca="1">SUM(G32:G39*Production!$C$8:$C$15)</f>
        <v>0</v>
      </c>
      <c r="I102" s="583">
        <f t="array" aca="1" ref="I102" ca="1">SUM(H32:H39*Production!$C$8:$C$15)</f>
        <v>0</v>
      </c>
      <c r="J102" s="583">
        <f t="array" aca="1" ref="J102" ca="1">SUM(I32:I39*Production!$C$8:$C$15)</f>
        <v>0</v>
      </c>
      <c r="K102" s="583">
        <f t="array" aca="1" ref="K102" ca="1">SUM(J32:J39*Production!$C$8:$C$15)</f>
        <v>0</v>
      </c>
      <c r="L102" s="583">
        <f t="array" aca="1" ref="L102" ca="1">SUM(K32:K39*Production!$C$8:$C$15)</f>
        <v>0</v>
      </c>
      <c r="M102" s="583">
        <f t="array" aca="1" ref="M102" ca="1">SUM(L32:L39*Production!$C$8:$C$15)</f>
        <v>0</v>
      </c>
      <c r="N102" s="583">
        <f t="array" aca="1" ref="N102" ca="1">SUM(M32:M39*Production!$C$8:$C$15)</f>
        <v>0</v>
      </c>
      <c r="O102" s="1920"/>
      <c r="P102" s="1920"/>
      <c r="Q102" s="1920"/>
      <c r="R102" s="1920"/>
      <c r="S102" s="1920"/>
      <c r="T102" s="1920"/>
      <c r="U102" s="1920"/>
      <c r="V102" s="1920"/>
      <c r="W102" s="1920"/>
      <c r="X102" s="1920"/>
      <c r="Y102" s="1937"/>
    </row>
    <row r="103" spans="1:26" ht="15.75" customHeight="1" thickBot="1">
      <c r="A103" s="1923" t="str">
        <v>12 months before</v>
      </c>
      <c r="B103" s="583">
        <f t="array" aca="1" ref="B103" ca="1">SUM(B32:B39*Production!$B$8:$B$15)</f>
        <v>0</v>
      </c>
      <c r="C103" s="583">
        <f t="array" aca="1" ref="C103" ca="1">SUM(C32:C39*Production!$B$8:$B$15)</f>
        <v>0</v>
      </c>
      <c r="D103" s="583">
        <f t="array" aca="1" ref="D103" ca="1">SUM(D32:D39*Production!$B$8:$B$15)</f>
        <v>0</v>
      </c>
      <c r="E103" s="583">
        <f t="array" aca="1" ref="E103" ca="1">SUM(E32:E39*Production!$B$8:$B$15)</f>
        <v>0</v>
      </c>
      <c r="F103" s="583">
        <f t="array" aca="1" ref="F103" ca="1">SUM(F32:F39*Production!$B$8:$B$15)</f>
        <v>0</v>
      </c>
      <c r="G103" s="583">
        <f t="array" aca="1" ref="G103" ca="1">SUM(G32:G39*Production!$B$8:$B$15)</f>
        <v>0</v>
      </c>
      <c r="H103" s="583">
        <f t="array" aca="1" ref="H103" ca="1">SUM(H32:H39*Production!$B$8:$B$15)</f>
        <v>0</v>
      </c>
      <c r="I103" s="583">
        <f t="array" aca="1" ref="I103" ca="1">SUM(I32:I39*Production!$B$8:$B$15)</f>
        <v>0</v>
      </c>
      <c r="J103" s="583">
        <f t="array" aca="1" ref="J103" ca="1">SUM(J32:J39*Production!$B$8:$B$15)</f>
        <v>0</v>
      </c>
      <c r="K103" s="583">
        <f t="array" aca="1" ref="K103" ca="1">SUM(K32:K39*Production!$B$8:$B$15)</f>
        <v>0</v>
      </c>
      <c r="L103" s="583">
        <f t="array" aca="1" ref="L103" ca="1">SUM(L32:L39*Production!$B$8:$B$15)</f>
        <v>0</v>
      </c>
      <c r="M103" s="583">
        <f t="array" aca="1" ref="M103" ca="1">SUM(M32:M39*Production!$B$8:$B$15)</f>
        <v>0</v>
      </c>
      <c r="N103" s="1920"/>
      <c r="O103" s="1920"/>
      <c r="P103" s="1920"/>
      <c r="Q103" s="1920"/>
      <c r="R103" s="1920"/>
      <c r="S103" s="1920"/>
      <c r="T103" s="1920"/>
      <c r="U103" s="1920"/>
      <c r="V103" s="1920"/>
      <c r="W103" s="1920"/>
      <c r="X103" s="1920"/>
      <c r="Y103" s="1937"/>
    </row>
    <row r="104" spans="1:26" ht="15.75" customHeight="1" thickBot="1">
      <c r="A104" s="2403" t="s">
        <v>577</v>
      </c>
      <c r="B104" s="587">
        <f t="shared" ref="B104:Y104" ca="1" si="10">SUM(B91:B103)</f>
        <v>0</v>
      </c>
      <c r="C104" s="587">
        <f t="shared" ca="1" si="10"/>
        <v>0</v>
      </c>
      <c r="D104" s="587">
        <f t="shared" ca="1" si="10"/>
        <v>0</v>
      </c>
      <c r="E104" s="587">
        <f t="shared" ca="1" si="10"/>
        <v>0</v>
      </c>
      <c r="F104" s="587">
        <f t="shared" ca="1" si="10"/>
        <v>0</v>
      </c>
      <c r="G104" s="587">
        <f t="shared" ca="1" si="10"/>
        <v>0</v>
      </c>
      <c r="H104" s="587">
        <f t="shared" ca="1" si="10"/>
        <v>0</v>
      </c>
      <c r="I104" s="587">
        <f t="shared" ca="1" si="10"/>
        <v>0</v>
      </c>
      <c r="J104" s="587">
        <f t="shared" ca="1" si="10"/>
        <v>0</v>
      </c>
      <c r="K104" s="587">
        <f t="shared" ca="1" si="10"/>
        <v>0</v>
      </c>
      <c r="L104" s="587">
        <f t="shared" ca="1" si="10"/>
        <v>0</v>
      </c>
      <c r="M104" s="587">
        <f t="shared" ca="1" si="10"/>
        <v>0</v>
      </c>
      <c r="N104" s="587">
        <f t="shared" ca="1" si="10"/>
        <v>27.370123241580004</v>
      </c>
      <c r="O104" s="587">
        <f t="shared" ca="1" si="10"/>
        <v>27.370123241580004</v>
      </c>
      <c r="P104" s="587">
        <f t="shared" ca="1" si="10"/>
        <v>27.370123241580004</v>
      </c>
      <c r="Q104" s="587">
        <f t="shared" ca="1" si="10"/>
        <v>27.370123241580004</v>
      </c>
      <c r="R104" s="587">
        <f t="shared" ca="1" si="10"/>
        <v>27.370123241580004</v>
      </c>
      <c r="S104" s="587">
        <f t="shared" ca="1" si="10"/>
        <v>27.370123241580004</v>
      </c>
      <c r="T104" s="587">
        <f t="shared" ca="1" si="10"/>
        <v>27.370123241580004</v>
      </c>
      <c r="U104" s="587">
        <f t="shared" ca="1" si="10"/>
        <v>27.370123241580004</v>
      </c>
      <c r="V104" s="587">
        <f t="shared" ca="1" si="10"/>
        <v>27.370123241580004</v>
      </c>
      <c r="W104" s="587">
        <f t="shared" ca="1" si="10"/>
        <v>27.370123241580004</v>
      </c>
      <c r="X104" s="587">
        <f t="shared" ca="1" si="10"/>
        <v>27.370123241580004</v>
      </c>
      <c r="Y104" s="1935">
        <f t="shared" ca="1" si="10"/>
        <v>27.370123241580004</v>
      </c>
    </row>
    <row r="106" spans="1:26">
      <c r="A106" s="230" t="str">
        <f>"Previous "&amp;'Base Data'!$A$28</f>
        <v>Previous VAT</v>
      </c>
      <c r="B106" s="61">
        <f ca="1">SUM(B104:M104)</f>
        <v>0</v>
      </c>
    </row>
    <row r="108" spans="1:26">
      <c r="F108" s="61" t="str">
        <f>'DC Distr 0'!F108</f>
        <v>(NEEDED TO CALCULATE SUBSEQUENT MONTHLY PAYMENTS TO BE DONE)</v>
      </c>
      <c r="L108" s="2404" t="s">
        <v>615</v>
      </c>
    </row>
    <row r="109" spans="1:26" ht="18.75" thickBot="1">
      <c r="A109" s="1921" t="str">
        <f>'DC Distr 0'!A109</f>
        <v>Monthly Purchases / Production costs for product 1</v>
      </c>
      <c r="I109" s="1921" t="str">
        <f>I$18</f>
        <v>VAT NOT included</v>
      </c>
      <c r="K109" s="1932">
        <f>Parameters!$F$24</f>
        <v>0.21</v>
      </c>
    </row>
    <row r="110" spans="1:26" s="440" customFormat="1" ht="30" customHeight="1" thickBot="1">
      <c r="A110" s="441" t="s">
        <v>613</v>
      </c>
      <c r="B110" s="1938" t="str">
        <f t="array" ref="B110:Y110">B$71:Y$71</f>
        <v>January
2030</v>
      </c>
      <c r="C110" s="1938" t="str">
        <v>February
2030</v>
      </c>
      <c r="D110" s="1938" t="str">
        <v>March
2030</v>
      </c>
      <c r="E110" s="1938" t="str">
        <v>April
2030</v>
      </c>
      <c r="F110" s="1938" t="str">
        <v>May
2030</v>
      </c>
      <c r="G110" s="1938" t="str">
        <v>June
2030</v>
      </c>
      <c r="H110" s="1938" t="str">
        <v>July
2030</v>
      </c>
      <c r="I110" s="1938" t="str">
        <v>August
2030</v>
      </c>
      <c r="J110" s="1938" t="str">
        <v>September
2030</v>
      </c>
      <c r="K110" s="1938" t="str">
        <v>October
2030</v>
      </c>
      <c r="L110" s="1938" t="str">
        <v>November
2030</v>
      </c>
      <c r="M110" s="1938" t="str">
        <v>December
2030</v>
      </c>
      <c r="N110" s="2721" t="str">
        <v>January 
2031</v>
      </c>
      <c r="O110" s="2722" t="str">
        <v>February 
2031</v>
      </c>
      <c r="P110" s="2722" t="str">
        <v>March 
2031</v>
      </c>
      <c r="Q110" s="2722" t="str">
        <v>April 
2031</v>
      </c>
      <c r="R110" s="2722" t="str">
        <v>May 
2031</v>
      </c>
      <c r="S110" s="2722" t="str">
        <v>June 
2031</v>
      </c>
      <c r="T110" s="2722" t="str">
        <v>July 
2031</v>
      </c>
      <c r="U110" s="2722" t="str">
        <v>August 
2031</v>
      </c>
      <c r="V110" s="2722" t="str">
        <v>September 
2031</v>
      </c>
      <c r="W110" s="2722" t="str">
        <v>October 
2031</v>
      </c>
      <c r="X110" s="2722" t="str">
        <v>November 
2031</v>
      </c>
      <c r="Y110" s="2723" t="str">
        <v>December 
2031</v>
      </c>
      <c r="Z110" s="61"/>
    </row>
    <row r="111" spans="1:26">
      <c r="A111" s="1922" t="str">
        <f t="array" ref="A111:A123">A$91:A$103</f>
        <v>same month</v>
      </c>
      <c r="B111" s="1919"/>
      <c r="C111" s="1919"/>
      <c r="D111" s="1919"/>
      <c r="E111" s="1919"/>
      <c r="F111" s="1919"/>
      <c r="G111" s="1919"/>
      <c r="H111" s="1919"/>
      <c r="I111" s="1919"/>
      <c r="J111" s="1919"/>
      <c r="K111" s="1919"/>
      <c r="L111" s="1919"/>
      <c r="M111" s="1919"/>
      <c r="N111" s="583">
        <f t="array" aca="1" ref="N111:Y111" ca="1">B$20:M20*Production!$N$8</f>
        <v>130.33392019800002</v>
      </c>
      <c r="O111" s="583">
        <f ca="1"/>
        <v>130.33392019800002</v>
      </c>
      <c r="P111" s="583">
        <f ca="1"/>
        <v>130.33392019800002</v>
      </c>
      <c r="Q111" s="583">
        <f ca="1"/>
        <v>130.33392019800002</v>
      </c>
      <c r="R111" s="583">
        <f ca="1"/>
        <v>130.33392019800002</v>
      </c>
      <c r="S111" s="583">
        <f ca="1"/>
        <v>130.33392019800002</v>
      </c>
      <c r="T111" s="583">
        <f ca="1"/>
        <v>130.33392019800002</v>
      </c>
      <c r="U111" s="583">
        <f ca="1"/>
        <v>130.33392019800002</v>
      </c>
      <c r="V111" s="583">
        <f ca="1"/>
        <v>130.33392019800002</v>
      </c>
      <c r="W111" s="583">
        <f ca="1"/>
        <v>130.33392019800002</v>
      </c>
      <c r="X111" s="583">
        <f ca="1"/>
        <v>130.33392019800002</v>
      </c>
      <c r="Y111" s="1933">
        <f ca="1"/>
        <v>130.33392019800002</v>
      </c>
    </row>
    <row r="112" spans="1:26">
      <c r="A112" s="1923" t="str">
        <v>1 month before</v>
      </c>
      <c r="B112" s="1919"/>
      <c r="C112" s="1919"/>
      <c r="D112" s="1919"/>
      <c r="E112" s="1919"/>
      <c r="F112" s="1919"/>
      <c r="G112" s="1919"/>
      <c r="H112" s="1919"/>
      <c r="I112" s="1919"/>
      <c r="J112" s="1919"/>
      <c r="K112" s="1919"/>
      <c r="L112" s="1919"/>
      <c r="M112" s="583">
        <f t="array" aca="1" ref="M112:X112" ca="1">B$20:M20*Production!$M$8</f>
        <v>0</v>
      </c>
      <c r="N112" s="583">
        <f ca="1"/>
        <v>0</v>
      </c>
      <c r="O112" s="583">
        <f ca="1"/>
        <v>0</v>
      </c>
      <c r="P112" s="583">
        <f ca="1"/>
        <v>0</v>
      </c>
      <c r="Q112" s="583">
        <f ca="1"/>
        <v>0</v>
      </c>
      <c r="R112" s="583">
        <f ca="1"/>
        <v>0</v>
      </c>
      <c r="S112" s="583">
        <f ca="1"/>
        <v>0</v>
      </c>
      <c r="T112" s="583">
        <f ca="1"/>
        <v>0</v>
      </c>
      <c r="U112" s="583">
        <f ca="1"/>
        <v>0</v>
      </c>
      <c r="V112" s="583">
        <f ca="1"/>
        <v>0</v>
      </c>
      <c r="W112" s="583">
        <f ca="1"/>
        <v>0</v>
      </c>
      <c r="X112" s="583">
        <f ca="1"/>
        <v>0</v>
      </c>
      <c r="Y112" s="1934"/>
    </row>
    <row r="113" spans="1:25">
      <c r="A113" s="1923" t="str">
        <v>2 months before</v>
      </c>
      <c r="B113" s="1919"/>
      <c r="C113" s="1919"/>
      <c r="D113" s="1919"/>
      <c r="E113" s="1919"/>
      <c r="F113" s="1919"/>
      <c r="G113" s="1919"/>
      <c r="H113" s="1919"/>
      <c r="I113" s="1919"/>
      <c r="J113" s="1919"/>
      <c r="K113" s="1919"/>
      <c r="L113" s="583">
        <f t="array" aca="1" ref="L113:W113" ca="1">B$20:M20*Production!$L$8</f>
        <v>0</v>
      </c>
      <c r="M113" s="583">
        <f ca="1"/>
        <v>0</v>
      </c>
      <c r="N113" s="583">
        <f ca="1"/>
        <v>0</v>
      </c>
      <c r="O113" s="583">
        <f ca="1"/>
        <v>0</v>
      </c>
      <c r="P113" s="583">
        <f ca="1"/>
        <v>0</v>
      </c>
      <c r="Q113" s="583">
        <f ca="1"/>
        <v>0</v>
      </c>
      <c r="R113" s="583">
        <f ca="1"/>
        <v>0</v>
      </c>
      <c r="S113" s="583">
        <f ca="1"/>
        <v>0</v>
      </c>
      <c r="T113" s="583">
        <f ca="1"/>
        <v>0</v>
      </c>
      <c r="U113" s="583">
        <f ca="1"/>
        <v>0</v>
      </c>
      <c r="V113" s="583">
        <f ca="1"/>
        <v>0</v>
      </c>
      <c r="W113" s="583">
        <f ca="1"/>
        <v>0</v>
      </c>
      <c r="X113" s="1919"/>
      <c r="Y113" s="1934"/>
    </row>
    <row r="114" spans="1:25">
      <c r="A114" s="1923" t="str">
        <v>3 months before</v>
      </c>
      <c r="B114" s="1919"/>
      <c r="C114" s="1919"/>
      <c r="D114" s="1919"/>
      <c r="E114" s="1919"/>
      <c r="F114" s="1919"/>
      <c r="G114" s="1919"/>
      <c r="H114" s="1919"/>
      <c r="I114" s="1919"/>
      <c r="J114" s="1919"/>
      <c r="K114" s="583">
        <f t="array" aca="1" ref="K114:V114" ca="1">B$20:M20*Production!$K$8</f>
        <v>0</v>
      </c>
      <c r="L114" s="583">
        <f ca="1"/>
        <v>0</v>
      </c>
      <c r="M114" s="583">
        <f ca="1"/>
        <v>0</v>
      </c>
      <c r="N114" s="583">
        <f ca="1"/>
        <v>0</v>
      </c>
      <c r="O114" s="583">
        <f ca="1"/>
        <v>0</v>
      </c>
      <c r="P114" s="583">
        <f ca="1"/>
        <v>0</v>
      </c>
      <c r="Q114" s="583">
        <f ca="1"/>
        <v>0</v>
      </c>
      <c r="R114" s="583">
        <f ca="1"/>
        <v>0</v>
      </c>
      <c r="S114" s="583">
        <f ca="1"/>
        <v>0</v>
      </c>
      <c r="T114" s="583">
        <f ca="1"/>
        <v>0</v>
      </c>
      <c r="U114" s="583">
        <f ca="1"/>
        <v>0</v>
      </c>
      <c r="V114" s="583">
        <f ca="1"/>
        <v>0</v>
      </c>
      <c r="W114" s="1919"/>
      <c r="X114" s="1919"/>
      <c r="Y114" s="1934"/>
    </row>
    <row r="115" spans="1:25">
      <c r="A115" s="1923" t="str">
        <v>4 months before</v>
      </c>
      <c r="B115" s="1919"/>
      <c r="C115" s="1919"/>
      <c r="D115" s="1919"/>
      <c r="E115" s="1919"/>
      <c r="F115" s="1919"/>
      <c r="G115" s="1919"/>
      <c r="H115" s="1919"/>
      <c r="I115" s="1919"/>
      <c r="J115" s="583">
        <f t="array" aca="1" ref="J115:U115" ca="1">B$20:M20*Production!$J$8</f>
        <v>0</v>
      </c>
      <c r="K115" s="583">
        <f ca="1"/>
        <v>0</v>
      </c>
      <c r="L115" s="583">
        <f ca="1"/>
        <v>0</v>
      </c>
      <c r="M115" s="583">
        <f ca="1"/>
        <v>0</v>
      </c>
      <c r="N115" s="583">
        <f ca="1"/>
        <v>0</v>
      </c>
      <c r="O115" s="583">
        <f ca="1"/>
        <v>0</v>
      </c>
      <c r="P115" s="583">
        <f ca="1"/>
        <v>0</v>
      </c>
      <c r="Q115" s="583">
        <f ca="1"/>
        <v>0</v>
      </c>
      <c r="R115" s="583">
        <f ca="1"/>
        <v>0</v>
      </c>
      <c r="S115" s="583">
        <f ca="1"/>
        <v>0</v>
      </c>
      <c r="T115" s="583">
        <f ca="1"/>
        <v>0</v>
      </c>
      <c r="U115" s="583">
        <f ca="1"/>
        <v>0</v>
      </c>
      <c r="V115" s="1919"/>
      <c r="W115" s="1919"/>
      <c r="X115" s="1919"/>
      <c r="Y115" s="1934"/>
    </row>
    <row r="116" spans="1:25">
      <c r="A116" s="1923" t="str">
        <v>5 months before</v>
      </c>
      <c r="B116" s="1919"/>
      <c r="C116" s="1919"/>
      <c r="D116" s="1919"/>
      <c r="E116" s="1919"/>
      <c r="F116" s="1919"/>
      <c r="G116" s="1919"/>
      <c r="H116" s="1919"/>
      <c r="I116" s="583">
        <f t="array" aca="1" ref="I116:T116" ca="1">B$20:M20*Production!$I$8</f>
        <v>0</v>
      </c>
      <c r="J116" s="583">
        <f ca="1"/>
        <v>0</v>
      </c>
      <c r="K116" s="583">
        <f ca="1"/>
        <v>0</v>
      </c>
      <c r="L116" s="583">
        <f ca="1"/>
        <v>0</v>
      </c>
      <c r="M116" s="583">
        <f ca="1"/>
        <v>0</v>
      </c>
      <c r="N116" s="583">
        <f ca="1"/>
        <v>0</v>
      </c>
      <c r="O116" s="583">
        <f ca="1"/>
        <v>0</v>
      </c>
      <c r="P116" s="583">
        <f ca="1"/>
        <v>0</v>
      </c>
      <c r="Q116" s="583">
        <f ca="1"/>
        <v>0</v>
      </c>
      <c r="R116" s="583">
        <f ca="1"/>
        <v>0</v>
      </c>
      <c r="S116" s="583">
        <f ca="1"/>
        <v>0</v>
      </c>
      <c r="T116" s="583">
        <f ca="1"/>
        <v>0</v>
      </c>
      <c r="U116" s="1919"/>
      <c r="V116" s="1919"/>
      <c r="W116" s="1919"/>
      <c r="X116" s="1919"/>
      <c r="Y116" s="1934"/>
    </row>
    <row r="117" spans="1:25">
      <c r="A117" s="1923" t="str">
        <v>6 months before</v>
      </c>
      <c r="B117" s="1919"/>
      <c r="C117" s="1919"/>
      <c r="D117" s="1919"/>
      <c r="E117" s="1919"/>
      <c r="F117" s="1919"/>
      <c r="G117" s="1919"/>
      <c r="H117" s="583">
        <f t="array" aca="1" ref="H117:S117" ca="1">B$20:M20*Production!$H$8</f>
        <v>0</v>
      </c>
      <c r="I117" s="583">
        <f ca="1"/>
        <v>0</v>
      </c>
      <c r="J117" s="583">
        <f ca="1"/>
        <v>0</v>
      </c>
      <c r="K117" s="583">
        <f ca="1"/>
        <v>0</v>
      </c>
      <c r="L117" s="583">
        <f ca="1"/>
        <v>0</v>
      </c>
      <c r="M117" s="583">
        <f ca="1"/>
        <v>0</v>
      </c>
      <c r="N117" s="583">
        <f ca="1"/>
        <v>0</v>
      </c>
      <c r="O117" s="583">
        <f ca="1"/>
        <v>0</v>
      </c>
      <c r="P117" s="583">
        <f ca="1"/>
        <v>0</v>
      </c>
      <c r="Q117" s="583">
        <f ca="1"/>
        <v>0</v>
      </c>
      <c r="R117" s="583">
        <f ca="1"/>
        <v>0</v>
      </c>
      <c r="S117" s="583">
        <f ca="1"/>
        <v>0</v>
      </c>
      <c r="T117" s="1919"/>
      <c r="U117" s="1919"/>
      <c r="V117" s="1919"/>
      <c r="W117" s="1919"/>
      <c r="X117" s="1919"/>
      <c r="Y117" s="1934"/>
    </row>
    <row r="118" spans="1:25">
      <c r="A118" s="1923" t="str">
        <v>7 months before</v>
      </c>
      <c r="B118" s="1919"/>
      <c r="C118" s="1919"/>
      <c r="D118" s="1919"/>
      <c r="E118" s="1919"/>
      <c r="F118" s="1919"/>
      <c r="G118" s="583">
        <f t="array" aca="1" ref="G118:R118" ca="1">B$20:M20*Production!$G$8</f>
        <v>0</v>
      </c>
      <c r="H118" s="583">
        <f ca="1"/>
        <v>0</v>
      </c>
      <c r="I118" s="583">
        <f ca="1"/>
        <v>0</v>
      </c>
      <c r="J118" s="583">
        <f ca="1"/>
        <v>0</v>
      </c>
      <c r="K118" s="583">
        <f ca="1"/>
        <v>0</v>
      </c>
      <c r="L118" s="583">
        <f ca="1"/>
        <v>0</v>
      </c>
      <c r="M118" s="583">
        <f ca="1"/>
        <v>0</v>
      </c>
      <c r="N118" s="583">
        <f ca="1"/>
        <v>0</v>
      </c>
      <c r="O118" s="583">
        <f ca="1"/>
        <v>0</v>
      </c>
      <c r="P118" s="583">
        <f ca="1"/>
        <v>0</v>
      </c>
      <c r="Q118" s="583">
        <f ca="1"/>
        <v>0</v>
      </c>
      <c r="R118" s="583">
        <f ca="1"/>
        <v>0</v>
      </c>
      <c r="S118" s="1919"/>
      <c r="T118" s="1919"/>
      <c r="U118" s="1919"/>
      <c r="V118" s="1919"/>
      <c r="W118" s="1919"/>
      <c r="X118" s="1919"/>
      <c r="Y118" s="1934"/>
    </row>
    <row r="119" spans="1:25">
      <c r="A119" s="1923" t="str">
        <v>8 months before</v>
      </c>
      <c r="B119" s="1919"/>
      <c r="C119" s="1919"/>
      <c r="D119" s="1919"/>
      <c r="E119" s="1919"/>
      <c r="F119" s="583">
        <f t="array" aca="1" ref="F119:Q119" ca="1">B$20:M20*Production!$F$8</f>
        <v>0</v>
      </c>
      <c r="G119" s="583">
        <f ca="1"/>
        <v>0</v>
      </c>
      <c r="H119" s="583">
        <f ca="1"/>
        <v>0</v>
      </c>
      <c r="I119" s="583">
        <f ca="1"/>
        <v>0</v>
      </c>
      <c r="J119" s="583">
        <f ca="1"/>
        <v>0</v>
      </c>
      <c r="K119" s="583">
        <f ca="1"/>
        <v>0</v>
      </c>
      <c r="L119" s="583">
        <f ca="1"/>
        <v>0</v>
      </c>
      <c r="M119" s="583">
        <f ca="1"/>
        <v>0</v>
      </c>
      <c r="N119" s="583">
        <f ca="1"/>
        <v>0</v>
      </c>
      <c r="O119" s="583">
        <f ca="1"/>
        <v>0</v>
      </c>
      <c r="P119" s="583">
        <f ca="1"/>
        <v>0</v>
      </c>
      <c r="Q119" s="583">
        <f ca="1"/>
        <v>0</v>
      </c>
      <c r="R119" s="1919"/>
      <c r="S119" s="1919"/>
      <c r="T119" s="1919"/>
      <c r="U119" s="1919"/>
      <c r="V119" s="1919"/>
      <c r="W119" s="1919"/>
      <c r="X119" s="1919"/>
      <c r="Y119" s="1934"/>
    </row>
    <row r="120" spans="1:25">
      <c r="A120" s="1923" t="str">
        <v>9 months before</v>
      </c>
      <c r="B120" s="1919"/>
      <c r="C120" s="1919"/>
      <c r="D120" s="1919"/>
      <c r="E120" s="583">
        <f t="array" aca="1" ref="E120:P120" ca="1">B$20:M20*Production!$E$8</f>
        <v>0</v>
      </c>
      <c r="F120" s="583">
        <f ca="1"/>
        <v>0</v>
      </c>
      <c r="G120" s="583">
        <f ca="1"/>
        <v>0</v>
      </c>
      <c r="H120" s="583">
        <f ca="1"/>
        <v>0</v>
      </c>
      <c r="I120" s="583">
        <f ca="1"/>
        <v>0</v>
      </c>
      <c r="J120" s="583">
        <f ca="1"/>
        <v>0</v>
      </c>
      <c r="K120" s="583">
        <f ca="1"/>
        <v>0</v>
      </c>
      <c r="L120" s="583">
        <f ca="1"/>
        <v>0</v>
      </c>
      <c r="M120" s="583">
        <f ca="1"/>
        <v>0</v>
      </c>
      <c r="N120" s="583">
        <f ca="1"/>
        <v>0</v>
      </c>
      <c r="O120" s="583">
        <f ca="1"/>
        <v>0</v>
      </c>
      <c r="P120" s="583">
        <f ca="1"/>
        <v>0</v>
      </c>
      <c r="Q120" s="1919"/>
      <c r="R120" s="1919"/>
      <c r="S120" s="1919"/>
      <c r="T120" s="1919"/>
      <c r="U120" s="1919"/>
      <c r="V120" s="1919"/>
      <c r="W120" s="1919"/>
      <c r="X120" s="1919"/>
      <c r="Y120" s="1934"/>
    </row>
    <row r="121" spans="1:25">
      <c r="A121" s="1923" t="str">
        <v>10 months before</v>
      </c>
      <c r="B121" s="1919"/>
      <c r="C121" s="1919"/>
      <c r="D121" s="583">
        <f t="array" aca="1" ref="D121:O121" ca="1">B$20:M20*Production!$D$8</f>
        <v>0</v>
      </c>
      <c r="E121" s="583">
        <f ca="1"/>
        <v>0</v>
      </c>
      <c r="F121" s="583">
        <f ca="1"/>
        <v>0</v>
      </c>
      <c r="G121" s="583">
        <f ca="1"/>
        <v>0</v>
      </c>
      <c r="H121" s="583">
        <f ca="1"/>
        <v>0</v>
      </c>
      <c r="I121" s="583">
        <f ca="1"/>
        <v>0</v>
      </c>
      <c r="J121" s="583">
        <f ca="1"/>
        <v>0</v>
      </c>
      <c r="K121" s="583">
        <f ca="1"/>
        <v>0</v>
      </c>
      <c r="L121" s="583">
        <f ca="1"/>
        <v>0</v>
      </c>
      <c r="M121" s="583">
        <f ca="1"/>
        <v>0</v>
      </c>
      <c r="N121" s="583">
        <f ca="1"/>
        <v>0</v>
      </c>
      <c r="O121" s="583">
        <f ca="1"/>
        <v>0</v>
      </c>
      <c r="P121" s="1919"/>
      <c r="Q121" s="1919"/>
      <c r="R121" s="1919"/>
      <c r="S121" s="1919"/>
      <c r="T121" s="1919"/>
      <c r="U121" s="1919"/>
      <c r="V121" s="1919"/>
      <c r="W121" s="1919"/>
      <c r="X121" s="1919"/>
      <c r="Y121" s="1934"/>
    </row>
    <row r="122" spans="1:25">
      <c r="A122" s="1923" t="str">
        <v>11 months before</v>
      </c>
      <c r="B122" s="1919"/>
      <c r="C122" s="583">
        <f t="array" aca="1" ref="C122:N122" ca="1">B$20:M20*Production!$C$8</f>
        <v>0</v>
      </c>
      <c r="D122" s="583">
        <f ca="1"/>
        <v>0</v>
      </c>
      <c r="E122" s="583">
        <f ca="1"/>
        <v>0</v>
      </c>
      <c r="F122" s="583">
        <f ca="1"/>
        <v>0</v>
      </c>
      <c r="G122" s="583">
        <f ca="1"/>
        <v>0</v>
      </c>
      <c r="H122" s="583">
        <f ca="1"/>
        <v>0</v>
      </c>
      <c r="I122" s="583">
        <f ca="1"/>
        <v>0</v>
      </c>
      <c r="J122" s="583">
        <f ca="1"/>
        <v>0</v>
      </c>
      <c r="K122" s="583">
        <f ca="1"/>
        <v>0</v>
      </c>
      <c r="L122" s="583">
        <f ca="1"/>
        <v>0</v>
      </c>
      <c r="M122" s="583">
        <f ca="1"/>
        <v>0</v>
      </c>
      <c r="N122" s="583">
        <f ca="1"/>
        <v>0</v>
      </c>
      <c r="O122" s="1919"/>
      <c r="P122" s="1919"/>
      <c r="Q122" s="1919"/>
      <c r="R122" s="1919"/>
      <c r="S122" s="1919"/>
      <c r="T122" s="1919"/>
      <c r="U122" s="1919"/>
      <c r="V122" s="1919"/>
      <c r="W122" s="1919"/>
      <c r="X122" s="1919"/>
      <c r="Y122" s="1934"/>
    </row>
    <row r="123" spans="1:25" ht="13.5" thickBot="1">
      <c r="A123" s="1923" t="str">
        <v>12 months before</v>
      </c>
      <c r="B123" s="583">
        <f t="array" aca="1" ref="B123:M123" ca="1">B$20:M20*Production!$B$8</f>
        <v>0</v>
      </c>
      <c r="C123" s="583">
        <f ca="1"/>
        <v>0</v>
      </c>
      <c r="D123" s="583">
        <f ca="1"/>
        <v>0</v>
      </c>
      <c r="E123" s="583">
        <f ca="1"/>
        <v>0</v>
      </c>
      <c r="F123" s="583">
        <f ca="1"/>
        <v>0</v>
      </c>
      <c r="G123" s="583">
        <f ca="1"/>
        <v>0</v>
      </c>
      <c r="H123" s="583">
        <f ca="1"/>
        <v>0</v>
      </c>
      <c r="I123" s="583">
        <f ca="1"/>
        <v>0</v>
      </c>
      <c r="J123" s="583">
        <f ca="1"/>
        <v>0</v>
      </c>
      <c r="K123" s="583">
        <f ca="1"/>
        <v>0</v>
      </c>
      <c r="L123" s="583">
        <f ca="1"/>
        <v>0</v>
      </c>
      <c r="M123" s="583">
        <f ca="1"/>
        <v>0</v>
      </c>
      <c r="N123" s="1920"/>
      <c r="O123" s="1919"/>
      <c r="P123" s="1919"/>
      <c r="Q123" s="1919"/>
      <c r="R123" s="1919"/>
      <c r="S123" s="1919"/>
      <c r="T123" s="1919"/>
      <c r="U123" s="1919"/>
      <c r="V123" s="1919"/>
      <c r="W123" s="1919"/>
      <c r="X123" s="1919"/>
      <c r="Y123" s="1934"/>
    </row>
    <row r="124" spans="1:25" ht="15.75" customHeight="1" thickBot="1">
      <c r="A124" s="102" t="str">
        <f>"Totals DC "&amp;A$8</f>
        <v>Totals DC product 1</v>
      </c>
      <c r="B124" s="587">
        <f t="shared" ref="B124:Y124" ca="1" si="11">SUM(B111:B123)</f>
        <v>0</v>
      </c>
      <c r="C124" s="587">
        <f t="shared" ca="1" si="11"/>
        <v>0</v>
      </c>
      <c r="D124" s="587">
        <f t="shared" ca="1" si="11"/>
        <v>0</v>
      </c>
      <c r="E124" s="587">
        <f t="shared" ca="1" si="11"/>
        <v>0</v>
      </c>
      <c r="F124" s="587">
        <f t="shared" ca="1" si="11"/>
        <v>0</v>
      </c>
      <c r="G124" s="587">
        <f t="shared" ca="1" si="11"/>
        <v>0</v>
      </c>
      <c r="H124" s="587">
        <f t="shared" ca="1" si="11"/>
        <v>0</v>
      </c>
      <c r="I124" s="587">
        <f t="shared" ca="1" si="11"/>
        <v>0</v>
      </c>
      <c r="J124" s="587">
        <f t="shared" ca="1" si="11"/>
        <v>0</v>
      </c>
      <c r="K124" s="587">
        <f t="shared" ca="1" si="11"/>
        <v>0</v>
      </c>
      <c r="L124" s="587">
        <f t="shared" ca="1" si="11"/>
        <v>0</v>
      </c>
      <c r="M124" s="587">
        <f t="shared" ca="1" si="11"/>
        <v>0</v>
      </c>
      <c r="N124" s="587">
        <f t="shared" ca="1" si="11"/>
        <v>130.33392019800002</v>
      </c>
      <c r="O124" s="587">
        <f t="shared" ca="1" si="11"/>
        <v>130.33392019800002</v>
      </c>
      <c r="P124" s="587">
        <f t="shared" ca="1" si="11"/>
        <v>130.33392019800002</v>
      </c>
      <c r="Q124" s="587">
        <f t="shared" ca="1" si="11"/>
        <v>130.33392019800002</v>
      </c>
      <c r="R124" s="587">
        <f t="shared" ca="1" si="11"/>
        <v>130.33392019800002</v>
      </c>
      <c r="S124" s="587">
        <f t="shared" ca="1" si="11"/>
        <v>130.33392019800002</v>
      </c>
      <c r="T124" s="587">
        <f t="shared" ca="1" si="11"/>
        <v>130.33392019800002</v>
      </c>
      <c r="U124" s="587">
        <f t="shared" ca="1" si="11"/>
        <v>130.33392019800002</v>
      </c>
      <c r="V124" s="587">
        <f t="shared" ca="1" si="11"/>
        <v>130.33392019800002</v>
      </c>
      <c r="W124" s="587">
        <f t="shared" ca="1" si="11"/>
        <v>130.33392019800002</v>
      </c>
      <c r="X124" s="587">
        <f t="shared" ca="1" si="11"/>
        <v>130.33392019800002</v>
      </c>
      <c r="Y124" s="1935">
        <f t="shared" ca="1" si="11"/>
        <v>130.33392019800002</v>
      </c>
    </row>
    <row r="125" spans="1:25" ht="15.75" customHeight="1" thickBot="1">
      <c r="A125" s="102" t="str">
        <f>'Base Data'!$A$28&amp;" sop. CV "&amp;$A$8</f>
        <v>VAT sop. CV product 1</v>
      </c>
      <c r="B125" s="587">
        <f t="array" aca="1" ref="B125:Y125" ca="1">$K$109*B124:Y124</f>
        <v>0</v>
      </c>
      <c r="C125" s="587">
        <f ca="1"/>
        <v>0</v>
      </c>
      <c r="D125" s="587">
        <f ca="1"/>
        <v>0</v>
      </c>
      <c r="E125" s="587">
        <f ca="1"/>
        <v>0</v>
      </c>
      <c r="F125" s="587">
        <f ca="1"/>
        <v>0</v>
      </c>
      <c r="G125" s="587">
        <f ca="1"/>
        <v>0</v>
      </c>
      <c r="H125" s="587">
        <f ca="1"/>
        <v>0</v>
      </c>
      <c r="I125" s="587">
        <f ca="1"/>
        <v>0</v>
      </c>
      <c r="J125" s="587">
        <f ca="1"/>
        <v>0</v>
      </c>
      <c r="K125" s="587">
        <f ca="1"/>
        <v>0</v>
      </c>
      <c r="L125" s="587">
        <f ca="1"/>
        <v>0</v>
      </c>
      <c r="M125" s="587">
        <f ca="1"/>
        <v>0</v>
      </c>
      <c r="N125" s="587">
        <f ca="1"/>
        <v>27.370123241580004</v>
      </c>
      <c r="O125" s="587">
        <f ca="1"/>
        <v>27.370123241580004</v>
      </c>
      <c r="P125" s="587">
        <f ca="1"/>
        <v>27.370123241580004</v>
      </c>
      <c r="Q125" s="587">
        <f ca="1"/>
        <v>27.370123241580004</v>
      </c>
      <c r="R125" s="587">
        <f ca="1"/>
        <v>27.370123241580004</v>
      </c>
      <c r="S125" s="587">
        <f ca="1"/>
        <v>27.370123241580004</v>
      </c>
      <c r="T125" s="587">
        <f ca="1"/>
        <v>27.370123241580004</v>
      </c>
      <c r="U125" s="587">
        <f ca="1"/>
        <v>27.370123241580004</v>
      </c>
      <c r="V125" s="587">
        <f ca="1"/>
        <v>27.370123241580004</v>
      </c>
      <c r="W125" s="587">
        <f ca="1"/>
        <v>27.370123241580004</v>
      </c>
      <c r="X125" s="587">
        <f ca="1"/>
        <v>27.370123241580004</v>
      </c>
      <c r="Y125" s="1935">
        <f ca="1"/>
        <v>27.370123241580004</v>
      </c>
    </row>
    <row r="127" spans="1:25" ht="18.75" thickBot="1">
      <c r="A127" s="1921" t="str">
        <f>'DC Distr 0'!A127</f>
        <v xml:space="preserve">Monthly Purchases / Production costs for </v>
      </c>
      <c r="I127" s="1921" t="str">
        <f>I$18</f>
        <v>VAT NOT included</v>
      </c>
      <c r="K127" s="1932">
        <f>Parameters!$F$25</f>
        <v>0.21</v>
      </c>
    </row>
    <row r="128" spans="1:25" ht="30" customHeight="1" thickBot="1">
      <c r="A128" s="441" t="str">
        <f t="array" ref="A128:A141">A$110:A$123</f>
        <v>Months before sale</v>
      </c>
      <c r="B128" s="1938" t="str">
        <f t="array" ref="B128:Y128">B$71:Y$71</f>
        <v>January
2030</v>
      </c>
      <c r="C128" s="1938" t="str">
        <v>February
2030</v>
      </c>
      <c r="D128" s="1938" t="str">
        <v>March
2030</v>
      </c>
      <c r="E128" s="1938" t="str">
        <v>April
2030</v>
      </c>
      <c r="F128" s="1938" t="str">
        <v>May
2030</v>
      </c>
      <c r="G128" s="1938" t="str">
        <v>June
2030</v>
      </c>
      <c r="H128" s="1938" t="str">
        <v>July
2030</v>
      </c>
      <c r="I128" s="1938" t="str">
        <v>August
2030</v>
      </c>
      <c r="J128" s="1938" t="str">
        <v>September
2030</v>
      </c>
      <c r="K128" s="1938" t="str">
        <v>October
2030</v>
      </c>
      <c r="L128" s="1938" t="str">
        <v>November
2030</v>
      </c>
      <c r="M128" s="1938" t="str">
        <v>December
2030</v>
      </c>
      <c r="N128" s="2721" t="str">
        <v>January 
2031</v>
      </c>
      <c r="O128" s="2722" t="str">
        <v>February 
2031</v>
      </c>
      <c r="P128" s="2722" t="str">
        <v>March 
2031</v>
      </c>
      <c r="Q128" s="2722" t="str">
        <v>April 
2031</v>
      </c>
      <c r="R128" s="2722" t="str">
        <v>May 
2031</v>
      </c>
      <c r="S128" s="2722" t="str">
        <v>June 
2031</v>
      </c>
      <c r="T128" s="2722" t="str">
        <v>July 
2031</v>
      </c>
      <c r="U128" s="2722" t="str">
        <v>August 
2031</v>
      </c>
      <c r="V128" s="2722" t="str">
        <v>September 
2031</v>
      </c>
      <c r="W128" s="2722" t="str">
        <v>October 
2031</v>
      </c>
      <c r="X128" s="2722" t="str">
        <v>November 
2031</v>
      </c>
      <c r="Y128" s="2723" t="str">
        <v>December 
2031</v>
      </c>
    </row>
    <row r="129" spans="1:25">
      <c r="A129" s="1922" t="str">
        <v>same month</v>
      </c>
      <c r="B129" s="1919"/>
      <c r="C129" s="1919"/>
      <c r="D129" s="1919"/>
      <c r="E129" s="1919"/>
      <c r="F129" s="1919"/>
      <c r="G129" s="1919"/>
      <c r="H129" s="1919"/>
      <c r="I129" s="1919"/>
      <c r="J129" s="1919"/>
      <c r="K129" s="1919"/>
      <c r="L129" s="1919"/>
      <c r="M129" s="1919"/>
      <c r="N129" s="583">
        <f t="array" aca="1" ref="N129:Y129" ca="1">B21:M21*Production!$N$9</f>
        <v>0</v>
      </c>
      <c r="O129" s="583">
        <f ca="1"/>
        <v>0</v>
      </c>
      <c r="P129" s="583">
        <f ca="1"/>
        <v>0</v>
      </c>
      <c r="Q129" s="583">
        <f ca="1"/>
        <v>0</v>
      </c>
      <c r="R129" s="583">
        <f ca="1"/>
        <v>0</v>
      </c>
      <c r="S129" s="583">
        <f ca="1"/>
        <v>0</v>
      </c>
      <c r="T129" s="583">
        <f ca="1"/>
        <v>0</v>
      </c>
      <c r="U129" s="583">
        <f ca="1"/>
        <v>0</v>
      </c>
      <c r="V129" s="583">
        <f ca="1"/>
        <v>0</v>
      </c>
      <c r="W129" s="583">
        <f ca="1"/>
        <v>0</v>
      </c>
      <c r="X129" s="583">
        <f ca="1"/>
        <v>0</v>
      </c>
      <c r="Y129" s="1933">
        <f ca="1"/>
        <v>0</v>
      </c>
    </row>
    <row r="130" spans="1:25">
      <c r="A130" s="1923" t="str">
        <v>1 month before</v>
      </c>
      <c r="B130" s="1919"/>
      <c r="C130" s="1919"/>
      <c r="D130" s="1919"/>
      <c r="E130" s="1919"/>
      <c r="F130" s="1919"/>
      <c r="G130" s="1919"/>
      <c r="H130" s="1919"/>
      <c r="I130" s="1919"/>
      <c r="J130" s="1919"/>
      <c r="K130" s="1919"/>
      <c r="L130" s="1919"/>
      <c r="M130" s="583">
        <f t="array" aca="1" ref="M130:X130" ca="1">B21:M21*Production!$M$9</f>
        <v>0</v>
      </c>
      <c r="N130" s="583">
        <f ca="1"/>
        <v>0</v>
      </c>
      <c r="O130" s="583">
        <f ca="1"/>
        <v>0</v>
      </c>
      <c r="P130" s="583">
        <f ca="1"/>
        <v>0</v>
      </c>
      <c r="Q130" s="583">
        <f ca="1"/>
        <v>0</v>
      </c>
      <c r="R130" s="583">
        <f ca="1"/>
        <v>0</v>
      </c>
      <c r="S130" s="583">
        <f ca="1"/>
        <v>0</v>
      </c>
      <c r="T130" s="583">
        <f ca="1"/>
        <v>0</v>
      </c>
      <c r="U130" s="583">
        <f ca="1"/>
        <v>0</v>
      </c>
      <c r="V130" s="583">
        <f ca="1"/>
        <v>0</v>
      </c>
      <c r="W130" s="583">
        <f ca="1"/>
        <v>0</v>
      </c>
      <c r="X130" s="583">
        <f ca="1"/>
        <v>0</v>
      </c>
      <c r="Y130" s="1934"/>
    </row>
    <row r="131" spans="1:25">
      <c r="A131" s="1923" t="str">
        <v>2 months before</v>
      </c>
      <c r="B131" s="1919"/>
      <c r="C131" s="1919"/>
      <c r="D131" s="1919"/>
      <c r="E131" s="1919"/>
      <c r="F131" s="1919"/>
      <c r="G131" s="1919"/>
      <c r="H131" s="1919"/>
      <c r="I131" s="1919"/>
      <c r="J131" s="1919"/>
      <c r="K131" s="1919"/>
      <c r="L131" s="583">
        <f t="array" aca="1" ref="L131:W131" ca="1">B21:M21*Production!$L$9</f>
        <v>0</v>
      </c>
      <c r="M131" s="583">
        <f ca="1"/>
        <v>0</v>
      </c>
      <c r="N131" s="583">
        <f ca="1"/>
        <v>0</v>
      </c>
      <c r="O131" s="583">
        <f ca="1"/>
        <v>0</v>
      </c>
      <c r="P131" s="583">
        <f ca="1"/>
        <v>0</v>
      </c>
      <c r="Q131" s="583">
        <f ca="1"/>
        <v>0</v>
      </c>
      <c r="R131" s="583">
        <f ca="1"/>
        <v>0</v>
      </c>
      <c r="S131" s="583">
        <f ca="1"/>
        <v>0</v>
      </c>
      <c r="T131" s="583">
        <f ca="1"/>
        <v>0</v>
      </c>
      <c r="U131" s="583">
        <f ca="1"/>
        <v>0</v>
      </c>
      <c r="V131" s="583">
        <f ca="1"/>
        <v>0</v>
      </c>
      <c r="W131" s="583">
        <f ca="1"/>
        <v>0</v>
      </c>
      <c r="X131" s="1919"/>
      <c r="Y131" s="1934"/>
    </row>
    <row r="132" spans="1:25">
      <c r="A132" s="1923" t="str">
        <v>3 months before</v>
      </c>
      <c r="B132" s="1919"/>
      <c r="C132" s="1919"/>
      <c r="D132" s="1919"/>
      <c r="E132" s="1919"/>
      <c r="F132" s="1919"/>
      <c r="G132" s="1919"/>
      <c r="H132" s="1919"/>
      <c r="I132" s="1919"/>
      <c r="J132" s="1919"/>
      <c r="K132" s="583">
        <f t="array" aca="1" ref="K132:V132" ca="1">B21:M21*Production!$K$9</f>
        <v>0</v>
      </c>
      <c r="L132" s="583">
        <f ca="1"/>
        <v>0</v>
      </c>
      <c r="M132" s="583">
        <f ca="1"/>
        <v>0</v>
      </c>
      <c r="N132" s="583">
        <f ca="1"/>
        <v>0</v>
      </c>
      <c r="O132" s="583">
        <f ca="1"/>
        <v>0</v>
      </c>
      <c r="P132" s="583">
        <f ca="1"/>
        <v>0</v>
      </c>
      <c r="Q132" s="583">
        <f ca="1"/>
        <v>0</v>
      </c>
      <c r="R132" s="583">
        <f ca="1"/>
        <v>0</v>
      </c>
      <c r="S132" s="583">
        <f ca="1"/>
        <v>0</v>
      </c>
      <c r="T132" s="583">
        <f ca="1"/>
        <v>0</v>
      </c>
      <c r="U132" s="583">
        <f ca="1"/>
        <v>0</v>
      </c>
      <c r="V132" s="583">
        <f ca="1"/>
        <v>0</v>
      </c>
      <c r="W132" s="1919"/>
      <c r="X132" s="1919"/>
      <c r="Y132" s="1934"/>
    </row>
    <row r="133" spans="1:25">
      <c r="A133" s="1923" t="str">
        <v>4 months before</v>
      </c>
      <c r="B133" s="1919"/>
      <c r="C133" s="1919"/>
      <c r="D133" s="1919"/>
      <c r="E133" s="1919"/>
      <c r="F133" s="1919"/>
      <c r="G133" s="1919"/>
      <c r="H133" s="1919"/>
      <c r="I133" s="1919"/>
      <c r="J133" s="583">
        <f t="array" aca="1" ref="J133:U133" ca="1">B21:M21*Production!$J$9</f>
        <v>0</v>
      </c>
      <c r="K133" s="583">
        <f ca="1"/>
        <v>0</v>
      </c>
      <c r="L133" s="583">
        <f ca="1"/>
        <v>0</v>
      </c>
      <c r="M133" s="583">
        <f ca="1"/>
        <v>0</v>
      </c>
      <c r="N133" s="583">
        <f ca="1"/>
        <v>0</v>
      </c>
      <c r="O133" s="583">
        <f ca="1"/>
        <v>0</v>
      </c>
      <c r="P133" s="583">
        <f ca="1"/>
        <v>0</v>
      </c>
      <c r="Q133" s="583">
        <f ca="1"/>
        <v>0</v>
      </c>
      <c r="R133" s="583">
        <f ca="1"/>
        <v>0</v>
      </c>
      <c r="S133" s="583">
        <f ca="1"/>
        <v>0</v>
      </c>
      <c r="T133" s="583">
        <f ca="1"/>
        <v>0</v>
      </c>
      <c r="U133" s="583">
        <f ca="1"/>
        <v>0</v>
      </c>
      <c r="V133" s="1919"/>
      <c r="W133" s="1919"/>
      <c r="X133" s="1919"/>
      <c r="Y133" s="1934"/>
    </row>
    <row r="134" spans="1:25">
      <c r="A134" s="1923" t="str">
        <v>5 months before</v>
      </c>
      <c r="B134" s="1919"/>
      <c r="C134" s="1919"/>
      <c r="D134" s="1919"/>
      <c r="E134" s="1919"/>
      <c r="F134" s="1919"/>
      <c r="G134" s="1919"/>
      <c r="H134" s="1919"/>
      <c r="I134" s="583">
        <f t="array" aca="1" ref="I134:T134" ca="1">B21:M21*Production!$I$9</f>
        <v>0</v>
      </c>
      <c r="J134" s="583">
        <f ca="1"/>
        <v>0</v>
      </c>
      <c r="K134" s="583">
        <f ca="1"/>
        <v>0</v>
      </c>
      <c r="L134" s="583">
        <f ca="1"/>
        <v>0</v>
      </c>
      <c r="M134" s="583">
        <f ca="1"/>
        <v>0</v>
      </c>
      <c r="N134" s="583">
        <f ca="1"/>
        <v>0</v>
      </c>
      <c r="O134" s="583">
        <f ca="1"/>
        <v>0</v>
      </c>
      <c r="P134" s="583">
        <f ca="1"/>
        <v>0</v>
      </c>
      <c r="Q134" s="583">
        <f ca="1"/>
        <v>0</v>
      </c>
      <c r="R134" s="583">
        <f ca="1"/>
        <v>0</v>
      </c>
      <c r="S134" s="583">
        <f ca="1"/>
        <v>0</v>
      </c>
      <c r="T134" s="583">
        <f ca="1"/>
        <v>0</v>
      </c>
      <c r="U134" s="1919"/>
      <c r="V134" s="1919"/>
      <c r="W134" s="1919"/>
      <c r="X134" s="1919"/>
      <c r="Y134" s="1934"/>
    </row>
    <row r="135" spans="1:25">
      <c r="A135" s="1923" t="str">
        <v>6 months before</v>
      </c>
      <c r="B135" s="1919"/>
      <c r="C135" s="1919"/>
      <c r="D135" s="1919"/>
      <c r="E135" s="1919"/>
      <c r="F135" s="1919"/>
      <c r="G135" s="1919"/>
      <c r="H135" s="583">
        <f t="array" aca="1" ref="H135:S135" ca="1">B21:M21*Production!$H$9</f>
        <v>0</v>
      </c>
      <c r="I135" s="583">
        <f ca="1"/>
        <v>0</v>
      </c>
      <c r="J135" s="583">
        <f ca="1"/>
        <v>0</v>
      </c>
      <c r="K135" s="583">
        <f ca="1"/>
        <v>0</v>
      </c>
      <c r="L135" s="583">
        <f ca="1"/>
        <v>0</v>
      </c>
      <c r="M135" s="583">
        <f ca="1"/>
        <v>0</v>
      </c>
      <c r="N135" s="583">
        <f ca="1"/>
        <v>0</v>
      </c>
      <c r="O135" s="583">
        <f ca="1"/>
        <v>0</v>
      </c>
      <c r="P135" s="583">
        <f ca="1"/>
        <v>0</v>
      </c>
      <c r="Q135" s="583">
        <f ca="1"/>
        <v>0</v>
      </c>
      <c r="R135" s="583">
        <f ca="1"/>
        <v>0</v>
      </c>
      <c r="S135" s="583">
        <f ca="1"/>
        <v>0</v>
      </c>
      <c r="T135" s="1919"/>
      <c r="U135" s="1919"/>
      <c r="V135" s="1919"/>
      <c r="W135" s="1919"/>
      <c r="X135" s="1919"/>
      <c r="Y135" s="1934"/>
    </row>
    <row r="136" spans="1:25">
      <c r="A136" s="1923" t="str">
        <v>7 months before</v>
      </c>
      <c r="B136" s="1919"/>
      <c r="C136" s="1919"/>
      <c r="D136" s="1919"/>
      <c r="E136" s="1919"/>
      <c r="F136" s="1919"/>
      <c r="G136" s="583">
        <f t="array" aca="1" ref="G136:R136" ca="1">B21:M21*Production!$G$9</f>
        <v>0</v>
      </c>
      <c r="H136" s="583">
        <f ca="1"/>
        <v>0</v>
      </c>
      <c r="I136" s="583">
        <f ca="1"/>
        <v>0</v>
      </c>
      <c r="J136" s="583">
        <f ca="1"/>
        <v>0</v>
      </c>
      <c r="K136" s="583">
        <f ca="1"/>
        <v>0</v>
      </c>
      <c r="L136" s="583">
        <f ca="1"/>
        <v>0</v>
      </c>
      <c r="M136" s="583">
        <f ca="1"/>
        <v>0</v>
      </c>
      <c r="N136" s="583">
        <f ca="1"/>
        <v>0</v>
      </c>
      <c r="O136" s="583">
        <f ca="1"/>
        <v>0</v>
      </c>
      <c r="P136" s="583">
        <f ca="1"/>
        <v>0</v>
      </c>
      <c r="Q136" s="583">
        <f ca="1"/>
        <v>0</v>
      </c>
      <c r="R136" s="583">
        <f ca="1"/>
        <v>0</v>
      </c>
      <c r="S136" s="1919"/>
      <c r="T136" s="1919"/>
      <c r="U136" s="1919"/>
      <c r="V136" s="1919"/>
      <c r="W136" s="1919"/>
      <c r="X136" s="1919"/>
      <c r="Y136" s="1934"/>
    </row>
    <row r="137" spans="1:25">
      <c r="A137" s="1923" t="str">
        <v>8 months before</v>
      </c>
      <c r="B137" s="1919"/>
      <c r="C137" s="1919"/>
      <c r="D137" s="1919"/>
      <c r="E137" s="1919"/>
      <c r="F137" s="583">
        <f t="array" aca="1" ref="F137:Q137" ca="1">B21:M21*Production!$F$9</f>
        <v>0</v>
      </c>
      <c r="G137" s="583">
        <f ca="1"/>
        <v>0</v>
      </c>
      <c r="H137" s="583">
        <f ca="1"/>
        <v>0</v>
      </c>
      <c r="I137" s="583">
        <f ca="1"/>
        <v>0</v>
      </c>
      <c r="J137" s="583">
        <f ca="1"/>
        <v>0</v>
      </c>
      <c r="K137" s="583">
        <f ca="1"/>
        <v>0</v>
      </c>
      <c r="L137" s="583">
        <f ca="1"/>
        <v>0</v>
      </c>
      <c r="M137" s="583">
        <f ca="1"/>
        <v>0</v>
      </c>
      <c r="N137" s="583">
        <f ca="1"/>
        <v>0</v>
      </c>
      <c r="O137" s="583">
        <f ca="1"/>
        <v>0</v>
      </c>
      <c r="P137" s="583">
        <f ca="1"/>
        <v>0</v>
      </c>
      <c r="Q137" s="583">
        <f ca="1"/>
        <v>0</v>
      </c>
      <c r="R137" s="1919"/>
      <c r="S137" s="1919"/>
      <c r="T137" s="1919"/>
      <c r="U137" s="1919"/>
      <c r="V137" s="1919"/>
      <c r="W137" s="1919"/>
      <c r="X137" s="1919"/>
      <c r="Y137" s="1934"/>
    </row>
    <row r="138" spans="1:25">
      <c r="A138" s="1923" t="str">
        <v>9 months before</v>
      </c>
      <c r="B138" s="1919"/>
      <c r="C138" s="1919"/>
      <c r="D138" s="1919"/>
      <c r="E138" s="583">
        <f t="array" aca="1" ref="E138:P138" ca="1">B21:M21*Production!$E$9</f>
        <v>0</v>
      </c>
      <c r="F138" s="583">
        <f ca="1"/>
        <v>0</v>
      </c>
      <c r="G138" s="583">
        <f ca="1"/>
        <v>0</v>
      </c>
      <c r="H138" s="583">
        <f ca="1"/>
        <v>0</v>
      </c>
      <c r="I138" s="583">
        <f ca="1"/>
        <v>0</v>
      </c>
      <c r="J138" s="583">
        <f ca="1"/>
        <v>0</v>
      </c>
      <c r="K138" s="583">
        <f ca="1"/>
        <v>0</v>
      </c>
      <c r="L138" s="583">
        <f ca="1"/>
        <v>0</v>
      </c>
      <c r="M138" s="583">
        <f ca="1"/>
        <v>0</v>
      </c>
      <c r="N138" s="583">
        <f ca="1"/>
        <v>0</v>
      </c>
      <c r="O138" s="583">
        <f ca="1"/>
        <v>0</v>
      </c>
      <c r="P138" s="583">
        <f ca="1"/>
        <v>0</v>
      </c>
      <c r="Q138" s="1919"/>
      <c r="R138" s="1919"/>
      <c r="S138" s="1919"/>
      <c r="T138" s="1919"/>
      <c r="U138" s="1919"/>
      <c r="V138" s="1919"/>
      <c r="W138" s="1919"/>
      <c r="X138" s="1919"/>
      <c r="Y138" s="1934"/>
    </row>
    <row r="139" spans="1:25">
      <c r="A139" s="1923" t="str">
        <v>10 months before</v>
      </c>
      <c r="B139" s="1919"/>
      <c r="C139" s="1919"/>
      <c r="D139" s="583">
        <f t="array" aca="1" ref="D139:O139" ca="1">B21:M21*Production!$D$9</f>
        <v>0</v>
      </c>
      <c r="E139" s="583">
        <f ca="1"/>
        <v>0</v>
      </c>
      <c r="F139" s="583">
        <f ca="1"/>
        <v>0</v>
      </c>
      <c r="G139" s="583">
        <f ca="1"/>
        <v>0</v>
      </c>
      <c r="H139" s="583">
        <f ca="1"/>
        <v>0</v>
      </c>
      <c r="I139" s="583">
        <f ca="1"/>
        <v>0</v>
      </c>
      <c r="J139" s="583">
        <f ca="1"/>
        <v>0</v>
      </c>
      <c r="K139" s="583">
        <f ca="1"/>
        <v>0</v>
      </c>
      <c r="L139" s="583">
        <f ca="1"/>
        <v>0</v>
      </c>
      <c r="M139" s="583">
        <f ca="1"/>
        <v>0</v>
      </c>
      <c r="N139" s="583">
        <f ca="1"/>
        <v>0</v>
      </c>
      <c r="O139" s="583">
        <f ca="1"/>
        <v>0</v>
      </c>
      <c r="P139" s="1919"/>
      <c r="Q139" s="1919"/>
      <c r="R139" s="1919"/>
      <c r="S139" s="1919"/>
      <c r="T139" s="1919"/>
      <c r="U139" s="1919"/>
      <c r="V139" s="1919"/>
      <c r="W139" s="1919"/>
      <c r="X139" s="1919"/>
      <c r="Y139" s="1934"/>
    </row>
    <row r="140" spans="1:25">
      <c r="A140" s="1923" t="str">
        <v>11 months before</v>
      </c>
      <c r="B140" s="1919"/>
      <c r="C140" s="583">
        <f t="array" aca="1" ref="C140:N140" ca="1">B21:M21*Production!$C$9</f>
        <v>0</v>
      </c>
      <c r="D140" s="583">
        <f ca="1"/>
        <v>0</v>
      </c>
      <c r="E140" s="583">
        <f ca="1"/>
        <v>0</v>
      </c>
      <c r="F140" s="583">
        <f ca="1"/>
        <v>0</v>
      </c>
      <c r="G140" s="583">
        <f ca="1"/>
        <v>0</v>
      </c>
      <c r="H140" s="583">
        <f ca="1"/>
        <v>0</v>
      </c>
      <c r="I140" s="583">
        <f ca="1"/>
        <v>0</v>
      </c>
      <c r="J140" s="583">
        <f ca="1"/>
        <v>0</v>
      </c>
      <c r="K140" s="583">
        <f ca="1"/>
        <v>0</v>
      </c>
      <c r="L140" s="583">
        <f ca="1"/>
        <v>0</v>
      </c>
      <c r="M140" s="583">
        <f ca="1"/>
        <v>0</v>
      </c>
      <c r="N140" s="583">
        <f ca="1"/>
        <v>0</v>
      </c>
      <c r="O140" s="1919"/>
      <c r="P140" s="1919"/>
      <c r="Q140" s="1919"/>
      <c r="R140" s="1919"/>
      <c r="S140" s="1919"/>
      <c r="T140" s="1919"/>
      <c r="U140" s="1919"/>
      <c r="V140" s="1919"/>
      <c r="W140" s="1919"/>
      <c r="X140" s="1919"/>
      <c r="Y140" s="1934"/>
    </row>
    <row r="141" spans="1:25" ht="13.5" thickBot="1">
      <c r="A141" s="1923" t="str">
        <v>12 months before</v>
      </c>
      <c r="B141" s="583">
        <f t="array" aca="1" ref="B141:M141" ca="1">B21:M21*Production!$B$9</f>
        <v>0</v>
      </c>
      <c r="C141" s="583">
        <f ca="1"/>
        <v>0</v>
      </c>
      <c r="D141" s="583">
        <f ca="1"/>
        <v>0</v>
      </c>
      <c r="E141" s="583">
        <f ca="1"/>
        <v>0</v>
      </c>
      <c r="F141" s="583">
        <f ca="1"/>
        <v>0</v>
      </c>
      <c r="G141" s="583">
        <f ca="1"/>
        <v>0</v>
      </c>
      <c r="H141" s="583">
        <f ca="1"/>
        <v>0</v>
      </c>
      <c r="I141" s="583">
        <f ca="1"/>
        <v>0</v>
      </c>
      <c r="J141" s="583">
        <f ca="1"/>
        <v>0</v>
      </c>
      <c r="K141" s="583">
        <f ca="1"/>
        <v>0</v>
      </c>
      <c r="L141" s="583">
        <f ca="1"/>
        <v>0</v>
      </c>
      <c r="M141" s="583">
        <f ca="1"/>
        <v>0</v>
      </c>
      <c r="N141" s="1919"/>
      <c r="O141" s="1919"/>
      <c r="P141" s="1919"/>
      <c r="Q141" s="1919"/>
      <c r="R141" s="1919"/>
      <c r="S141" s="1919"/>
      <c r="T141" s="1919"/>
      <c r="U141" s="1919"/>
      <c r="V141" s="1919"/>
      <c r="W141" s="1919"/>
      <c r="X141" s="1919"/>
      <c r="Y141" s="1934"/>
    </row>
    <row r="142" spans="1:25" ht="13.5" thickBot="1">
      <c r="A142" s="102" t="str">
        <f>"Totals DC "&amp;A$9</f>
        <v xml:space="preserve">Totals DC </v>
      </c>
      <c r="B142" s="587">
        <f t="shared" ref="B142:Y142" ca="1" si="12">SUM(B129:B141)</f>
        <v>0</v>
      </c>
      <c r="C142" s="587">
        <f t="shared" ca="1" si="12"/>
        <v>0</v>
      </c>
      <c r="D142" s="587">
        <f t="shared" ca="1" si="12"/>
        <v>0</v>
      </c>
      <c r="E142" s="587">
        <f t="shared" ca="1" si="12"/>
        <v>0</v>
      </c>
      <c r="F142" s="587">
        <f t="shared" ca="1" si="12"/>
        <v>0</v>
      </c>
      <c r="G142" s="587">
        <f t="shared" ca="1" si="12"/>
        <v>0</v>
      </c>
      <c r="H142" s="587">
        <f t="shared" ca="1" si="12"/>
        <v>0</v>
      </c>
      <c r="I142" s="587">
        <f t="shared" ca="1" si="12"/>
        <v>0</v>
      </c>
      <c r="J142" s="587">
        <f t="shared" ca="1" si="12"/>
        <v>0</v>
      </c>
      <c r="K142" s="587">
        <f t="shared" ca="1" si="12"/>
        <v>0</v>
      </c>
      <c r="L142" s="587">
        <f t="shared" ca="1" si="12"/>
        <v>0</v>
      </c>
      <c r="M142" s="587">
        <f t="shared" ca="1" si="12"/>
        <v>0</v>
      </c>
      <c r="N142" s="587">
        <f t="shared" ca="1" si="12"/>
        <v>0</v>
      </c>
      <c r="O142" s="587">
        <f t="shared" ca="1" si="12"/>
        <v>0</v>
      </c>
      <c r="P142" s="587">
        <f t="shared" ca="1" si="12"/>
        <v>0</v>
      </c>
      <c r="Q142" s="587">
        <f t="shared" ca="1" si="12"/>
        <v>0</v>
      </c>
      <c r="R142" s="587">
        <f t="shared" ca="1" si="12"/>
        <v>0</v>
      </c>
      <c r="S142" s="587">
        <f t="shared" ca="1" si="12"/>
        <v>0</v>
      </c>
      <c r="T142" s="587">
        <f t="shared" ca="1" si="12"/>
        <v>0</v>
      </c>
      <c r="U142" s="587">
        <f t="shared" ca="1" si="12"/>
        <v>0</v>
      </c>
      <c r="V142" s="587">
        <f t="shared" ca="1" si="12"/>
        <v>0</v>
      </c>
      <c r="W142" s="587">
        <f t="shared" ca="1" si="12"/>
        <v>0</v>
      </c>
      <c r="X142" s="587">
        <f t="shared" ca="1" si="12"/>
        <v>0</v>
      </c>
      <c r="Y142" s="1935">
        <f t="shared" ca="1" si="12"/>
        <v>0</v>
      </c>
    </row>
    <row r="143" spans="1:25" ht="13.5" thickBot="1">
      <c r="A143" s="102" t="str">
        <f>"Input "&amp;'Base Data'!$A$28&amp;" DC "&amp;$A$9</f>
        <v xml:space="preserve">Input VAT DC </v>
      </c>
      <c r="B143" s="587">
        <f t="array" aca="1" ref="B143:Y143" ca="1">$K$127*B142:Y142</f>
        <v>0</v>
      </c>
      <c r="C143" s="587">
        <f ca="1"/>
        <v>0</v>
      </c>
      <c r="D143" s="587">
        <f ca="1"/>
        <v>0</v>
      </c>
      <c r="E143" s="587">
        <f ca="1"/>
        <v>0</v>
      </c>
      <c r="F143" s="587">
        <f ca="1"/>
        <v>0</v>
      </c>
      <c r="G143" s="587">
        <f ca="1"/>
        <v>0</v>
      </c>
      <c r="H143" s="587">
        <f ca="1"/>
        <v>0</v>
      </c>
      <c r="I143" s="587">
        <f ca="1"/>
        <v>0</v>
      </c>
      <c r="J143" s="587">
        <f ca="1"/>
        <v>0</v>
      </c>
      <c r="K143" s="587">
        <f ca="1"/>
        <v>0</v>
      </c>
      <c r="L143" s="587">
        <f ca="1"/>
        <v>0</v>
      </c>
      <c r="M143" s="587">
        <f ca="1"/>
        <v>0</v>
      </c>
      <c r="N143" s="587">
        <f ca="1"/>
        <v>0</v>
      </c>
      <c r="O143" s="587">
        <f ca="1"/>
        <v>0</v>
      </c>
      <c r="P143" s="587">
        <f ca="1"/>
        <v>0</v>
      </c>
      <c r="Q143" s="587">
        <f ca="1"/>
        <v>0</v>
      </c>
      <c r="R143" s="587">
        <f ca="1"/>
        <v>0</v>
      </c>
      <c r="S143" s="587">
        <f ca="1"/>
        <v>0</v>
      </c>
      <c r="T143" s="587">
        <f ca="1"/>
        <v>0</v>
      </c>
      <c r="U143" s="587">
        <f ca="1"/>
        <v>0</v>
      </c>
      <c r="V143" s="587">
        <f ca="1"/>
        <v>0</v>
      </c>
      <c r="W143" s="587">
        <f ca="1"/>
        <v>0</v>
      </c>
      <c r="X143" s="587">
        <f ca="1"/>
        <v>0</v>
      </c>
      <c r="Y143" s="1935">
        <f ca="1"/>
        <v>0</v>
      </c>
    </row>
    <row r="145" spans="1:25" ht="18.75" thickBot="1">
      <c r="A145" s="1921" t="str">
        <f>'DC Distr 0'!A145</f>
        <v xml:space="preserve">Monthly Purchases / Production costs for </v>
      </c>
      <c r="I145" s="1921" t="str">
        <f>I$18</f>
        <v>VAT NOT included</v>
      </c>
      <c r="K145" s="1932">
        <f>Parameters!$F$26</f>
        <v>0.21</v>
      </c>
    </row>
    <row r="146" spans="1:25" ht="30" customHeight="1" thickBot="1">
      <c r="A146" s="441" t="str">
        <f t="array" ref="A146:A159">A$110:A$123</f>
        <v>Months before sale</v>
      </c>
      <c r="B146" s="1938" t="str">
        <f t="array" ref="B146:Y146">B$71:Y$71</f>
        <v>January
2030</v>
      </c>
      <c r="C146" s="1938" t="str">
        <v>February
2030</v>
      </c>
      <c r="D146" s="1938" t="str">
        <v>March
2030</v>
      </c>
      <c r="E146" s="1938" t="str">
        <v>April
2030</v>
      </c>
      <c r="F146" s="1938" t="str">
        <v>May
2030</v>
      </c>
      <c r="G146" s="1938" t="str">
        <v>June
2030</v>
      </c>
      <c r="H146" s="1938" t="str">
        <v>July
2030</v>
      </c>
      <c r="I146" s="1938" t="str">
        <v>August
2030</v>
      </c>
      <c r="J146" s="1938" t="str">
        <v>September
2030</v>
      </c>
      <c r="K146" s="1938" t="str">
        <v>October
2030</v>
      </c>
      <c r="L146" s="1938" t="str">
        <v>November
2030</v>
      </c>
      <c r="M146" s="1938" t="str">
        <v>December
2030</v>
      </c>
      <c r="N146" s="2721" t="str">
        <v>January 
2031</v>
      </c>
      <c r="O146" s="2722" t="str">
        <v>February 
2031</v>
      </c>
      <c r="P146" s="2722" t="str">
        <v>March 
2031</v>
      </c>
      <c r="Q146" s="2722" t="str">
        <v>April 
2031</v>
      </c>
      <c r="R146" s="2722" t="str">
        <v>May 
2031</v>
      </c>
      <c r="S146" s="2722" t="str">
        <v>June 
2031</v>
      </c>
      <c r="T146" s="2722" t="str">
        <v>July 
2031</v>
      </c>
      <c r="U146" s="2722" t="str">
        <v>August 
2031</v>
      </c>
      <c r="V146" s="2722" t="str">
        <v>September 
2031</v>
      </c>
      <c r="W146" s="2722" t="str">
        <v>October 
2031</v>
      </c>
      <c r="X146" s="2722" t="str">
        <v>November 
2031</v>
      </c>
      <c r="Y146" s="2723" t="str">
        <v>December 
2031</v>
      </c>
    </row>
    <row r="147" spans="1:25">
      <c r="A147" s="1922" t="str">
        <v>same month</v>
      </c>
      <c r="B147" s="1919"/>
      <c r="C147" s="1919"/>
      <c r="D147" s="1919"/>
      <c r="E147" s="1919"/>
      <c r="F147" s="1919"/>
      <c r="G147" s="1919"/>
      <c r="H147" s="1919"/>
      <c r="I147" s="1919"/>
      <c r="J147" s="1919"/>
      <c r="K147" s="1919"/>
      <c r="L147" s="1919"/>
      <c r="M147" s="1919"/>
      <c r="N147" s="583">
        <f t="array" aca="1" ref="N147:Y147" ca="1">B22:M22*Production!$N$10</f>
        <v>0</v>
      </c>
      <c r="O147" s="583">
        <f ca="1"/>
        <v>0</v>
      </c>
      <c r="P147" s="583">
        <f ca="1"/>
        <v>0</v>
      </c>
      <c r="Q147" s="583">
        <f ca="1"/>
        <v>0</v>
      </c>
      <c r="R147" s="583">
        <f ca="1"/>
        <v>0</v>
      </c>
      <c r="S147" s="583">
        <f ca="1"/>
        <v>0</v>
      </c>
      <c r="T147" s="583">
        <f ca="1"/>
        <v>0</v>
      </c>
      <c r="U147" s="583">
        <f ca="1"/>
        <v>0</v>
      </c>
      <c r="V147" s="583">
        <f ca="1"/>
        <v>0</v>
      </c>
      <c r="W147" s="583">
        <f ca="1"/>
        <v>0</v>
      </c>
      <c r="X147" s="583">
        <f ca="1"/>
        <v>0</v>
      </c>
      <c r="Y147" s="1933">
        <f ca="1"/>
        <v>0</v>
      </c>
    </row>
    <row r="148" spans="1:25">
      <c r="A148" s="1923" t="str">
        <v>1 month before</v>
      </c>
      <c r="B148" s="1919"/>
      <c r="C148" s="1919"/>
      <c r="D148" s="1919"/>
      <c r="E148" s="1919"/>
      <c r="F148" s="1919"/>
      <c r="G148" s="1919"/>
      <c r="H148" s="1919"/>
      <c r="I148" s="1919"/>
      <c r="J148" s="1919"/>
      <c r="K148" s="1919"/>
      <c r="L148" s="1919"/>
      <c r="M148" s="583">
        <f t="array" aca="1" ref="M148:X148" ca="1">B22:M22*Production!$M$10</f>
        <v>0</v>
      </c>
      <c r="N148" s="583">
        <f ca="1"/>
        <v>0</v>
      </c>
      <c r="O148" s="583">
        <f ca="1"/>
        <v>0</v>
      </c>
      <c r="P148" s="583">
        <f ca="1"/>
        <v>0</v>
      </c>
      <c r="Q148" s="583">
        <f ca="1"/>
        <v>0</v>
      </c>
      <c r="R148" s="583">
        <f ca="1"/>
        <v>0</v>
      </c>
      <c r="S148" s="583">
        <f ca="1"/>
        <v>0</v>
      </c>
      <c r="T148" s="583">
        <f ca="1"/>
        <v>0</v>
      </c>
      <c r="U148" s="583">
        <f ca="1"/>
        <v>0</v>
      </c>
      <c r="V148" s="583">
        <f ca="1"/>
        <v>0</v>
      </c>
      <c r="W148" s="583">
        <f ca="1"/>
        <v>0</v>
      </c>
      <c r="X148" s="583">
        <f ca="1"/>
        <v>0</v>
      </c>
      <c r="Y148" s="1934"/>
    </row>
    <row r="149" spans="1:25">
      <c r="A149" s="1923" t="str">
        <v>2 months before</v>
      </c>
      <c r="B149" s="1919"/>
      <c r="C149" s="1919"/>
      <c r="D149" s="1919"/>
      <c r="E149" s="1919"/>
      <c r="F149" s="1919"/>
      <c r="G149" s="1919"/>
      <c r="H149" s="1919"/>
      <c r="I149" s="1919"/>
      <c r="J149" s="1919"/>
      <c r="K149" s="1919"/>
      <c r="L149" s="583">
        <f t="array" aca="1" ref="L149:W149" ca="1">B22:M22*Production!$L$10</f>
        <v>0</v>
      </c>
      <c r="M149" s="583">
        <f ca="1"/>
        <v>0</v>
      </c>
      <c r="N149" s="583">
        <f ca="1"/>
        <v>0</v>
      </c>
      <c r="O149" s="583">
        <f ca="1"/>
        <v>0</v>
      </c>
      <c r="P149" s="583">
        <f ca="1"/>
        <v>0</v>
      </c>
      <c r="Q149" s="583">
        <f ca="1"/>
        <v>0</v>
      </c>
      <c r="R149" s="583">
        <f ca="1"/>
        <v>0</v>
      </c>
      <c r="S149" s="583">
        <f ca="1"/>
        <v>0</v>
      </c>
      <c r="T149" s="583">
        <f ca="1"/>
        <v>0</v>
      </c>
      <c r="U149" s="583">
        <f ca="1"/>
        <v>0</v>
      </c>
      <c r="V149" s="583">
        <f ca="1"/>
        <v>0</v>
      </c>
      <c r="W149" s="583">
        <f ca="1"/>
        <v>0</v>
      </c>
      <c r="X149" s="1919"/>
      <c r="Y149" s="1934"/>
    </row>
    <row r="150" spans="1:25">
      <c r="A150" s="1923" t="str">
        <v>3 months before</v>
      </c>
      <c r="B150" s="1919"/>
      <c r="C150" s="1919"/>
      <c r="D150" s="1919"/>
      <c r="E150" s="1919"/>
      <c r="F150" s="1919"/>
      <c r="G150" s="1919"/>
      <c r="H150" s="1919"/>
      <c r="I150" s="1919"/>
      <c r="J150" s="1919"/>
      <c r="K150" s="583">
        <f t="array" aca="1" ref="K150:V150" ca="1">B22:M22*Production!$K$10</f>
        <v>0</v>
      </c>
      <c r="L150" s="583">
        <f ca="1"/>
        <v>0</v>
      </c>
      <c r="M150" s="583">
        <f ca="1"/>
        <v>0</v>
      </c>
      <c r="N150" s="583">
        <f ca="1"/>
        <v>0</v>
      </c>
      <c r="O150" s="583">
        <f ca="1"/>
        <v>0</v>
      </c>
      <c r="P150" s="583">
        <f ca="1"/>
        <v>0</v>
      </c>
      <c r="Q150" s="583">
        <f ca="1"/>
        <v>0</v>
      </c>
      <c r="R150" s="583">
        <f ca="1"/>
        <v>0</v>
      </c>
      <c r="S150" s="583">
        <f ca="1"/>
        <v>0</v>
      </c>
      <c r="T150" s="583">
        <f ca="1"/>
        <v>0</v>
      </c>
      <c r="U150" s="583">
        <f ca="1"/>
        <v>0</v>
      </c>
      <c r="V150" s="583">
        <f ca="1"/>
        <v>0</v>
      </c>
      <c r="W150" s="1919"/>
      <c r="X150" s="1919"/>
      <c r="Y150" s="1934"/>
    </row>
    <row r="151" spans="1:25">
      <c r="A151" s="1923" t="str">
        <v>4 months before</v>
      </c>
      <c r="B151" s="1919"/>
      <c r="C151" s="1919"/>
      <c r="D151" s="1919"/>
      <c r="E151" s="1919"/>
      <c r="F151" s="1919"/>
      <c r="G151" s="1919"/>
      <c r="H151" s="1919"/>
      <c r="I151" s="1919"/>
      <c r="J151" s="583">
        <f t="array" aca="1" ref="J151:U151" ca="1">B22:M22*Production!$J$10</f>
        <v>0</v>
      </c>
      <c r="K151" s="583">
        <f ca="1"/>
        <v>0</v>
      </c>
      <c r="L151" s="583">
        <f ca="1"/>
        <v>0</v>
      </c>
      <c r="M151" s="583">
        <f ca="1"/>
        <v>0</v>
      </c>
      <c r="N151" s="583">
        <f ca="1"/>
        <v>0</v>
      </c>
      <c r="O151" s="583">
        <f ca="1"/>
        <v>0</v>
      </c>
      <c r="P151" s="583">
        <f ca="1"/>
        <v>0</v>
      </c>
      <c r="Q151" s="583">
        <f ca="1"/>
        <v>0</v>
      </c>
      <c r="R151" s="583">
        <f ca="1"/>
        <v>0</v>
      </c>
      <c r="S151" s="583">
        <f ca="1"/>
        <v>0</v>
      </c>
      <c r="T151" s="583">
        <f ca="1"/>
        <v>0</v>
      </c>
      <c r="U151" s="583">
        <f ca="1"/>
        <v>0</v>
      </c>
      <c r="V151" s="1919"/>
      <c r="W151" s="1919"/>
      <c r="X151" s="1919"/>
      <c r="Y151" s="1934"/>
    </row>
    <row r="152" spans="1:25">
      <c r="A152" s="1923" t="str">
        <v>5 months before</v>
      </c>
      <c r="B152" s="1919"/>
      <c r="C152" s="1919"/>
      <c r="D152" s="1919"/>
      <c r="E152" s="1919"/>
      <c r="F152" s="1919"/>
      <c r="G152" s="1919"/>
      <c r="H152" s="1919"/>
      <c r="I152" s="583">
        <f t="array" aca="1" ref="I152:T152" ca="1">B22:M22*Production!$I$10</f>
        <v>0</v>
      </c>
      <c r="J152" s="583">
        <f ca="1"/>
        <v>0</v>
      </c>
      <c r="K152" s="583">
        <f ca="1"/>
        <v>0</v>
      </c>
      <c r="L152" s="583">
        <f ca="1"/>
        <v>0</v>
      </c>
      <c r="M152" s="583">
        <f ca="1"/>
        <v>0</v>
      </c>
      <c r="N152" s="583">
        <f ca="1"/>
        <v>0</v>
      </c>
      <c r="O152" s="583">
        <f ca="1"/>
        <v>0</v>
      </c>
      <c r="P152" s="583">
        <f ca="1"/>
        <v>0</v>
      </c>
      <c r="Q152" s="583">
        <f ca="1"/>
        <v>0</v>
      </c>
      <c r="R152" s="583">
        <f ca="1"/>
        <v>0</v>
      </c>
      <c r="S152" s="583">
        <f ca="1"/>
        <v>0</v>
      </c>
      <c r="T152" s="583">
        <f ca="1"/>
        <v>0</v>
      </c>
      <c r="U152" s="1919"/>
      <c r="V152" s="1919"/>
      <c r="W152" s="1919"/>
      <c r="X152" s="1919"/>
      <c r="Y152" s="1934"/>
    </row>
    <row r="153" spans="1:25">
      <c r="A153" s="1923" t="str">
        <v>6 months before</v>
      </c>
      <c r="B153" s="1919"/>
      <c r="C153" s="1919"/>
      <c r="D153" s="1919"/>
      <c r="E153" s="1919"/>
      <c r="F153" s="1919"/>
      <c r="G153" s="1919"/>
      <c r="H153" s="583">
        <f t="array" aca="1" ref="H153:S153" ca="1">B22:M22*Production!$H$10</f>
        <v>0</v>
      </c>
      <c r="I153" s="583">
        <f ca="1"/>
        <v>0</v>
      </c>
      <c r="J153" s="583">
        <f ca="1"/>
        <v>0</v>
      </c>
      <c r="K153" s="583">
        <f ca="1"/>
        <v>0</v>
      </c>
      <c r="L153" s="583">
        <f ca="1"/>
        <v>0</v>
      </c>
      <c r="M153" s="583">
        <f ca="1"/>
        <v>0</v>
      </c>
      <c r="N153" s="583">
        <f ca="1"/>
        <v>0</v>
      </c>
      <c r="O153" s="583">
        <f ca="1"/>
        <v>0</v>
      </c>
      <c r="P153" s="583">
        <f ca="1"/>
        <v>0</v>
      </c>
      <c r="Q153" s="583">
        <f ca="1"/>
        <v>0</v>
      </c>
      <c r="R153" s="583">
        <f ca="1"/>
        <v>0</v>
      </c>
      <c r="S153" s="583">
        <f ca="1"/>
        <v>0</v>
      </c>
      <c r="T153" s="1919"/>
      <c r="U153" s="1919"/>
      <c r="V153" s="1919"/>
      <c r="W153" s="1919"/>
      <c r="X153" s="1919"/>
      <c r="Y153" s="1934"/>
    </row>
    <row r="154" spans="1:25">
      <c r="A154" s="1923" t="str">
        <v>7 months before</v>
      </c>
      <c r="B154" s="1919"/>
      <c r="C154" s="1919"/>
      <c r="D154" s="1919"/>
      <c r="E154" s="1919"/>
      <c r="F154" s="1919"/>
      <c r="G154" s="583">
        <f t="array" aca="1" ref="G154:R154" ca="1">B22:M22*Production!$G$10</f>
        <v>0</v>
      </c>
      <c r="H154" s="583">
        <f ca="1"/>
        <v>0</v>
      </c>
      <c r="I154" s="583">
        <f ca="1"/>
        <v>0</v>
      </c>
      <c r="J154" s="583">
        <f ca="1"/>
        <v>0</v>
      </c>
      <c r="K154" s="583">
        <f ca="1"/>
        <v>0</v>
      </c>
      <c r="L154" s="583">
        <f ca="1"/>
        <v>0</v>
      </c>
      <c r="M154" s="583">
        <f ca="1"/>
        <v>0</v>
      </c>
      <c r="N154" s="583">
        <f ca="1"/>
        <v>0</v>
      </c>
      <c r="O154" s="583">
        <f ca="1"/>
        <v>0</v>
      </c>
      <c r="P154" s="583">
        <f ca="1"/>
        <v>0</v>
      </c>
      <c r="Q154" s="583">
        <f ca="1"/>
        <v>0</v>
      </c>
      <c r="R154" s="583">
        <f ca="1"/>
        <v>0</v>
      </c>
      <c r="S154" s="1919"/>
      <c r="T154" s="1919"/>
      <c r="U154" s="1919"/>
      <c r="V154" s="1919"/>
      <c r="W154" s="1919"/>
      <c r="X154" s="1919"/>
      <c r="Y154" s="1934"/>
    </row>
    <row r="155" spans="1:25">
      <c r="A155" s="1923" t="str">
        <v>8 months before</v>
      </c>
      <c r="B155" s="1919"/>
      <c r="C155" s="1919"/>
      <c r="D155" s="1919"/>
      <c r="E155" s="1919"/>
      <c r="F155" s="583">
        <f t="array" aca="1" ref="F155:Q155" ca="1">B22:M22*Production!$F$10</f>
        <v>0</v>
      </c>
      <c r="G155" s="583">
        <f ca="1"/>
        <v>0</v>
      </c>
      <c r="H155" s="583">
        <f ca="1"/>
        <v>0</v>
      </c>
      <c r="I155" s="583">
        <f ca="1"/>
        <v>0</v>
      </c>
      <c r="J155" s="583">
        <f ca="1"/>
        <v>0</v>
      </c>
      <c r="K155" s="583">
        <f ca="1"/>
        <v>0</v>
      </c>
      <c r="L155" s="583">
        <f ca="1"/>
        <v>0</v>
      </c>
      <c r="M155" s="583">
        <f ca="1"/>
        <v>0</v>
      </c>
      <c r="N155" s="583">
        <f ca="1"/>
        <v>0</v>
      </c>
      <c r="O155" s="583">
        <f ca="1"/>
        <v>0</v>
      </c>
      <c r="P155" s="583">
        <f ca="1"/>
        <v>0</v>
      </c>
      <c r="Q155" s="583">
        <f ca="1"/>
        <v>0</v>
      </c>
      <c r="R155" s="1919"/>
      <c r="S155" s="1919"/>
      <c r="T155" s="1919"/>
      <c r="U155" s="1919"/>
      <c r="V155" s="1919"/>
      <c r="W155" s="1919"/>
      <c r="X155" s="1919"/>
      <c r="Y155" s="1934"/>
    </row>
    <row r="156" spans="1:25">
      <c r="A156" s="1923" t="str">
        <v>9 months before</v>
      </c>
      <c r="B156" s="1919"/>
      <c r="C156" s="1919"/>
      <c r="D156" s="1919"/>
      <c r="E156" s="583">
        <f t="array" aca="1" ref="E156:P156" ca="1">B22:M22*Production!$E$10</f>
        <v>0</v>
      </c>
      <c r="F156" s="583">
        <f ca="1"/>
        <v>0</v>
      </c>
      <c r="G156" s="583">
        <f ca="1"/>
        <v>0</v>
      </c>
      <c r="H156" s="583">
        <f ca="1"/>
        <v>0</v>
      </c>
      <c r="I156" s="583">
        <f ca="1"/>
        <v>0</v>
      </c>
      <c r="J156" s="583">
        <f ca="1"/>
        <v>0</v>
      </c>
      <c r="K156" s="583">
        <f ca="1"/>
        <v>0</v>
      </c>
      <c r="L156" s="583">
        <f ca="1"/>
        <v>0</v>
      </c>
      <c r="M156" s="583">
        <f ca="1"/>
        <v>0</v>
      </c>
      <c r="N156" s="583">
        <f ca="1"/>
        <v>0</v>
      </c>
      <c r="O156" s="583">
        <f ca="1"/>
        <v>0</v>
      </c>
      <c r="P156" s="583">
        <f ca="1"/>
        <v>0</v>
      </c>
      <c r="Q156" s="1919"/>
      <c r="R156" s="1919"/>
      <c r="S156" s="1919"/>
      <c r="T156" s="1919"/>
      <c r="U156" s="1919"/>
      <c r="V156" s="1919"/>
      <c r="W156" s="1919"/>
      <c r="X156" s="1919"/>
      <c r="Y156" s="1934"/>
    </row>
    <row r="157" spans="1:25">
      <c r="A157" s="1923" t="str">
        <v>10 months before</v>
      </c>
      <c r="B157" s="1919"/>
      <c r="C157" s="1919"/>
      <c r="D157" s="583">
        <f t="array" aca="1" ref="D157:O157" ca="1">B22:M22*Production!$D$10</f>
        <v>0</v>
      </c>
      <c r="E157" s="583">
        <f ca="1"/>
        <v>0</v>
      </c>
      <c r="F157" s="583">
        <f ca="1"/>
        <v>0</v>
      </c>
      <c r="G157" s="583">
        <f ca="1"/>
        <v>0</v>
      </c>
      <c r="H157" s="583">
        <f ca="1"/>
        <v>0</v>
      </c>
      <c r="I157" s="583">
        <f ca="1"/>
        <v>0</v>
      </c>
      <c r="J157" s="583">
        <f ca="1"/>
        <v>0</v>
      </c>
      <c r="K157" s="583">
        <f ca="1"/>
        <v>0</v>
      </c>
      <c r="L157" s="583">
        <f ca="1"/>
        <v>0</v>
      </c>
      <c r="M157" s="583">
        <f ca="1"/>
        <v>0</v>
      </c>
      <c r="N157" s="583">
        <f ca="1"/>
        <v>0</v>
      </c>
      <c r="O157" s="583">
        <f ca="1"/>
        <v>0</v>
      </c>
      <c r="P157" s="1919"/>
      <c r="Q157" s="1919"/>
      <c r="R157" s="1919"/>
      <c r="S157" s="1919"/>
      <c r="T157" s="1919"/>
      <c r="U157" s="1919"/>
      <c r="V157" s="1919"/>
      <c r="W157" s="1919"/>
      <c r="X157" s="1919"/>
      <c r="Y157" s="1934"/>
    </row>
    <row r="158" spans="1:25">
      <c r="A158" s="1923" t="str">
        <v>11 months before</v>
      </c>
      <c r="B158" s="1919"/>
      <c r="C158" s="583">
        <f t="array" aca="1" ref="C158:N158" ca="1">B22:M22*Production!$C$10</f>
        <v>0</v>
      </c>
      <c r="D158" s="583">
        <f ca="1"/>
        <v>0</v>
      </c>
      <c r="E158" s="583">
        <f ca="1"/>
        <v>0</v>
      </c>
      <c r="F158" s="583">
        <f ca="1"/>
        <v>0</v>
      </c>
      <c r="G158" s="583">
        <f ca="1"/>
        <v>0</v>
      </c>
      <c r="H158" s="583">
        <f ca="1"/>
        <v>0</v>
      </c>
      <c r="I158" s="583">
        <f ca="1"/>
        <v>0</v>
      </c>
      <c r="J158" s="583">
        <f ca="1"/>
        <v>0</v>
      </c>
      <c r="K158" s="583">
        <f ca="1"/>
        <v>0</v>
      </c>
      <c r="L158" s="583">
        <f ca="1"/>
        <v>0</v>
      </c>
      <c r="M158" s="583">
        <f ca="1"/>
        <v>0</v>
      </c>
      <c r="N158" s="583">
        <f ca="1"/>
        <v>0</v>
      </c>
      <c r="O158" s="1919"/>
      <c r="P158" s="1919"/>
      <c r="Q158" s="1919"/>
      <c r="R158" s="1919"/>
      <c r="S158" s="1919"/>
      <c r="T158" s="1919"/>
      <c r="U158" s="1919"/>
      <c r="V158" s="1919"/>
      <c r="W158" s="1919"/>
      <c r="X158" s="1919"/>
      <c r="Y158" s="1934"/>
    </row>
    <row r="159" spans="1:25" ht="13.5" thickBot="1">
      <c r="A159" s="1923" t="str">
        <v>12 months before</v>
      </c>
      <c r="B159" s="583">
        <f t="array" aca="1" ref="B159:M159" ca="1">B22:M22*Production!$B$10</f>
        <v>0</v>
      </c>
      <c r="C159" s="583">
        <f ca="1"/>
        <v>0</v>
      </c>
      <c r="D159" s="583">
        <f ca="1"/>
        <v>0</v>
      </c>
      <c r="E159" s="583">
        <f ca="1"/>
        <v>0</v>
      </c>
      <c r="F159" s="583">
        <f ca="1"/>
        <v>0</v>
      </c>
      <c r="G159" s="583">
        <f ca="1"/>
        <v>0</v>
      </c>
      <c r="H159" s="583">
        <f ca="1"/>
        <v>0</v>
      </c>
      <c r="I159" s="583">
        <f ca="1"/>
        <v>0</v>
      </c>
      <c r="J159" s="583">
        <f ca="1"/>
        <v>0</v>
      </c>
      <c r="K159" s="583">
        <f ca="1"/>
        <v>0</v>
      </c>
      <c r="L159" s="583">
        <f ca="1"/>
        <v>0</v>
      </c>
      <c r="M159" s="583">
        <f ca="1"/>
        <v>0</v>
      </c>
      <c r="N159" s="1919"/>
      <c r="O159" s="1919"/>
      <c r="P159" s="1919"/>
      <c r="Q159" s="1919"/>
      <c r="R159" s="1919"/>
      <c r="S159" s="1919"/>
      <c r="T159" s="1919"/>
      <c r="U159" s="1919"/>
      <c r="V159" s="1919"/>
      <c r="W159" s="1919"/>
      <c r="X159" s="1919"/>
      <c r="Y159" s="1934"/>
    </row>
    <row r="160" spans="1:25" ht="13.5" thickBot="1">
      <c r="A160" s="102" t="str">
        <f>"Totals DC "&amp;A$10</f>
        <v xml:space="preserve">Totals DC </v>
      </c>
      <c r="B160" s="587">
        <f t="shared" ref="B160:Y160" ca="1" si="13">SUM(B147:B159)</f>
        <v>0</v>
      </c>
      <c r="C160" s="587">
        <f t="shared" ca="1" si="13"/>
        <v>0</v>
      </c>
      <c r="D160" s="587">
        <f t="shared" ca="1" si="13"/>
        <v>0</v>
      </c>
      <c r="E160" s="587">
        <f t="shared" ca="1" si="13"/>
        <v>0</v>
      </c>
      <c r="F160" s="587">
        <f t="shared" ca="1" si="13"/>
        <v>0</v>
      </c>
      <c r="G160" s="587">
        <f t="shared" ca="1" si="13"/>
        <v>0</v>
      </c>
      <c r="H160" s="587">
        <f t="shared" ca="1" si="13"/>
        <v>0</v>
      </c>
      <c r="I160" s="587">
        <f t="shared" ca="1" si="13"/>
        <v>0</v>
      </c>
      <c r="J160" s="587">
        <f t="shared" ca="1" si="13"/>
        <v>0</v>
      </c>
      <c r="K160" s="587">
        <f t="shared" ca="1" si="13"/>
        <v>0</v>
      </c>
      <c r="L160" s="587">
        <f t="shared" ca="1" si="13"/>
        <v>0</v>
      </c>
      <c r="M160" s="587">
        <f t="shared" ca="1" si="13"/>
        <v>0</v>
      </c>
      <c r="N160" s="587">
        <f t="shared" ca="1" si="13"/>
        <v>0</v>
      </c>
      <c r="O160" s="587">
        <f t="shared" ca="1" si="13"/>
        <v>0</v>
      </c>
      <c r="P160" s="587">
        <f t="shared" ca="1" si="13"/>
        <v>0</v>
      </c>
      <c r="Q160" s="587">
        <f t="shared" ca="1" si="13"/>
        <v>0</v>
      </c>
      <c r="R160" s="587">
        <f t="shared" ca="1" si="13"/>
        <v>0</v>
      </c>
      <c r="S160" s="587">
        <f t="shared" ca="1" si="13"/>
        <v>0</v>
      </c>
      <c r="T160" s="587">
        <f t="shared" ca="1" si="13"/>
        <v>0</v>
      </c>
      <c r="U160" s="587">
        <f t="shared" ca="1" si="13"/>
        <v>0</v>
      </c>
      <c r="V160" s="587">
        <f t="shared" ca="1" si="13"/>
        <v>0</v>
      </c>
      <c r="W160" s="587">
        <f t="shared" ca="1" si="13"/>
        <v>0</v>
      </c>
      <c r="X160" s="587">
        <f t="shared" ca="1" si="13"/>
        <v>0</v>
      </c>
      <c r="Y160" s="1935">
        <f t="shared" ca="1" si="13"/>
        <v>0</v>
      </c>
    </row>
    <row r="161" spans="1:25" ht="13.5" thickBot="1">
      <c r="A161" s="102" t="str">
        <f>"Input "&amp;'Base Data'!$A$28&amp;" DC "&amp;$A$10</f>
        <v xml:space="preserve">Input VAT DC </v>
      </c>
      <c r="B161" s="587">
        <f t="array" aca="1" ref="B161:Y161" ca="1">$K$145*B160:Y160</f>
        <v>0</v>
      </c>
      <c r="C161" s="587">
        <f ca="1"/>
        <v>0</v>
      </c>
      <c r="D161" s="587">
        <f ca="1"/>
        <v>0</v>
      </c>
      <c r="E161" s="587">
        <f ca="1"/>
        <v>0</v>
      </c>
      <c r="F161" s="587">
        <f ca="1"/>
        <v>0</v>
      </c>
      <c r="G161" s="587">
        <f ca="1"/>
        <v>0</v>
      </c>
      <c r="H161" s="587">
        <f ca="1"/>
        <v>0</v>
      </c>
      <c r="I161" s="587">
        <f ca="1"/>
        <v>0</v>
      </c>
      <c r="J161" s="587">
        <f ca="1"/>
        <v>0</v>
      </c>
      <c r="K161" s="587">
        <f ca="1"/>
        <v>0</v>
      </c>
      <c r="L161" s="587">
        <f ca="1"/>
        <v>0</v>
      </c>
      <c r="M161" s="587">
        <f ca="1"/>
        <v>0</v>
      </c>
      <c r="N161" s="587">
        <f ca="1"/>
        <v>0</v>
      </c>
      <c r="O161" s="587">
        <f ca="1"/>
        <v>0</v>
      </c>
      <c r="P161" s="587">
        <f ca="1"/>
        <v>0</v>
      </c>
      <c r="Q161" s="587">
        <f ca="1"/>
        <v>0</v>
      </c>
      <c r="R161" s="587">
        <f ca="1"/>
        <v>0</v>
      </c>
      <c r="S161" s="587">
        <f ca="1"/>
        <v>0</v>
      </c>
      <c r="T161" s="587">
        <f ca="1"/>
        <v>0</v>
      </c>
      <c r="U161" s="587">
        <f ca="1"/>
        <v>0</v>
      </c>
      <c r="V161" s="587">
        <f ca="1"/>
        <v>0</v>
      </c>
      <c r="W161" s="587">
        <f ca="1"/>
        <v>0</v>
      </c>
      <c r="X161" s="587">
        <f ca="1"/>
        <v>0</v>
      </c>
      <c r="Y161" s="1935">
        <f ca="1"/>
        <v>0</v>
      </c>
    </row>
    <row r="163" spans="1:25" ht="18.75" thickBot="1">
      <c r="A163" s="1921" t="str">
        <f>'DC Distr 0'!A163</f>
        <v xml:space="preserve">Monthly Purchases / Production costs for </v>
      </c>
      <c r="I163" s="1921" t="str">
        <f>I$18</f>
        <v>VAT NOT included</v>
      </c>
      <c r="K163" s="1932">
        <f>Parameters!$F$27</f>
        <v>0.21</v>
      </c>
    </row>
    <row r="164" spans="1:25" ht="30" customHeight="1" thickBot="1">
      <c r="A164" s="441" t="str">
        <f t="array" ref="A164:A177">A$110:A$123</f>
        <v>Months before sale</v>
      </c>
      <c r="B164" s="1938" t="str">
        <f t="array" ref="B164:Y164">B$71:Y$71</f>
        <v>January
2030</v>
      </c>
      <c r="C164" s="1938" t="str">
        <v>February
2030</v>
      </c>
      <c r="D164" s="1938" t="str">
        <v>March
2030</v>
      </c>
      <c r="E164" s="1938" t="str">
        <v>April
2030</v>
      </c>
      <c r="F164" s="1938" t="str">
        <v>May
2030</v>
      </c>
      <c r="G164" s="1938" t="str">
        <v>June
2030</v>
      </c>
      <c r="H164" s="1938" t="str">
        <v>July
2030</v>
      </c>
      <c r="I164" s="1938" t="str">
        <v>August
2030</v>
      </c>
      <c r="J164" s="1938" t="str">
        <v>September
2030</v>
      </c>
      <c r="K164" s="1938" t="str">
        <v>October
2030</v>
      </c>
      <c r="L164" s="1938" t="str">
        <v>November
2030</v>
      </c>
      <c r="M164" s="1938" t="str">
        <v>December
2030</v>
      </c>
      <c r="N164" s="2721" t="str">
        <v>January 
2031</v>
      </c>
      <c r="O164" s="2722" t="str">
        <v>February 
2031</v>
      </c>
      <c r="P164" s="2722" t="str">
        <v>March 
2031</v>
      </c>
      <c r="Q164" s="2722" t="str">
        <v>April 
2031</v>
      </c>
      <c r="R164" s="2722" t="str">
        <v>May 
2031</v>
      </c>
      <c r="S164" s="2722" t="str">
        <v>June 
2031</v>
      </c>
      <c r="T164" s="2722" t="str">
        <v>July 
2031</v>
      </c>
      <c r="U164" s="2722" t="str">
        <v>August 
2031</v>
      </c>
      <c r="V164" s="2722" t="str">
        <v>September 
2031</v>
      </c>
      <c r="W164" s="2722" t="str">
        <v>October 
2031</v>
      </c>
      <c r="X164" s="2722" t="str">
        <v>November 
2031</v>
      </c>
      <c r="Y164" s="2723" t="str">
        <v>December 
2031</v>
      </c>
    </row>
    <row r="165" spans="1:25">
      <c r="A165" s="1922" t="str">
        <v>same month</v>
      </c>
      <c r="B165" s="1919"/>
      <c r="C165" s="1919"/>
      <c r="D165" s="1919"/>
      <c r="E165" s="1919"/>
      <c r="F165" s="1919"/>
      <c r="G165" s="1919"/>
      <c r="H165" s="1919"/>
      <c r="I165" s="1919"/>
      <c r="J165" s="1919"/>
      <c r="K165" s="1919"/>
      <c r="L165" s="1919"/>
      <c r="M165" s="1919"/>
      <c r="N165" s="583">
        <f t="array" aca="1" ref="N165:Y165" ca="1">B23:M23*Production!$N$11</f>
        <v>0</v>
      </c>
      <c r="O165" s="583">
        <f ca="1"/>
        <v>0</v>
      </c>
      <c r="P165" s="583">
        <f ca="1"/>
        <v>0</v>
      </c>
      <c r="Q165" s="583">
        <f ca="1"/>
        <v>0</v>
      </c>
      <c r="R165" s="583">
        <f ca="1"/>
        <v>0</v>
      </c>
      <c r="S165" s="583">
        <f ca="1"/>
        <v>0</v>
      </c>
      <c r="T165" s="583">
        <f ca="1"/>
        <v>0</v>
      </c>
      <c r="U165" s="583">
        <f ca="1"/>
        <v>0</v>
      </c>
      <c r="V165" s="583">
        <f ca="1"/>
        <v>0</v>
      </c>
      <c r="W165" s="583">
        <f ca="1"/>
        <v>0</v>
      </c>
      <c r="X165" s="583">
        <f ca="1"/>
        <v>0</v>
      </c>
      <c r="Y165" s="1933">
        <f ca="1"/>
        <v>0</v>
      </c>
    </row>
    <row r="166" spans="1:25">
      <c r="A166" s="1923" t="str">
        <v>1 month before</v>
      </c>
      <c r="B166" s="1919"/>
      <c r="C166" s="1919"/>
      <c r="D166" s="1919"/>
      <c r="E166" s="1919"/>
      <c r="F166" s="1919"/>
      <c r="G166" s="1919"/>
      <c r="H166" s="1919"/>
      <c r="I166" s="1919"/>
      <c r="J166" s="1919"/>
      <c r="K166" s="1919"/>
      <c r="L166" s="1919"/>
      <c r="M166" s="583">
        <f t="array" aca="1" ref="M166:X166" ca="1">B23:M23*Production!$M$11</f>
        <v>0</v>
      </c>
      <c r="N166" s="583">
        <f ca="1"/>
        <v>0</v>
      </c>
      <c r="O166" s="583">
        <f ca="1"/>
        <v>0</v>
      </c>
      <c r="P166" s="583">
        <f ca="1"/>
        <v>0</v>
      </c>
      <c r="Q166" s="583">
        <f ca="1"/>
        <v>0</v>
      </c>
      <c r="R166" s="583">
        <f ca="1"/>
        <v>0</v>
      </c>
      <c r="S166" s="583">
        <f ca="1"/>
        <v>0</v>
      </c>
      <c r="T166" s="583">
        <f ca="1"/>
        <v>0</v>
      </c>
      <c r="U166" s="583">
        <f ca="1"/>
        <v>0</v>
      </c>
      <c r="V166" s="583">
        <f ca="1"/>
        <v>0</v>
      </c>
      <c r="W166" s="583">
        <f ca="1"/>
        <v>0</v>
      </c>
      <c r="X166" s="583">
        <f ca="1"/>
        <v>0</v>
      </c>
      <c r="Y166" s="1934"/>
    </row>
    <row r="167" spans="1:25">
      <c r="A167" s="1923" t="str">
        <v>2 months before</v>
      </c>
      <c r="B167" s="1919"/>
      <c r="C167" s="1919"/>
      <c r="D167" s="1919"/>
      <c r="E167" s="1919"/>
      <c r="F167" s="1919"/>
      <c r="G167" s="1919"/>
      <c r="H167" s="1919"/>
      <c r="I167" s="1919"/>
      <c r="J167" s="1919"/>
      <c r="K167" s="1919"/>
      <c r="L167" s="583">
        <f t="array" aca="1" ref="L167:W167" ca="1">B23:M23*Production!$L$11</f>
        <v>0</v>
      </c>
      <c r="M167" s="583">
        <f ca="1"/>
        <v>0</v>
      </c>
      <c r="N167" s="583">
        <f ca="1"/>
        <v>0</v>
      </c>
      <c r="O167" s="583">
        <f ca="1"/>
        <v>0</v>
      </c>
      <c r="P167" s="583">
        <f ca="1"/>
        <v>0</v>
      </c>
      <c r="Q167" s="583">
        <f ca="1"/>
        <v>0</v>
      </c>
      <c r="R167" s="583">
        <f ca="1"/>
        <v>0</v>
      </c>
      <c r="S167" s="583">
        <f ca="1"/>
        <v>0</v>
      </c>
      <c r="T167" s="583">
        <f ca="1"/>
        <v>0</v>
      </c>
      <c r="U167" s="583">
        <f ca="1"/>
        <v>0</v>
      </c>
      <c r="V167" s="583">
        <f ca="1"/>
        <v>0</v>
      </c>
      <c r="W167" s="583">
        <f ca="1"/>
        <v>0</v>
      </c>
      <c r="X167" s="1919"/>
      <c r="Y167" s="1934"/>
    </row>
    <row r="168" spans="1:25">
      <c r="A168" s="1923" t="str">
        <v>3 months before</v>
      </c>
      <c r="B168" s="1919"/>
      <c r="C168" s="1919"/>
      <c r="D168" s="1919"/>
      <c r="E168" s="1919"/>
      <c r="F168" s="1919"/>
      <c r="G168" s="1919"/>
      <c r="H168" s="1919"/>
      <c r="I168" s="1919"/>
      <c r="J168" s="1919"/>
      <c r="K168" s="583">
        <f t="array" aca="1" ref="K168:V168" ca="1">B23:M23*Production!$K$11</f>
        <v>0</v>
      </c>
      <c r="L168" s="583">
        <f ca="1"/>
        <v>0</v>
      </c>
      <c r="M168" s="583">
        <f ca="1"/>
        <v>0</v>
      </c>
      <c r="N168" s="583">
        <f ca="1"/>
        <v>0</v>
      </c>
      <c r="O168" s="583">
        <f ca="1"/>
        <v>0</v>
      </c>
      <c r="P168" s="583">
        <f ca="1"/>
        <v>0</v>
      </c>
      <c r="Q168" s="583">
        <f ca="1"/>
        <v>0</v>
      </c>
      <c r="R168" s="583">
        <f ca="1"/>
        <v>0</v>
      </c>
      <c r="S168" s="583">
        <f ca="1"/>
        <v>0</v>
      </c>
      <c r="T168" s="583">
        <f ca="1"/>
        <v>0</v>
      </c>
      <c r="U168" s="583">
        <f ca="1"/>
        <v>0</v>
      </c>
      <c r="V168" s="583">
        <f ca="1"/>
        <v>0</v>
      </c>
      <c r="W168" s="1919"/>
      <c r="X168" s="1919"/>
      <c r="Y168" s="1934"/>
    </row>
    <row r="169" spans="1:25">
      <c r="A169" s="1923" t="str">
        <v>4 months before</v>
      </c>
      <c r="B169" s="1919"/>
      <c r="C169" s="1919"/>
      <c r="D169" s="1919"/>
      <c r="E169" s="1919"/>
      <c r="F169" s="1919"/>
      <c r="G169" s="1919"/>
      <c r="H169" s="1919"/>
      <c r="I169" s="1919"/>
      <c r="J169" s="583">
        <f t="array" aca="1" ref="J169:U169" ca="1">B23:M23*Production!$J$11</f>
        <v>0</v>
      </c>
      <c r="K169" s="583">
        <f ca="1"/>
        <v>0</v>
      </c>
      <c r="L169" s="583">
        <f ca="1"/>
        <v>0</v>
      </c>
      <c r="M169" s="583">
        <f ca="1"/>
        <v>0</v>
      </c>
      <c r="N169" s="583">
        <f ca="1"/>
        <v>0</v>
      </c>
      <c r="O169" s="583">
        <f ca="1"/>
        <v>0</v>
      </c>
      <c r="P169" s="583">
        <f ca="1"/>
        <v>0</v>
      </c>
      <c r="Q169" s="583">
        <f ca="1"/>
        <v>0</v>
      </c>
      <c r="R169" s="583">
        <f ca="1"/>
        <v>0</v>
      </c>
      <c r="S169" s="583">
        <f ca="1"/>
        <v>0</v>
      </c>
      <c r="T169" s="583">
        <f ca="1"/>
        <v>0</v>
      </c>
      <c r="U169" s="583">
        <f ca="1"/>
        <v>0</v>
      </c>
      <c r="V169" s="1919"/>
      <c r="W169" s="1919"/>
      <c r="X169" s="1919"/>
      <c r="Y169" s="1934"/>
    </row>
    <row r="170" spans="1:25">
      <c r="A170" s="1923" t="str">
        <v>5 months before</v>
      </c>
      <c r="B170" s="1919"/>
      <c r="C170" s="1919"/>
      <c r="D170" s="1919"/>
      <c r="E170" s="1919"/>
      <c r="F170" s="1919"/>
      <c r="G170" s="1919"/>
      <c r="H170" s="1919"/>
      <c r="I170" s="583">
        <f t="array" aca="1" ref="I170:T170" ca="1">B23:M23*Production!$I$11</f>
        <v>0</v>
      </c>
      <c r="J170" s="583">
        <f ca="1"/>
        <v>0</v>
      </c>
      <c r="K170" s="583">
        <f ca="1"/>
        <v>0</v>
      </c>
      <c r="L170" s="583">
        <f ca="1"/>
        <v>0</v>
      </c>
      <c r="M170" s="583">
        <f ca="1"/>
        <v>0</v>
      </c>
      <c r="N170" s="583">
        <f ca="1"/>
        <v>0</v>
      </c>
      <c r="O170" s="583">
        <f ca="1"/>
        <v>0</v>
      </c>
      <c r="P170" s="583">
        <f ca="1"/>
        <v>0</v>
      </c>
      <c r="Q170" s="583">
        <f ca="1"/>
        <v>0</v>
      </c>
      <c r="R170" s="583">
        <f ca="1"/>
        <v>0</v>
      </c>
      <c r="S170" s="583">
        <f ca="1"/>
        <v>0</v>
      </c>
      <c r="T170" s="583">
        <f ca="1"/>
        <v>0</v>
      </c>
      <c r="U170" s="1919"/>
      <c r="V170" s="1919"/>
      <c r="W170" s="1919"/>
      <c r="X170" s="1919"/>
      <c r="Y170" s="1934"/>
    </row>
    <row r="171" spans="1:25">
      <c r="A171" s="1923" t="str">
        <v>6 months before</v>
      </c>
      <c r="B171" s="1919"/>
      <c r="C171" s="1919"/>
      <c r="D171" s="1919"/>
      <c r="E171" s="1919"/>
      <c r="F171" s="1919"/>
      <c r="G171" s="1919"/>
      <c r="H171" s="583">
        <f t="array" aca="1" ref="H171:S171" ca="1">B23:M23*Production!$H$11</f>
        <v>0</v>
      </c>
      <c r="I171" s="583">
        <f ca="1"/>
        <v>0</v>
      </c>
      <c r="J171" s="583">
        <f ca="1"/>
        <v>0</v>
      </c>
      <c r="K171" s="583">
        <f ca="1"/>
        <v>0</v>
      </c>
      <c r="L171" s="583">
        <f ca="1"/>
        <v>0</v>
      </c>
      <c r="M171" s="583">
        <f ca="1"/>
        <v>0</v>
      </c>
      <c r="N171" s="583">
        <f ca="1"/>
        <v>0</v>
      </c>
      <c r="O171" s="583">
        <f ca="1"/>
        <v>0</v>
      </c>
      <c r="P171" s="583">
        <f ca="1"/>
        <v>0</v>
      </c>
      <c r="Q171" s="583">
        <f ca="1"/>
        <v>0</v>
      </c>
      <c r="R171" s="583">
        <f ca="1"/>
        <v>0</v>
      </c>
      <c r="S171" s="583">
        <f ca="1"/>
        <v>0</v>
      </c>
      <c r="T171" s="1919"/>
      <c r="U171" s="1919"/>
      <c r="V171" s="1919"/>
      <c r="W171" s="1919"/>
      <c r="X171" s="1919"/>
      <c r="Y171" s="1934"/>
    </row>
    <row r="172" spans="1:25">
      <c r="A172" s="1923" t="str">
        <v>7 months before</v>
      </c>
      <c r="B172" s="1919"/>
      <c r="C172" s="1919"/>
      <c r="D172" s="1919"/>
      <c r="E172" s="1919"/>
      <c r="F172" s="1919"/>
      <c r="G172" s="583">
        <f t="array" aca="1" ref="G172:R172" ca="1">B23:M23*Production!$G$11</f>
        <v>0</v>
      </c>
      <c r="H172" s="583">
        <f ca="1"/>
        <v>0</v>
      </c>
      <c r="I172" s="583">
        <f ca="1"/>
        <v>0</v>
      </c>
      <c r="J172" s="583">
        <f ca="1"/>
        <v>0</v>
      </c>
      <c r="K172" s="583">
        <f ca="1"/>
        <v>0</v>
      </c>
      <c r="L172" s="583">
        <f ca="1"/>
        <v>0</v>
      </c>
      <c r="M172" s="583">
        <f ca="1"/>
        <v>0</v>
      </c>
      <c r="N172" s="583">
        <f ca="1"/>
        <v>0</v>
      </c>
      <c r="O172" s="583">
        <f ca="1"/>
        <v>0</v>
      </c>
      <c r="P172" s="583">
        <f ca="1"/>
        <v>0</v>
      </c>
      <c r="Q172" s="583">
        <f ca="1"/>
        <v>0</v>
      </c>
      <c r="R172" s="583">
        <f ca="1"/>
        <v>0</v>
      </c>
      <c r="S172" s="1919"/>
      <c r="T172" s="1919"/>
      <c r="U172" s="1919"/>
      <c r="V172" s="1919"/>
      <c r="W172" s="1919"/>
      <c r="X172" s="1919"/>
      <c r="Y172" s="1934"/>
    </row>
    <row r="173" spans="1:25">
      <c r="A173" s="1923" t="str">
        <v>8 months before</v>
      </c>
      <c r="B173" s="1919"/>
      <c r="C173" s="1919"/>
      <c r="D173" s="1919"/>
      <c r="E173" s="1919"/>
      <c r="F173" s="583">
        <f t="array" aca="1" ref="F173:Q173" ca="1">B23:M23*Production!$F$11</f>
        <v>0</v>
      </c>
      <c r="G173" s="583">
        <f ca="1"/>
        <v>0</v>
      </c>
      <c r="H173" s="583">
        <f ca="1"/>
        <v>0</v>
      </c>
      <c r="I173" s="583">
        <f ca="1"/>
        <v>0</v>
      </c>
      <c r="J173" s="583">
        <f ca="1"/>
        <v>0</v>
      </c>
      <c r="K173" s="583">
        <f ca="1"/>
        <v>0</v>
      </c>
      <c r="L173" s="583">
        <f ca="1"/>
        <v>0</v>
      </c>
      <c r="M173" s="583">
        <f ca="1"/>
        <v>0</v>
      </c>
      <c r="N173" s="583">
        <f ca="1"/>
        <v>0</v>
      </c>
      <c r="O173" s="583">
        <f ca="1"/>
        <v>0</v>
      </c>
      <c r="P173" s="583">
        <f ca="1"/>
        <v>0</v>
      </c>
      <c r="Q173" s="583">
        <f ca="1"/>
        <v>0</v>
      </c>
      <c r="R173" s="1919"/>
      <c r="S173" s="1919"/>
      <c r="T173" s="1919"/>
      <c r="U173" s="1919"/>
      <c r="V173" s="1919"/>
      <c r="W173" s="1919"/>
      <c r="X173" s="1919"/>
      <c r="Y173" s="1934"/>
    </row>
    <row r="174" spans="1:25">
      <c r="A174" s="1923" t="str">
        <v>9 months before</v>
      </c>
      <c r="B174" s="1919"/>
      <c r="C174" s="1919"/>
      <c r="D174" s="1919"/>
      <c r="E174" s="583">
        <f t="array" aca="1" ref="E174:P174" ca="1">B23:M23*Production!$E$11</f>
        <v>0</v>
      </c>
      <c r="F174" s="583">
        <f ca="1"/>
        <v>0</v>
      </c>
      <c r="G174" s="583">
        <f ca="1"/>
        <v>0</v>
      </c>
      <c r="H174" s="583">
        <f ca="1"/>
        <v>0</v>
      </c>
      <c r="I174" s="583">
        <f ca="1"/>
        <v>0</v>
      </c>
      <c r="J174" s="583">
        <f ca="1"/>
        <v>0</v>
      </c>
      <c r="K174" s="583">
        <f ca="1"/>
        <v>0</v>
      </c>
      <c r="L174" s="583">
        <f ca="1"/>
        <v>0</v>
      </c>
      <c r="M174" s="583">
        <f ca="1"/>
        <v>0</v>
      </c>
      <c r="N174" s="583">
        <f ca="1"/>
        <v>0</v>
      </c>
      <c r="O174" s="583">
        <f ca="1"/>
        <v>0</v>
      </c>
      <c r="P174" s="583">
        <f ca="1"/>
        <v>0</v>
      </c>
      <c r="Q174" s="1919"/>
      <c r="R174" s="1919"/>
      <c r="S174" s="1919"/>
      <c r="T174" s="1919"/>
      <c r="U174" s="1919"/>
      <c r="V174" s="1919"/>
      <c r="W174" s="1919"/>
      <c r="X174" s="1919"/>
      <c r="Y174" s="1934"/>
    </row>
    <row r="175" spans="1:25">
      <c r="A175" s="1923" t="str">
        <v>10 months before</v>
      </c>
      <c r="B175" s="1919"/>
      <c r="C175" s="1919"/>
      <c r="D175" s="583">
        <f t="array" aca="1" ref="D175:O175" ca="1">B23:M23*Production!$D$11</f>
        <v>0</v>
      </c>
      <c r="E175" s="583">
        <f ca="1"/>
        <v>0</v>
      </c>
      <c r="F175" s="583">
        <f ca="1"/>
        <v>0</v>
      </c>
      <c r="G175" s="583">
        <f ca="1"/>
        <v>0</v>
      </c>
      <c r="H175" s="583">
        <f ca="1"/>
        <v>0</v>
      </c>
      <c r="I175" s="583">
        <f ca="1"/>
        <v>0</v>
      </c>
      <c r="J175" s="583">
        <f ca="1"/>
        <v>0</v>
      </c>
      <c r="K175" s="583">
        <f ca="1"/>
        <v>0</v>
      </c>
      <c r="L175" s="583">
        <f ca="1"/>
        <v>0</v>
      </c>
      <c r="M175" s="583">
        <f ca="1"/>
        <v>0</v>
      </c>
      <c r="N175" s="583">
        <f ca="1"/>
        <v>0</v>
      </c>
      <c r="O175" s="583">
        <f ca="1"/>
        <v>0</v>
      </c>
      <c r="P175" s="1919"/>
      <c r="Q175" s="1919"/>
      <c r="R175" s="1919"/>
      <c r="S175" s="1919"/>
      <c r="T175" s="1919"/>
      <c r="U175" s="1919"/>
      <c r="V175" s="1919"/>
      <c r="W175" s="1919"/>
      <c r="X175" s="1919"/>
      <c r="Y175" s="1934"/>
    </row>
    <row r="176" spans="1:25">
      <c r="A176" s="1923" t="str">
        <v>11 months before</v>
      </c>
      <c r="B176" s="1919"/>
      <c r="C176" s="583">
        <f t="array" aca="1" ref="C176:N176" ca="1">B23:M23*Production!$C$11</f>
        <v>0</v>
      </c>
      <c r="D176" s="583">
        <f ca="1"/>
        <v>0</v>
      </c>
      <c r="E176" s="583">
        <f ca="1"/>
        <v>0</v>
      </c>
      <c r="F176" s="583">
        <f ca="1"/>
        <v>0</v>
      </c>
      <c r="G176" s="583">
        <f ca="1"/>
        <v>0</v>
      </c>
      <c r="H176" s="583">
        <f ca="1"/>
        <v>0</v>
      </c>
      <c r="I176" s="583">
        <f ca="1"/>
        <v>0</v>
      </c>
      <c r="J176" s="583">
        <f ca="1"/>
        <v>0</v>
      </c>
      <c r="K176" s="583">
        <f ca="1"/>
        <v>0</v>
      </c>
      <c r="L176" s="583">
        <f ca="1"/>
        <v>0</v>
      </c>
      <c r="M176" s="583">
        <f ca="1"/>
        <v>0</v>
      </c>
      <c r="N176" s="583">
        <f ca="1"/>
        <v>0</v>
      </c>
      <c r="O176" s="1919"/>
      <c r="P176" s="1919"/>
      <c r="Q176" s="1919"/>
      <c r="R176" s="1919"/>
      <c r="S176" s="1919"/>
      <c r="T176" s="1919"/>
      <c r="U176" s="1919"/>
      <c r="V176" s="1919"/>
      <c r="W176" s="1919"/>
      <c r="X176" s="1919"/>
      <c r="Y176" s="1934"/>
    </row>
    <row r="177" spans="1:25" ht="13.5" thickBot="1">
      <c r="A177" s="1923" t="str">
        <v>12 months before</v>
      </c>
      <c r="B177" s="583">
        <f t="array" aca="1" ref="B177:M177" ca="1">B23:M23*Production!$B$11</f>
        <v>0</v>
      </c>
      <c r="C177" s="583">
        <f ca="1"/>
        <v>0</v>
      </c>
      <c r="D177" s="583">
        <f ca="1"/>
        <v>0</v>
      </c>
      <c r="E177" s="583">
        <f ca="1"/>
        <v>0</v>
      </c>
      <c r="F177" s="583">
        <f ca="1"/>
        <v>0</v>
      </c>
      <c r="G177" s="583">
        <f ca="1"/>
        <v>0</v>
      </c>
      <c r="H177" s="583">
        <f ca="1"/>
        <v>0</v>
      </c>
      <c r="I177" s="583">
        <f ca="1"/>
        <v>0</v>
      </c>
      <c r="J177" s="583">
        <f ca="1"/>
        <v>0</v>
      </c>
      <c r="K177" s="583">
        <f ca="1"/>
        <v>0</v>
      </c>
      <c r="L177" s="583">
        <f ca="1"/>
        <v>0</v>
      </c>
      <c r="M177" s="583">
        <f ca="1"/>
        <v>0</v>
      </c>
      <c r="N177" s="1919"/>
      <c r="O177" s="1919"/>
      <c r="P177" s="1919"/>
      <c r="Q177" s="1919"/>
      <c r="R177" s="1919"/>
      <c r="S177" s="1919"/>
      <c r="T177" s="1919"/>
      <c r="U177" s="1919"/>
      <c r="V177" s="1919"/>
      <c r="W177" s="1919"/>
      <c r="X177" s="1919"/>
      <c r="Y177" s="1934"/>
    </row>
    <row r="178" spans="1:25" ht="13.5" thickBot="1">
      <c r="A178" s="102" t="str">
        <f>"Totals DC "&amp;A$11</f>
        <v xml:space="preserve">Totals DC </v>
      </c>
      <c r="B178" s="587">
        <f t="shared" ref="B178:Y178" ca="1" si="14">SUM(B165:B177)</f>
        <v>0</v>
      </c>
      <c r="C178" s="587">
        <f t="shared" ca="1" si="14"/>
        <v>0</v>
      </c>
      <c r="D178" s="587">
        <f t="shared" ca="1" si="14"/>
        <v>0</v>
      </c>
      <c r="E178" s="587">
        <f t="shared" ca="1" si="14"/>
        <v>0</v>
      </c>
      <c r="F178" s="587">
        <f t="shared" ca="1" si="14"/>
        <v>0</v>
      </c>
      <c r="G178" s="587">
        <f t="shared" ca="1" si="14"/>
        <v>0</v>
      </c>
      <c r="H178" s="587">
        <f t="shared" ca="1" si="14"/>
        <v>0</v>
      </c>
      <c r="I178" s="587">
        <f t="shared" ca="1" si="14"/>
        <v>0</v>
      </c>
      <c r="J178" s="587">
        <f t="shared" ca="1" si="14"/>
        <v>0</v>
      </c>
      <c r="K178" s="587">
        <f t="shared" ca="1" si="14"/>
        <v>0</v>
      </c>
      <c r="L178" s="587">
        <f t="shared" ca="1" si="14"/>
        <v>0</v>
      </c>
      <c r="M178" s="587">
        <f t="shared" ca="1" si="14"/>
        <v>0</v>
      </c>
      <c r="N178" s="587">
        <f t="shared" ca="1" si="14"/>
        <v>0</v>
      </c>
      <c r="O178" s="587">
        <f t="shared" ca="1" si="14"/>
        <v>0</v>
      </c>
      <c r="P178" s="587">
        <f t="shared" ca="1" si="14"/>
        <v>0</v>
      </c>
      <c r="Q178" s="587">
        <f t="shared" ca="1" si="14"/>
        <v>0</v>
      </c>
      <c r="R178" s="587">
        <f t="shared" ca="1" si="14"/>
        <v>0</v>
      </c>
      <c r="S178" s="587">
        <f t="shared" ca="1" si="14"/>
        <v>0</v>
      </c>
      <c r="T178" s="587">
        <f t="shared" ca="1" si="14"/>
        <v>0</v>
      </c>
      <c r="U178" s="587">
        <f t="shared" ca="1" si="14"/>
        <v>0</v>
      </c>
      <c r="V178" s="587">
        <f t="shared" ca="1" si="14"/>
        <v>0</v>
      </c>
      <c r="W178" s="587">
        <f t="shared" ca="1" si="14"/>
        <v>0</v>
      </c>
      <c r="X178" s="587">
        <f t="shared" ca="1" si="14"/>
        <v>0</v>
      </c>
      <c r="Y178" s="1935">
        <f t="shared" ca="1" si="14"/>
        <v>0</v>
      </c>
    </row>
    <row r="179" spans="1:25" ht="13.5" thickBot="1">
      <c r="A179" s="102" t="str">
        <f>"Input "&amp;'Base Data'!$A$28&amp;" DC "&amp;$A$11</f>
        <v xml:space="preserve">Input VAT DC </v>
      </c>
      <c r="B179" s="587">
        <f t="array" aca="1" ref="B179:Y179" ca="1">$K$163*B178:Y178</f>
        <v>0</v>
      </c>
      <c r="C179" s="587">
        <f ca="1"/>
        <v>0</v>
      </c>
      <c r="D179" s="587">
        <f ca="1"/>
        <v>0</v>
      </c>
      <c r="E179" s="587">
        <f ca="1"/>
        <v>0</v>
      </c>
      <c r="F179" s="587">
        <f ca="1"/>
        <v>0</v>
      </c>
      <c r="G179" s="587">
        <f ca="1"/>
        <v>0</v>
      </c>
      <c r="H179" s="587">
        <f ca="1"/>
        <v>0</v>
      </c>
      <c r="I179" s="587">
        <f ca="1"/>
        <v>0</v>
      </c>
      <c r="J179" s="587">
        <f ca="1"/>
        <v>0</v>
      </c>
      <c r="K179" s="587">
        <f ca="1"/>
        <v>0</v>
      </c>
      <c r="L179" s="587">
        <f ca="1"/>
        <v>0</v>
      </c>
      <c r="M179" s="587">
        <f ca="1"/>
        <v>0</v>
      </c>
      <c r="N179" s="587">
        <f ca="1"/>
        <v>0</v>
      </c>
      <c r="O179" s="587">
        <f ca="1"/>
        <v>0</v>
      </c>
      <c r="P179" s="587">
        <f ca="1"/>
        <v>0</v>
      </c>
      <c r="Q179" s="587">
        <f ca="1"/>
        <v>0</v>
      </c>
      <c r="R179" s="587">
        <f ca="1"/>
        <v>0</v>
      </c>
      <c r="S179" s="587">
        <f ca="1"/>
        <v>0</v>
      </c>
      <c r="T179" s="587">
        <f ca="1"/>
        <v>0</v>
      </c>
      <c r="U179" s="587">
        <f ca="1"/>
        <v>0</v>
      </c>
      <c r="V179" s="587">
        <f ca="1"/>
        <v>0</v>
      </c>
      <c r="W179" s="587">
        <f ca="1"/>
        <v>0</v>
      </c>
      <c r="X179" s="587">
        <f ca="1"/>
        <v>0</v>
      </c>
      <c r="Y179" s="1935">
        <f ca="1"/>
        <v>0</v>
      </c>
    </row>
    <row r="181" spans="1:25" ht="18.75" thickBot="1">
      <c r="A181" s="1921" t="str">
        <f>'DC Distr 0'!A181</f>
        <v xml:space="preserve">Monthly Purchases / Production costs for </v>
      </c>
      <c r="I181" s="1921" t="str">
        <f>I$18</f>
        <v>VAT NOT included</v>
      </c>
      <c r="K181" s="1932">
        <f>Parameters!$F$28</f>
        <v>0.21</v>
      </c>
    </row>
    <row r="182" spans="1:25" ht="31.5" customHeight="1" thickBot="1">
      <c r="A182" s="441" t="str">
        <f t="array" ref="A182:A195">A$110:A$123</f>
        <v>Months before sale</v>
      </c>
      <c r="B182" s="1938" t="str">
        <f t="array" ref="B182:Y182">B$71:Y$71</f>
        <v>January
2030</v>
      </c>
      <c r="C182" s="1938" t="str">
        <v>February
2030</v>
      </c>
      <c r="D182" s="1938" t="str">
        <v>March
2030</v>
      </c>
      <c r="E182" s="1938" t="str">
        <v>April
2030</v>
      </c>
      <c r="F182" s="1938" t="str">
        <v>May
2030</v>
      </c>
      <c r="G182" s="1938" t="str">
        <v>June
2030</v>
      </c>
      <c r="H182" s="1938" t="str">
        <v>July
2030</v>
      </c>
      <c r="I182" s="1938" t="str">
        <v>August
2030</v>
      </c>
      <c r="J182" s="1938" t="str">
        <v>September
2030</v>
      </c>
      <c r="K182" s="1938" t="str">
        <v>October
2030</v>
      </c>
      <c r="L182" s="1938" t="str">
        <v>November
2030</v>
      </c>
      <c r="M182" s="1938" t="str">
        <v>December
2030</v>
      </c>
      <c r="N182" s="2721" t="str">
        <v>January 
2031</v>
      </c>
      <c r="O182" s="2722" t="str">
        <v>February 
2031</v>
      </c>
      <c r="P182" s="2722" t="str">
        <v>March 
2031</v>
      </c>
      <c r="Q182" s="2722" t="str">
        <v>April 
2031</v>
      </c>
      <c r="R182" s="2722" t="str">
        <v>May 
2031</v>
      </c>
      <c r="S182" s="2722" t="str">
        <v>June 
2031</v>
      </c>
      <c r="T182" s="2722" t="str">
        <v>July 
2031</v>
      </c>
      <c r="U182" s="2722" t="str">
        <v>August 
2031</v>
      </c>
      <c r="V182" s="2722" t="str">
        <v>September 
2031</v>
      </c>
      <c r="W182" s="2722" t="str">
        <v>October 
2031</v>
      </c>
      <c r="X182" s="2722" t="str">
        <v>November 
2031</v>
      </c>
      <c r="Y182" s="2723" t="str">
        <v>December 
2031</v>
      </c>
    </row>
    <row r="183" spans="1:25">
      <c r="A183" s="1922" t="str">
        <v>same month</v>
      </c>
      <c r="B183" s="1919"/>
      <c r="C183" s="1919"/>
      <c r="D183" s="1919"/>
      <c r="E183" s="1919"/>
      <c r="F183" s="1919"/>
      <c r="G183" s="1919"/>
      <c r="H183" s="1919"/>
      <c r="I183" s="1919"/>
      <c r="J183" s="1919"/>
      <c r="K183" s="1919"/>
      <c r="L183" s="1919"/>
      <c r="M183" s="1919"/>
      <c r="N183" s="583">
        <f t="array" aca="1" ref="N183:Y183" ca="1">B24:M24*Production!$N$12</f>
        <v>0</v>
      </c>
      <c r="O183" s="583">
        <f ca="1"/>
        <v>0</v>
      </c>
      <c r="P183" s="583">
        <f ca="1"/>
        <v>0</v>
      </c>
      <c r="Q183" s="583">
        <f ca="1"/>
        <v>0</v>
      </c>
      <c r="R183" s="583">
        <f ca="1"/>
        <v>0</v>
      </c>
      <c r="S183" s="583">
        <f ca="1"/>
        <v>0</v>
      </c>
      <c r="T183" s="583">
        <f ca="1"/>
        <v>0</v>
      </c>
      <c r="U183" s="583">
        <f ca="1"/>
        <v>0</v>
      </c>
      <c r="V183" s="583">
        <f ca="1"/>
        <v>0</v>
      </c>
      <c r="W183" s="583">
        <f ca="1"/>
        <v>0</v>
      </c>
      <c r="X183" s="583">
        <f ca="1"/>
        <v>0</v>
      </c>
      <c r="Y183" s="1933">
        <f ca="1"/>
        <v>0</v>
      </c>
    </row>
    <row r="184" spans="1:25">
      <c r="A184" s="1923" t="str">
        <v>1 month before</v>
      </c>
      <c r="B184" s="1919"/>
      <c r="C184" s="1919"/>
      <c r="D184" s="1919"/>
      <c r="E184" s="1919"/>
      <c r="F184" s="1919"/>
      <c r="G184" s="1919"/>
      <c r="H184" s="1919"/>
      <c r="I184" s="1919"/>
      <c r="J184" s="1919"/>
      <c r="K184" s="1919"/>
      <c r="L184" s="1919"/>
      <c r="M184" s="583">
        <f t="array" aca="1" ref="M184:X184" ca="1">B24:M24*Production!$M$12</f>
        <v>0</v>
      </c>
      <c r="N184" s="583">
        <f ca="1"/>
        <v>0</v>
      </c>
      <c r="O184" s="583">
        <f ca="1"/>
        <v>0</v>
      </c>
      <c r="P184" s="583">
        <f ca="1"/>
        <v>0</v>
      </c>
      <c r="Q184" s="583">
        <f ca="1"/>
        <v>0</v>
      </c>
      <c r="R184" s="583">
        <f ca="1"/>
        <v>0</v>
      </c>
      <c r="S184" s="583">
        <f ca="1"/>
        <v>0</v>
      </c>
      <c r="T184" s="583">
        <f ca="1"/>
        <v>0</v>
      </c>
      <c r="U184" s="583">
        <f ca="1"/>
        <v>0</v>
      </c>
      <c r="V184" s="583">
        <f ca="1"/>
        <v>0</v>
      </c>
      <c r="W184" s="583">
        <f ca="1"/>
        <v>0</v>
      </c>
      <c r="X184" s="583">
        <f ca="1"/>
        <v>0</v>
      </c>
      <c r="Y184" s="1934"/>
    </row>
    <row r="185" spans="1:25">
      <c r="A185" s="1923" t="str">
        <v>2 months before</v>
      </c>
      <c r="B185" s="1919"/>
      <c r="C185" s="1919"/>
      <c r="D185" s="1919"/>
      <c r="E185" s="1919"/>
      <c r="F185" s="1919"/>
      <c r="G185" s="1919"/>
      <c r="H185" s="1919"/>
      <c r="I185" s="1919"/>
      <c r="J185" s="1919"/>
      <c r="K185" s="1919"/>
      <c r="L185" s="583">
        <f t="array" aca="1" ref="L185:W185" ca="1">B24:M24*Production!$L$12</f>
        <v>0</v>
      </c>
      <c r="M185" s="583">
        <f ca="1"/>
        <v>0</v>
      </c>
      <c r="N185" s="583">
        <f ca="1"/>
        <v>0</v>
      </c>
      <c r="O185" s="583">
        <f ca="1"/>
        <v>0</v>
      </c>
      <c r="P185" s="583">
        <f ca="1"/>
        <v>0</v>
      </c>
      <c r="Q185" s="583">
        <f ca="1"/>
        <v>0</v>
      </c>
      <c r="R185" s="583">
        <f ca="1"/>
        <v>0</v>
      </c>
      <c r="S185" s="583">
        <f ca="1"/>
        <v>0</v>
      </c>
      <c r="T185" s="583">
        <f ca="1"/>
        <v>0</v>
      </c>
      <c r="U185" s="583">
        <f ca="1"/>
        <v>0</v>
      </c>
      <c r="V185" s="583">
        <f ca="1"/>
        <v>0</v>
      </c>
      <c r="W185" s="583">
        <f ca="1"/>
        <v>0</v>
      </c>
      <c r="X185" s="1919"/>
      <c r="Y185" s="1934"/>
    </row>
    <row r="186" spans="1:25">
      <c r="A186" s="1923" t="str">
        <v>3 months before</v>
      </c>
      <c r="B186" s="1919"/>
      <c r="C186" s="1919"/>
      <c r="D186" s="1919"/>
      <c r="E186" s="1919"/>
      <c r="F186" s="1919"/>
      <c r="G186" s="1919"/>
      <c r="H186" s="1919"/>
      <c r="I186" s="1919"/>
      <c r="J186" s="1919"/>
      <c r="K186" s="583">
        <f t="array" aca="1" ref="K186:V186" ca="1">B24:M24*Production!$K$12</f>
        <v>0</v>
      </c>
      <c r="L186" s="583">
        <f ca="1"/>
        <v>0</v>
      </c>
      <c r="M186" s="583">
        <f ca="1"/>
        <v>0</v>
      </c>
      <c r="N186" s="583">
        <f ca="1"/>
        <v>0</v>
      </c>
      <c r="O186" s="583">
        <f ca="1"/>
        <v>0</v>
      </c>
      <c r="P186" s="583">
        <f ca="1"/>
        <v>0</v>
      </c>
      <c r="Q186" s="583">
        <f ca="1"/>
        <v>0</v>
      </c>
      <c r="R186" s="583">
        <f ca="1"/>
        <v>0</v>
      </c>
      <c r="S186" s="583">
        <f ca="1"/>
        <v>0</v>
      </c>
      <c r="T186" s="583">
        <f ca="1"/>
        <v>0</v>
      </c>
      <c r="U186" s="583">
        <f ca="1"/>
        <v>0</v>
      </c>
      <c r="V186" s="583">
        <f ca="1"/>
        <v>0</v>
      </c>
      <c r="W186" s="1919"/>
      <c r="X186" s="1919"/>
      <c r="Y186" s="1934"/>
    </row>
    <row r="187" spans="1:25">
      <c r="A187" s="1923" t="str">
        <v>4 months before</v>
      </c>
      <c r="B187" s="1919"/>
      <c r="C187" s="1919"/>
      <c r="D187" s="1919"/>
      <c r="E187" s="1919"/>
      <c r="F187" s="1919"/>
      <c r="G187" s="1919"/>
      <c r="H187" s="1919"/>
      <c r="I187" s="1919"/>
      <c r="J187" s="583">
        <f t="array" aca="1" ref="J187:U187" ca="1">B24:M24*Production!$J$12</f>
        <v>0</v>
      </c>
      <c r="K187" s="583">
        <f ca="1"/>
        <v>0</v>
      </c>
      <c r="L187" s="583">
        <f ca="1"/>
        <v>0</v>
      </c>
      <c r="M187" s="583">
        <f ca="1"/>
        <v>0</v>
      </c>
      <c r="N187" s="583">
        <f ca="1"/>
        <v>0</v>
      </c>
      <c r="O187" s="583">
        <f ca="1"/>
        <v>0</v>
      </c>
      <c r="P187" s="583">
        <f ca="1"/>
        <v>0</v>
      </c>
      <c r="Q187" s="583">
        <f ca="1"/>
        <v>0</v>
      </c>
      <c r="R187" s="583">
        <f ca="1"/>
        <v>0</v>
      </c>
      <c r="S187" s="583">
        <f ca="1"/>
        <v>0</v>
      </c>
      <c r="T187" s="583">
        <f ca="1"/>
        <v>0</v>
      </c>
      <c r="U187" s="583">
        <f ca="1"/>
        <v>0</v>
      </c>
      <c r="V187" s="1919"/>
      <c r="W187" s="1919"/>
      <c r="X187" s="1919"/>
      <c r="Y187" s="1934"/>
    </row>
    <row r="188" spans="1:25">
      <c r="A188" s="1923" t="str">
        <v>5 months before</v>
      </c>
      <c r="B188" s="1919"/>
      <c r="C188" s="1919"/>
      <c r="D188" s="1919"/>
      <c r="E188" s="1919"/>
      <c r="F188" s="1919"/>
      <c r="G188" s="1919"/>
      <c r="H188" s="1919"/>
      <c r="I188" s="583">
        <f t="array" aca="1" ref="I188:T188" ca="1">B24:M24*Production!$I$12</f>
        <v>0</v>
      </c>
      <c r="J188" s="583">
        <f ca="1"/>
        <v>0</v>
      </c>
      <c r="K188" s="583">
        <f ca="1"/>
        <v>0</v>
      </c>
      <c r="L188" s="583">
        <f ca="1"/>
        <v>0</v>
      </c>
      <c r="M188" s="583">
        <f ca="1"/>
        <v>0</v>
      </c>
      <c r="N188" s="583">
        <f ca="1"/>
        <v>0</v>
      </c>
      <c r="O188" s="583">
        <f ca="1"/>
        <v>0</v>
      </c>
      <c r="P188" s="583">
        <f ca="1"/>
        <v>0</v>
      </c>
      <c r="Q188" s="583">
        <f ca="1"/>
        <v>0</v>
      </c>
      <c r="R188" s="583">
        <f ca="1"/>
        <v>0</v>
      </c>
      <c r="S188" s="583">
        <f ca="1"/>
        <v>0</v>
      </c>
      <c r="T188" s="583">
        <f ca="1"/>
        <v>0</v>
      </c>
      <c r="U188" s="1919"/>
      <c r="V188" s="1919"/>
      <c r="W188" s="1919"/>
      <c r="X188" s="1919"/>
      <c r="Y188" s="1934"/>
    </row>
    <row r="189" spans="1:25">
      <c r="A189" s="1923" t="str">
        <v>6 months before</v>
      </c>
      <c r="B189" s="1919"/>
      <c r="C189" s="1919"/>
      <c r="D189" s="1919"/>
      <c r="E189" s="1919"/>
      <c r="F189" s="1919"/>
      <c r="G189" s="1919"/>
      <c r="H189" s="583">
        <f t="array" aca="1" ref="H189:S189" ca="1">B24:M24*Production!$H$12</f>
        <v>0</v>
      </c>
      <c r="I189" s="583">
        <f ca="1"/>
        <v>0</v>
      </c>
      <c r="J189" s="583">
        <f ca="1"/>
        <v>0</v>
      </c>
      <c r="K189" s="583">
        <f ca="1"/>
        <v>0</v>
      </c>
      <c r="L189" s="583">
        <f ca="1"/>
        <v>0</v>
      </c>
      <c r="M189" s="583">
        <f ca="1"/>
        <v>0</v>
      </c>
      <c r="N189" s="583">
        <f ca="1"/>
        <v>0</v>
      </c>
      <c r="O189" s="583">
        <f ca="1"/>
        <v>0</v>
      </c>
      <c r="P189" s="583">
        <f ca="1"/>
        <v>0</v>
      </c>
      <c r="Q189" s="583">
        <f ca="1"/>
        <v>0</v>
      </c>
      <c r="R189" s="583">
        <f ca="1"/>
        <v>0</v>
      </c>
      <c r="S189" s="583">
        <f ca="1"/>
        <v>0</v>
      </c>
      <c r="T189" s="1919"/>
      <c r="U189" s="1919"/>
      <c r="V189" s="1919"/>
      <c r="W189" s="1919"/>
      <c r="X189" s="1919"/>
      <c r="Y189" s="1934"/>
    </row>
    <row r="190" spans="1:25">
      <c r="A190" s="1923" t="str">
        <v>7 months before</v>
      </c>
      <c r="B190" s="1919"/>
      <c r="C190" s="1919"/>
      <c r="D190" s="1919"/>
      <c r="E190" s="1919"/>
      <c r="F190" s="1919"/>
      <c r="G190" s="583">
        <f t="array" aca="1" ref="G190:R190" ca="1">B24:M24*Production!$G$12</f>
        <v>0</v>
      </c>
      <c r="H190" s="583">
        <f ca="1"/>
        <v>0</v>
      </c>
      <c r="I190" s="583">
        <f ca="1"/>
        <v>0</v>
      </c>
      <c r="J190" s="583">
        <f ca="1"/>
        <v>0</v>
      </c>
      <c r="K190" s="583">
        <f ca="1"/>
        <v>0</v>
      </c>
      <c r="L190" s="583">
        <f ca="1"/>
        <v>0</v>
      </c>
      <c r="M190" s="583">
        <f ca="1"/>
        <v>0</v>
      </c>
      <c r="N190" s="583">
        <f ca="1"/>
        <v>0</v>
      </c>
      <c r="O190" s="583">
        <f ca="1"/>
        <v>0</v>
      </c>
      <c r="P190" s="583">
        <f ca="1"/>
        <v>0</v>
      </c>
      <c r="Q190" s="583">
        <f ca="1"/>
        <v>0</v>
      </c>
      <c r="R190" s="583">
        <f ca="1"/>
        <v>0</v>
      </c>
      <c r="S190" s="1919"/>
      <c r="T190" s="1919"/>
      <c r="U190" s="1919"/>
      <c r="V190" s="1919"/>
      <c r="W190" s="1919"/>
      <c r="X190" s="1919"/>
      <c r="Y190" s="1934"/>
    </row>
    <row r="191" spans="1:25">
      <c r="A191" s="1923" t="str">
        <v>8 months before</v>
      </c>
      <c r="B191" s="1919"/>
      <c r="C191" s="1919"/>
      <c r="D191" s="1919"/>
      <c r="E191" s="1919"/>
      <c r="F191" s="583">
        <f t="array" aca="1" ref="F191:Q191" ca="1">B24:M24*Production!$F$12</f>
        <v>0</v>
      </c>
      <c r="G191" s="583">
        <f ca="1"/>
        <v>0</v>
      </c>
      <c r="H191" s="583">
        <f ca="1"/>
        <v>0</v>
      </c>
      <c r="I191" s="583">
        <f ca="1"/>
        <v>0</v>
      </c>
      <c r="J191" s="583">
        <f ca="1"/>
        <v>0</v>
      </c>
      <c r="K191" s="583">
        <f ca="1"/>
        <v>0</v>
      </c>
      <c r="L191" s="583">
        <f ca="1"/>
        <v>0</v>
      </c>
      <c r="M191" s="583">
        <f ca="1"/>
        <v>0</v>
      </c>
      <c r="N191" s="583">
        <f ca="1"/>
        <v>0</v>
      </c>
      <c r="O191" s="583">
        <f ca="1"/>
        <v>0</v>
      </c>
      <c r="P191" s="583">
        <f ca="1"/>
        <v>0</v>
      </c>
      <c r="Q191" s="583">
        <f ca="1"/>
        <v>0</v>
      </c>
      <c r="R191" s="1919"/>
      <c r="S191" s="1919"/>
      <c r="T191" s="1919"/>
      <c r="U191" s="1919"/>
      <c r="V191" s="1919"/>
      <c r="W191" s="1919"/>
      <c r="X191" s="1919"/>
      <c r="Y191" s="1934"/>
    </row>
    <row r="192" spans="1:25">
      <c r="A192" s="1923" t="str">
        <v>9 months before</v>
      </c>
      <c r="B192" s="1919"/>
      <c r="C192" s="1919"/>
      <c r="D192" s="1919"/>
      <c r="E192" s="583">
        <f t="array" aca="1" ref="E192:P192" ca="1">B24:M24*Production!$E$12</f>
        <v>0</v>
      </c>
      <c r="F192" s="583">
        <f ca="1"/>
        <v>0</v>
      </c>
      <c r="G192" s="583">
        <f ca="1"/>
        <v>0</v>
      </c>
      <c r="H192" s="583">
        <f ca="1"/>
        <v>0</v>
      </c>
      <c r="I192" s="583">
        <f ca="1"/>
        <v>0</v>
      </c>
      <c r="J192" s="583">
        <f ca="1"/>
        <v>0</v>
      </c>
      <c r="K192" s="583">
        <f ca="1"/>
        <v>0</v>
      </c>
      <c r="L192" s="583">
        <f ca="1"/>
        <v>0</v>
      </c>
      <c r="M192" s="583">
        <f ca="1"/>
        <v>0</v>
      </c>
      <c r="N192" s="583">
        <f ca="1"/>
        <v>0</v>
      </c>
      <c r="O192" s="583">
        <f ca="1"/>
        <v>0</v>
      </c>
      <c r="P192" s="583">
        <f ca="1"/>
        <v>0</v>
      </c>
      <c r="Q192" s="1919"/>
      <c r="R192" s="1919"/>
      <c r="S192" s="1919"/>
      <c r="T192" s="1919"/>
      <c r="U192" s="1919"/>
      <c r="V192" s="1919"/>
      <c r="W192" s="1919"/>
      <c r="X192" s="1919"/>
      <c r="Y192" s="1934"/>
    </row>
    <row r="193" spans="1:25">
      <c r="A193" s="1923" t="str">
        <v>10 months before</v>
      </c>
      <c r="B193" s="1919"/>
      <c r="C193" s="1919"/>
      <c r="D193" s="583">
        <f t="array" aca="1" ref="D193:O193" ca="1">B24:M24*Production!$D$12</f>
        <v>0</v>
      </c>
      <c r="E193" s="583">
        <f ca="1"/>
        <v>0</v>
      </c>
      <c r="F193" s="583">
        <f ca="1"/>
        <v>0</v>
      </c>
      <c r="G193" s="583">
        <f ca="1"/>
        <v>0</v>
      </c>
      <c r="H193" s="583">
        <f ca="1"/>
        <v>0</v>
      </c>
      <c r="I193" s="583">
        <f ca="1"/>
        <v>0</v>
      </c>
      <c r="J193" s="583">
        <f ca="1"/>
        <v>0</v>
      </c>
      <c r="K193" s="583">
        <f ca="1"/>
        <v>0</v>
      </c>
      <c r="L193" s="583">
        <f ca="1"/>
        <v>0</v>
      </c>
      <c r="M193" s="583">
        <f ca="1"/>
        <v>0</v>
      </c>
      <c r="N193" s="583">
        <f ca="1"/>
        <v>0</v>
      </c>
      <c r="O193" s="583">
        <f ca="1"/>
        <v>0</v>
      </c>
      <c r="P193" s="1919"/>
      <c r="Q193" s="1919"/>
      <c r="R193" s="1919"/>
      <c r="S193" s="1919"/>
      <c r="T193" s="1919"/>
      <c r="U193" s="1919"/>
      <c r="V193" s="1919"/>
      <c r="W193" s="1919"/>
      <c r="X193" s="1919"/>
      <c r="Y193" s="1934"/>
    </row>
    <row r="194" spans="1:25">
      <c r="A194" s="1923" t="str">
        <v>11 months before</v>
      </c>
      <c r="B194" s="1919"/>
      <c r="C194" s="583">
        <f t="array" aca="1" ref="C194:N194" ca="1">B24:M24*Production!$C$12</f>
        <v>0</v>
      </c>
      <c r="D194" s="583">
        <f ca="1"/>
        <v>0</v>
      </c>
      <c r="E194" s="583">
        <f ca="1"/>
        <v>0</v>
      </c>
      <c r="F194" s="583">
        <f ca="1"/>
        <v>0</v>
      </c>
      <c r="G194" s="583">
        <f ca="1"/>
        <v>0</v>
      </c>
      <c r="H194" s="583">
        <f ca="1"/>
        <v>0</v>
      </c>
      <c r="I194" s="583">
        <f ca="1"/>
        <v>0</v>
      </c>
      <c r="J194" s="583">
        <f ca="1"/>
        <v>0</v>
      </c>
      <c r="K194" s="583">
        <f ca="1"/>
        <v>0</v>
      </c>
      <c r="L194" s="583">
        <f ca="1"/>
        <v>0</v>
      </c>
      <c r="M194" s="583">
        <f ca="1"/>
        <v>0</v>
      </c>
      <c r="N194" s="583">
        <f ca="1"/>
        <v>0</v>
      </c>
      <c r="O194" s="1919"/>
      <c r="P194" s="1919"/>
      <c r="Q194" s="1919"/>
      <c r="R194" s="1919"/>
      <c r="S194" s="1919"/>
      <c r="T194" s="1919"/>
      <c r="U194" s="1919"/>
      <c r="V194" s="1919"/>
      <c r="W194" s="1919"/>
      <c r="X194" s="1919"/>
      <c r="Y194" s="1934"/>
    </row>
    <row r="195" spans="1:25" ht="13.5" thickBot="1">
      <c r="A195" s="1923" t="str">
        <v>12 months before</v>
      </c>
      <c r="B195" s="583">
        <f t="array" aca="1" ref="B195:M195" ca="1">B24:M24*Production!$B$12</f>
        <v>0</v>
      </c>
      <c r="C195" s="583">
        <f ca="1"/>
        <v>0</v>
      </c>
      <c r="D195" s="583">
        <f ca="1"/>
        <v>0</v>
      </c>
      <c r="E195" s="583">
        <f ca="1"/>
        <v>0</v>
      </c>
      <c r="F195" s="583">
        <f ca="1"/>
        <v>0</v>
      </c>
      <c r="G195" s="583">
        <f ca="1"/>
        <v>0</v>
      </c>
      <c r="H195" s="583">
        <f ca="1"/>
        <v>0</v>
      </c>
      <c r="I195" s="583">
        <f ca="1"/>
        <v>0</v>
      </c>
      <c r="J195" s="583">
        <f ca="1"/>
        <v>0</v>
      </c>
      <c r="K195" s="583">
        <f ca="1"/>
        <v>0</v>
      </c>
      <c r="L195" s="583">
        <f ca="1"/>
        <v>0</v>
      </c>
      <c r="M195" s="583">
        <f ca="1"/>
        <v>0</v>
      </c>
      <c r="N195" s="1919"/>
      <c r="O195" s="1919"/>
      <c r="P195" s="1919"/>
      <c r="Q195" s="1919"/>
      <c r="R195" s="1919"/>
      <c r="S195" s="1919"/>
      <c r="T195" s="1919"/>
      <c r="U195" s="1919"/>
      <c r="V195" s="1919"/>
      <c r="W195" s="1919"/>
      <c r="X195" s="1919"/>
      <c r="Y195" s="1934"/>
    </row>
    <row r="196" spans="1:25" ht="13.5" thickBot="1">
      <c r="A196" s="102" t="str">
        <f>"Totals DC "&amp;A$12</f>
        <v xml:space="preserve">Totals DC </v>
      </c>
      <c r="B196" s="587">
        <f t="shared" ref="B196:Y196" ca="1" si="15">SUM(B183:B195)</f>
        <v>0</v>
      </c>
      <c r="C196" s="587">
        <f t="shared" ca="1" si="15"/>
        <v>0</v>
      </c>
      <c r="D196" s="587">
        <f t="shared" ca="1" si="15"/>
        <v>0</v>
      </c>
      <c r="E196" s="587">
        <f t="shared" ca="1" si="15"/>
        <v>0</v>
      </c>
      <c r="F196" s="587">
        <f t="shared" ca="1" si="15"/>
        <v>0</v>
      </c>
      <c r="G196" s="587">
        <f t="shared" ca="1" si="15"/>
        <v>0</v>
      </c>
      <c r="H196" s="587">
        <f t="shared" ca="1" si="15"/>
        <v>0</v>
      </c>
      <c r="I196" s="587">
        <f t="shared" ca="1" si="15"/>
        <v>0</v>
      </c>
      <c r="J196" s="587">
        <f t="shared" ca="1" si="15"/>
        <v>0</v>
      </c>
      <c r="K196" s="587">
        <f t="shared" ca="1" si="15"/>
        <v>0</v>
      </c>
      <c r="L196" s="587">
        <f t="shared" ca="1" si="15"/>
        <v>0</v>
      </c>
      <c r="M196" s="587">
        <f t="shared" ca="1" si="15"/>
        <v>0</v>
      </c>
      <c r="N196" s="587">
        <f t="shared" ca="1" si="15"/>
        <v>0</v>
      </c>
      <c r="O196" s="587">
        <f t="shared" ca="1" si="15"/>
        <v>0</v>
      </c>
      <c r="P196" s="587">
        <f t="shared" ca="1" si="15"/>
        <v>0</v>
      </c>
      <c r="Q196" s="587">
        <f t="shared" ca="1" si="15"/>
        <v>0</v>
      </c>
      <c r="R196" s="587">
        <f t="shared" ca="1" si="15"/>
        <v>0</v>
      </c>
      <c r="S196" s="587">
        <f t="shared" ca="1" si="15"/>
        <v>0</v>
      </c>
      <c r="T196" s="587">
        <f t="shared" ca="1" si="15"/>
        <v>0</v>
      </c>
      <c r="U196" s="587">
        <f t="shared" ca="1" si="15"/>
        <v>0</v>
      </c>
      <c r="V196" s="587">
        <f t="shared" ca="1" si="15"/>
        <v>0</v>
      </c>
      <c r="W196" s="587">
        <f t="shared" ca="1" si="15"/>
        <v>0</v>
      </c>
      <c r="X196" s="587">
        <f t="shared" ca="1" si="15"/>
        <v>0</v>
      </c>
      <c r="Y196" s="1935">
        <f t="shared" ca="1" si="15"/>
        <v>0</v>
      </c>
    </row>
    <row r="197" spans="1:25" ht="13.5" thickBot="1">
      <c r="A197" s="102" t="str">
        <f>"Input "&amp;'Base Data'!$A$28&amp;" DC "&amp;$A$12</f>
        <v xml:space="preserve">Input VAT DC </v>
      </c>
      <c r="B197" s="587">
        <f t="array" aca="1" ref="B197:Y197" ca="1">$K$181*B196:Y196</f>
        <v>0</v>
      </c>
      <c r="C197" s="587">
        <f ca="1"/>
        <v>0</v>
      </c>
      <c r="D197" s="587">
        <f ca="1"/>
        <v>0</v>
      </c>
      <c r="E197" s="587">
        <f ca="1"/>
        <v>0</v>
      </c>
      <c r="F197" s="587">
        <f ca="1"/>
        <v>0</v>
      </c>
      <c r="G197" s="587">
        <f ca="1"/>
        <v>0</v>
      </c>
      <c r="H197" s="587">
        <f ca="1"/>
        <v>0</v>
      </c>
      <c r="I197" s="587">
        <f ca="1"/>
        <v>0</v>
      </c>
      <c r="J197" s="587">
        <f ca="1"/>
        <v>0</v>
      </c>
      <c r="K197" s="587">
        <f ca="1"/>
        <v>0</v>
      </c>
      <c r="L197" s="587">
        <f ca="1"/>
        <v>0</v>
      </c>
      <c r="M197" s="587">
        <f ca="1"/>
        <v>0</v>
      </c>
      <c r="N197" s="587">
        <f ca="1"/>
        <v>0</v>
      </c>
      <c r="O197" s="587">
        <f ca="1"/>
        <v>0</v>
      </c>
      <c r="P197" s="587">
        <f ca="1"/>
        <v>0</v>
      </c>
      <c r="Q197" s="587">
        <f ca="1"/>
        <v>0</v>
      </c>
      <c r="R197" s="587">
        <f ca="1"/>
        <v>0</v>
      </c>
      <c r="S197" s="587">
        <f ca="1"/>
        <v>0</v>
      </c>
      <c r="T197" s="587">
        <f ca="1"/>
        <v>0</v>
      </c>
      <c r="U197" s="587">
        <f ca="1"/>
        <v>0</v>
      </c>
      <c r="V197" s="587">
        <f ca="1"/>
        <v>0</v>
      </c>
      <c r="W197" s="587">
        <f ca="1"/>
        <v>0</v>
      </c>
      <c r="X197" s="587">
        <f ca="1"/>
        <v>0</v>
      </c>
      <c r="Y197" s="1935">
        <f ca="1"/>
        <v>0</v>
      </c>
    </row>
    <row r="199" spans="1:25" ht="18.75" thickBot="1">
      <c r="A199" s="1921" t="str">
        <f>'DC Distr 0'!A199</f>
        <v xml:space="preserve">Monthly Purchases / Production costs for </v>
      </c>
      <c r="I199" s="1921" t="str">
        <f>I$18</f>
        <v>VAT NOT included</v>
      </c>
      <c r="K199" s="1932">
        <f>Parameters!$F$29</f>
        <v>0.21</v>
      </c>
    </row>
    <row r="200" spans="1:25" ht="33" customHeight="1" thickBot="1">
      <c r="A200" s="441" t="str">
        <f t="array" ref="A200:A213">A$110:A$123</f>
        <v>Months before sale</v>
      </c>
      <c r="B200" s="1938" t="str">
        <f t="array" ref="B200:Y200">B$71:Y$71</f>
        <v>January
2030</v>
      </c>
      <c r="C200" s="1938" t="str">
        <v>February
2030</v>
      </c>
      <c r="D200" s="1938" t="str">
        <v>March
2030</v>
      </c>
      <c r="E200" s="1938" t="str">
        <v>April
2030</v>
      </c>
      <c r="F200" s="1938" t="str">
        <v>May
2030</v>
      </c>
      <c r="G200" s="1938" t="str">
        <v>June
2030</v>
      </c>
      <c r="H200" s="1938" t="str">
        <v>July
2030</v>
      </c>
      <c r="I200" s="1938" t="str">
        <v>August
2030</v>
      </c>
      <c r="J200" s="1938" t="str">
        <v>September
2030</v>
      </c>
      <c r="K200" s="1938" t="str">
        <v>October
2030</v>
      </c>
      <c r="L200" s="1938" t="str">
        <v>November
2030</v>
      </c>
      <c r="M200" s="1938" t="str">
        <v>December
2030</v>
      </c>
      <c r="N200" s="2721" t="str">
        <v>January 
2031</v>
      </c>
      <c r="O200" s="2722" t="str">
        <v>February 
2031</v>
      </c>
      <c r="P200" s="2722" t="str">
        <v>March 
2031</v>
      </c>
      <c r="Q200" s="2722" t="str">
        <v>April 
2031</v>
      </c>
      <c r="R200" s="2722" t="str">
        <v>May 
2031</v>
      </c>
      <c r="S200" s="2722" t="str">
        <v>June 
2031</v>
      </c>
      <c r="T200" s="2722" t="str">
        <v>July 
2031</v>
      </c>
      <c r="U200" s="2722" t="str">
        <v>August 
2031</v>
      </c>
      <c r="V200" s="2722" t="str">
        <v>September 
2031</v>
      </c>
      <c r="W200" s="2722" t="str">
        <v>October 
2031</v>
      </c>
      <c r="X200" s="2722" t="str">
        <v>November 
2031</v>
      </c>
      <c r="Y200" s="2723" t="str">
        <v>December 
2031</v>
      </c>
    </row>
    <row r="201" spans="1:25">
      <c r="A201" s="1922" t="str">
        <v>same month</v>
      </c>
      <c r="B201" s="1919"/>
      <c r="C201" s="1919"/>
      <c r="D201" s="1919"/>
      <c r="E201" s="1919"/>
      <c r="F201" s="1919"/>
      <c r="G201" s="1919"/>
      <c r="H201" s="1919"/>
      <c r="I201" s="1919"/>
      <c r="J201" s="1919"/>
      <c r="K201" s="1919"/>
      <c r="L201" s="1919"/>
      <c r="M201" s="1919"/>
      <c r="N201" s="583">
        <f t="array" aca="1" ref="N201:Y201" ca="1">B25:M25*Production!$N$13</f>
        <v>0</v>
      </c>
      <c r="O201" s="583">
        <f ca="1"/>
        <v>0</v>
      </c>
      <c r="P201" s="583">
        <f ca="1"/>
        <v>0</v>
      </c>
      <c r="Q201" s="583">
        <f ca="1"/>
        <v>0</v>
      </c>
      <c r="R201" s="583">
        <f ca="1"/>
        <v>0</v>
      </c>
      <c r="S201" s="583">
        <f ca="1"/>
        <v>0</v>
      </c>
      <c r="T201" s="583">
        <f ca="1"/>
        <v>0</v>
      </c>
      <c r="U201" s="583">
        <f ca="1"/>
        <v>0</v>
      </c>
      <c r="V201" s="583">
        <f ca="1"/>
        <v>0</v>
      </c>
      <c r="W201" s="583">
        <f ca="1"/>
        <v>0</v>
      </c>
      <c r="X201" s="583">
        <f ca="1"/>
        <v>0</v>
      </c>
      <c r="Y201" s="1933">
        <f ca="1"/>
        <v>0</v>
      </c>
    </row>
    <row r="202" spans="1:25">
      <c r="A202" s="1923" t="str">
        <v>1 month before</v>
      </c>
      <c r="B202" s="1919"/>
      <c r="C202" s="1919"/>
      <c r="D202" s="1919"/>
      <c r="E202" s="1919"/>
      <c r="F202" s="1919"/>
      <c r="G202" s="1919"/>
      <c r="H202" s="1919"/>
      <c r="I202" s="1919"/>
      <c r="J202" s="1919"/>
      <c r="K202" s="1919"/>
      <c r="L202" s="1919"/>
      <c r="M202" s="583">
        <f t="array" aca="1" ref="M202:X202" ca="1">B25:M25*Production!$M$13</f>
        <v>0</v>
      </c>
      <c r="N202" s="583">
        <f ca="1"/>
        <v>0</v>
      </c>
      <c r="O202" s="583">
        <f ca="1"/>
        <v>0</v>
      </c>
      <c r="P202" s="583">
        <f ca="1"/>
        <v>0</v>
      </c>
      <c r="Q202" s="583">
        <f ca="1"/>
        <v>0</v>
      </c>
      <c r="R202" s="583">
        <f ca="1"/>
        <v>0</v>
      </c>
      <c r="S202" s="583">
        <f ca="1"/>
        <v>0</v>
      </c>
      <c r="T202" s="583">
        <f ca="1"/>
        <v>0</v>
      </c>
      <c r="U202" s="583">
        <f ca="1"/>
        <v>0</v>
      </c>
      <c r="V202" s="583">
        <f ca="1"/>
        <v>0</v>
      </c>
      <c r="W202" s="583">
        <f ca="1"/>
        <v>0</v>
      </c>
      <c r="X202" s="583">
        <f ca="1"/>
        <v>0</v>
      </c>
      <c r="Y202" s="1934"/>
    </row>
    <row r="203" spans="1:25">
      <c r="A203" s="1923" t="str">
        <v>2 months before</v>
      </c>
      <c r="B203" s="1919"/>
      <c r="C203" s="1919"/>
      <c r="D203" s="1919"/>
      <c r="E203" s="1919"/>
      <c r="F203" s="1919"/>
      <c r="G203" s="1919"/>
      <c r="H203" s="1919"/>
      <c r="I203" s="1919"/>
      <c r="J203" s="1919"/>
      <c r="K203" s="1919"/>
      <c r="L203" s="583">
        <f t="array" aca="1" ref="L203:W203" ca="1">B25:M25*Production!$L$13</f>
        <v>0</v>
      </c>
      <c r="M203" s="583">
        <f ca="1"/>
        <v>0</v>
      </c>
      <c r="N203" s="583">
        <f ca="1"/>
        <v>0</v>
      </c>
      <c r="O203" s="583">
        <f ca="1"/>
        <v>0</v>
      </c>
      <c r="P203" s="583">
        <f ca="1"/>
        <v>0</v>
      </c>
      <c r="Q203" s="583">
        <f ca="1"/>
        <v>0</v>
      </c>
      <c r="R203" s="583">
        <f ca="1"/>
        <v>0</v>
      </c>
      <c r="S203" s="583">
        <f ca="1"/>
        <v>0</v>
      </c>
      <c r="T203" s="583">
        <f ca="1"/>
        <v>0</v>
      </c>
      <c r="U203" s="583">
        <f ca="1"/>
        <v>0</v>
      </c>
      <c r="V203" s="583">
        <f ca="1"/>
        <v>0</v>
      </c>
      <c r="W203" s="583">
        <f ca="1"/>
        <v>0</v>
      </c>
      <c r="X203" s="1919"/>
      <c r="Y203" s="1934"/>
    </row>
    <row r="204" spans="1:25">
      <c r="A204" s="1923" t="str">
        <v>3 months before</v>
      </c>
      <c r="B204" s="1919"/>
      <c r="C204" s="1919"/>
      <c r="D204" s="1919"/>
      <c r="E204" s="1919"/>
      <c r="F204" s="1919"/>
      <c r="G204" s="1919"/>
      <c r="H204" s="1919"/>
      <c r="I204" s="1919"/>
      <c r="J204" s="1919"/>
      <c r="K204" s="583">
        <f t="array" aca="1" ref="K204:V204" ca="1">B25:M25*Production!$K$13</f>
        <v>0</v>
      </c>
      <c r="L204" s="583">
        <f ca="1"/>
        <v>0</v>
      </c>
      <c r="M204" s="583">
        <f ca="1"/>
        <v>0</v>
      </c>
      <c r="N204" s="583">
        <f ca="1"/>
        <v>0</v>
      </c>
      <c r="O204" s="583">
        <f ca="1"/>
        <v>0</v>
      </c>
      <c r="P204" s="583">
        <f ca="1"/>
        <v>0</v>
      </c>
      <c r="Q204" s="583">
        <f ca="1"/>
        <v>0</v>
      </c>
      <c r="R204" s="583">
        <f ca="1"/>
        <v>0</v>
      </c>
      <c r="S204" s="583">
        <f ca="1"/>
        <v>0</v>
      </c>
      <c r="T204" s="583">
        <f ca="1"/>
        <v>0</v>
      </c>
      <c r="U204" s="583">
        <f ca="1"/>
        <v>0</v>
      </c>
      <c r="V204" s="583">
        <f ca="1"/>
        <v>0</v>
      </c>
      <c r="W204" s="1919"/>
      <c r="X204" s="1919"/>
      <c r="Y204" s="1934"/>
    </row>
    <row r="205" spans="1:25">
      <c r="A205" s="1923" t="str">
        <v>4 months before</v>
      </c>
      <c r="B205" s="1919"/>
      <c r="C205" s="1919"/>
      <c r="D205" s="1919"/>
      <c r="E205" s="1919"/>
      <c r="F205" s="1919"/>
      <c r="G205" s="1919"/>
      <c r="H205" s="1919"/>
      <c r="I205" s="1919"/>
      <c r="J205" s="583">
        <f t="array" aca="1" ref="J205:U205" ca="1">B25:M25*Production!$J$13</f>
        <v>0</v>
      </c>
      <c r="K205" s="583">
        <f ca="1"/>
        <v>0</v>
      </c>
      <c r="L205" s="583">
        <f ca="1"/>
        <v>0</v>
      </c>
      <c r="M205" s="583">
        <f ca="1"/>
        <v>0</v>
      </c>
      <c r="N205" s="583">
        <f ca="1"/>
        <v>0</v>
      </c>
      <c r="O205" s="583">
        <f ca="1"/>
        <v>0</v>
      </c>
      <c r="P205" s="583">
        <f ca="1"/>
        <v>0</v>
      </c>
      <c r="Q205" s="583">
        <f ca="1"/>
        <v>0</v>
      </c>
      <c r="R205" s="583">
        <f ca="1"/>
        <v>0</v>
      </c>
      <c r="S205" s="583">
        <f ca="1"/>
        <v>0</v>
      </c>
      <c r="T205" s="583">
        <f ca="1"/>
        <v>0</v>
      </c>
      <c r="U205" s="583">
        <f ca="1"/>
        <v>0</v>
      </c>
      <c r="V205" s="1919"/>
      <c r="W205" s="1919"/>
      <c r="X205" s="1919"/>
      <c r="Y205" s="1934"/>
    </row>
    <row r="206" spans="1:25">
      <c r="A206" s="1923" t="str">
        <v>5 months before</v>
      </c>
      <c r="B206" s="1919"/>
      <c r="C206" s="1919"/>
      <c r="D206" s="1919"/>
      <c r="E206" s="1919"/>
      <c r="F206" s="1919"/>
      <c r="G206" s="1919"/>
      <c r="H206" s="1919"/>
      <c r="I206" s="583">
        <f t="array" aca="1" ref="I206:T206" ca="1">B25:M25*Production!$I$13</f>
        <v>0</v>
      </c>
      <c r="J206" s="583">
        <f ca="1"/>
        <v>0</v>
      </c>
      <c r="K206" s="583">
        <f ca="1"/>
        <v>0</v>
      </c>
      <c r="L206" s="583">
        <f ca="1"/>
        <v>0</v>
      </c>
      <c r="M206" s="583">
        <f ca="1"/>
        <v>0</v>
      </c>
      <c r="N206" s="583">
        <f ca="1"/>
        <v>0</v>
      </c>
      <c r="O206" s="583">
        <f ca="1"/>
        <v>0</v>
      </c>
      <c r="P206" s="583">
        <f ca="1"/>
        <v>0</v>
      </c>
      <c r="Q206" s="583">
        <f ca="1"/>
        <v>0</v>
      </c>
      <c r="R206" s="583">
        <f ca="1"/>
        <v>0</v>
      </c>
      <c r="S206" s="583">
        <f ca="1"/>
        <v>0</v>
      </c>
      <c r="T206" s="583">
        <f ca="1"/>
        <v>0</v>
      </c>
      <c r="U206" s="1919"/>
      <c r="V206" s="1919"/>
      <c r="W206" s="1919"/>
      <c r="X206" s="1919"/>
      <c r="Y206" s="1934"/>
    </row>
    <row r="207" spans="1:25">
      <c r="A207" s="1923" t="str">
        <v>6 months before</v>
      </c>
      <c r="B207" s="1919"/>
      <c r="C207" s="1919"/>
      <c r="D207" s="1919"/>
      <c r="E207" s="1919"/>
      <c r="F207" s="1919"/>
      <c r="G207" s="1919"/>
      <c r="H207" s="583">
        <f t="array" aca="1" ref="H207:S207" ca="1">B25:M25*Production!$H$13</f>
        <v>0</v>
      </c>
      <c r="I207" s="583">
        <f ca="1"/>
        <v>0</v>
      </c>
      <c r="J207" s="583">
        <f ca="1"/>
        <v>0</v>
      </c>
      <c r="K207" s="583">
        <f ca="1"/>
        <v>0</v>
      </c>
      <c r="L207" s="583">
        <f ca="1"/>
        <v>0</v>
      </c>
      <c r="M207" s="583">
        <f ca="1"/>
        <v>0</v>
      </c>
      <c r="N207" s="583">
        <f ca="1"/>
        <v>0</v>
      </c>
      <c r="O207" s="583">
        <f ca="1"/>
        <v>0</v>
      </c>
      <c r="P207" s="583">
        <f ca="1"/>
        <v>0</v>
      </c>
      <c r="Q207" s="583">
        <f ca="1"/>
        <v>0</v>
      </c>
      <c r="R207" s="583">
        <f ca="1"/>
        <v>0</v>
      </c>
      <c r="S207" s="583">
        <f ca="1"/>
        <v>0</v>
      </c>
      <c r="T207" s="1919"/>
      <c r="U207" s="1919"/>
      <c r="V207" s="1919"/>
      <c r="W207" s="1919"/>
      <c r="X207" s="1919"/>
      <c r="Y207" s="1934"/>
    </row>
    <row r="208" spans="1:25">
      <c r="A208" s="1923" t="str">
        <v>7 months before</v>
      </c>
      <c r="B208" s="1919"/>
      <c r="C208" s="1919"/>
      <c r="D208" s="1919"/>
      <c r="E208" s="1919"/>
      <c r="F208" s="1919"/>
      <c r="G208" s="583">
        <f t="array" aca="1" ref="G208:R208" ca="1">B25:M25*Production!$G$13</f>
        <v>0</v>
      </c>
      <c r="H208" s="583">
        <f ca="1"/>
        <v>0</v>
      </c>
      <c r="I208" s="583">
        <f ca="1"/>
        <v>0</v>
      </c>
      <c r="J208" s="583">
        <f ca="1"/>
        <v>0</v>
      </c>
      <c r="K208" s="583">
        <f ca="1"/>
        <v>0</v>
      </c>
      <c r="L208" s="583">
        <f ca="1"/>
        <v>0</v>
      </c>
      <c r="M208" s="583">
        <f ca="1"/>
        <v>0</v>
      </c>
      <c r="N208" s="583">
        <f ca="1"/>
        <v>0</v>
      </c>
      <c r="O208" s="583">
        <f ca="1"/>
        <v>0</v>
      </c>
      <c r="P208" s="583">
        <f ca="1"/>
        <v>0</v>
      </c>
      <c r="Q208" s="583">
        <f ca="1"/>
        <v>0</v>
      </c>
      <c r="R208" s="583">
        <f ca="1"/>
        <v>0</v>
      </c>
      <c r="S208" s="1919"/>
      <c r="T208" s="1919"/>
      <c r="U208" s="1919"/>
      <c r="V208" s="1919"/>
      <c r="W208" s="1919"/>
      <c r="X208" s="1919"/>
      <c r="Y208" s="1934"/>
    </row>
    <row r="209" spans="1:25">
      <c r="A209" s="1923" t="str">
        <v>8 months before</v>
      </c>
      <c r="B209" s="1919"/>
      <c r="C209" s="1919"/>
      <c r="D209" s="1919"/>
      <c r="E209" s="1919"/>
      <c r="F209" s="583">
        <f t="array" aca="1" ref="F209:Q209" ca="1">B25:M25*Production!$F$13</f>
        <v>0</v>
      </c>
      <c r="G209" s="583">
        <f ca="1"/>
        <v>0</v>
      </c>
      <c r="H209" s="583">
        <f ca="1"/>
        <v>0</v>
      </c>
      <c r="I209" s="583">
        <f ca="1"/>
        <v>0</v>
      </c>
      <c r="J209" s="583">
        <f ca="1"/>
        <v>0</v>
      </c>
      <c r="K209" s="583">
        <f ca="1"/>
        <v>0</v>
      </c>
      <c r="L209" s="583">
        <f ca="1"/>
        <v>0</v>
      </c>
      <c r="M209" s="583">
        <f ca="1"/>
        <v>0</v>
      </c>
      <c r="N209" s="583">
        <f ca="1"/>
        <v>0</v>
      </c>
      <c r="O209" s="583">
        <f ca="1"/>
        <v>0</v>
      </c>
      <c r="P209" s="583">
        <f ca="1"/>
        <v>0</v>
      </c>
      <c r="Q209" s="583">
        <f ca="1"/>
        <v>0</v>
      </c>
      <c r="R209" s="1919"/>
      <c r="S209" s="1919"/>
      <c r="T209" s="1919"/>
      <c r="U209" s="1919"/>
      <c r="V209" s="1919"/>
      <c r="W209" s="1919"/>
      <c r="X209" s="1919"/>
      <c r="Y209" s="1934"/>
    </row>
    <row r="210" spans="1:25">
      <c r="A210" s="1923" t="str">
        <v>9 months before</v>
      </c>
      <c r="B210" s="1919"/>
      <c r="C210" s="1919"/>
      <c r="D210" s="1919"/>
      <c r="E210" s="583">
        <f t="array" aca="1" ref="E210:P210" ca="1">B25:M25*Production!$E$13</f>
        <v>0</v>
      </c>
      <c r="F210" s="583">
        <f ca="1"/>
        <v>0</v>
      </c>
      <c r="G210" s="583">
        <f ca="1"/>
        <v>0</v>
      </c>
      <c r="H210" s="583">
        <f ca="1"/>
        <v>0</v>
      </c>
      <c r="I210" s="583">
        <f ca="1"/>
        <v>0</v>
      </c>
      <c r="J210" s="583">
        <f ca="1"/>
        <v>0</v>
      </c>
      <c r="K210" s="583">
        <f ca="1"/>
        <v>0</v>
      </c>
      <c r="L210" s="583">
        <f ca="1"/>
        <v>0</v>
      </c>
      <c r="M210" s="583">
        <f ca="1"/>
        <v>0</v>
      </c>
      <c r="N210" s="583">
        <f ca="1"/>
        <v>0</v>
      </c>
      <c r="O210" s="583">
        <f ca="1"/>
        <v>0</v>
      </c>
      <c r="P210" s="583">
        <f ca="1"/>
        <v>0</v>
      </c>
      <c r="Q210" s="1919"/>
      <c r="R210" s="1919"/>
      <c r="S210" s="1919"/>
      <c r="T210" s="1919"/>
      <c r="U210" s="1919"/>
      <c r="V210" s="1919"/>
      <c r="W210" s="1919"/>
      <c r="X210" s="1919"/>
      <c r="Y210" s="1934"/>
    </row>
    <row r="211" spans="1:25">
      <c r="A211" s="1923" t="str">
        <v>10 months before</v>
      </c>
      <c r="B211" s="1919"/>
      <c r="C211" s="1919"/>
      <c r="D211" s="583">
        <f t="array" aca="1" ref="D211:O211" ca="1">B25:M25*Production!$D$13</f>
        <v>0</v>
      </c>
      <c r="E211" s="583">
        <f ca="1"/>
        <v>0</v>
      </c>
      <c r="F211" s="583">
        <f ca="1"/>
        <v>0</v>
      </c>
      <c r="G211" s="583">
        <f ca="1"/>
        <v>0</v>
      </c>
      <c r="H211" s="583">
        <f ca="1"/>
        <v>0</v>
      </c>
      <c r="I211" s="583">
        <f ca="1"/>
        <v>0</v>
      </c>
      <c r="J211" s="583">
        <f ca="1"/>
        <v>0</v>
      </c>
      <c r="K211" s="583">
        <f ca="1"/>
        <v>0</v>
      </c>
      <c r="L211" s="583">
        <f ca="1"/>
        <v>0</v>
      </c>
      <c r="M211" s="583">
        <f ca="1"/>
        <v>0</v>
      </c>
      <c r="N211" s="583">
        <f ca="1"/>
        <v>0</v>
      </c>
      <c r="O211" s="583">
        <f ca="1"/>
        <v>0</v>
      </c>
      <c r="P211" s="1919"/>
      <c r="Q211" s="1919"/>
      <c r="R211" s="1919"/>
      <c r="S211" s="1919"/>
      <c r="T211" s="1919"/>
      <c r="U211" s="1919"/>
      <c r="V211" s="1919"/>
      <c r="W211" s="1919"/>
      <c r="X211" s="1919"/>
      <c r="Y211" s="1934"/>
    </row>
    <row r="212" spans="1:25">
      <c r="A212" s="1923" t="str">
        <v>11 months before</v>
      </c>
      <c r="B212" s="1919"/>
      <c r="C212" s="583">
        <f t="array" aca="1" ref="C212:N212" ca="1">B25:M25*Production!$C$13</f>
        <v>0</v>
      </c>
      <c r="D212" s="583">
        <f ca="1"/>
        <v>0</v>
      </c>
      <c r="E212" s="583">
        <f ca="1"/>
        <v>0</v>
      </c>
      <c r="F212" s="583">
        <f ca="1"/>
        <v>0</v>
      </c>
      <c r="G212" s="583">
        <f ca="1"/>
        <v>0</v>
      </c>
      <c r="H212" s="583">
        <f ca="1"/>
        <v>0</v>
      </c>
      <c r="I212" s="583">
        <f ca="1"/>
        <v>0</v>
      </c>
      <c r="J212" s="583">
        <f ca="1"/>
        <v>0</v>
      </c>
      <c r="K212" s="583">
        <f ca="1"/>
        <v>0</v>
      </c>
      <c r="L212" s="583">
        <f ca="1"/>
        <v>0</v>
      </c>
      <c r="M212" s="583">
        <f ca="1"/>
        <v>0</v>
      </c>
      <c r="N212" s="583">
        <f ca="1"/>
        <v>0</v>
      </c>
      <c r="O212" s="1919"/>
      <c r="P212" s="1919"/>
      <c r="Q212" s="1919"/>
      <c r="R212" s="1919"/>
      <c r="S212" s="1919"/>
      <c r="T212" s="1919"/>
      <c r="U212" s="1919"/>
      <c r="V212" s="1919"/>
      <c r="W212" s="1919"/>
      <c r="X212" s="1919"/>
      <c r="Y212" s="1934"/>
    </row>
    <row r="213" spans="1:25" ht="13.5" thickBot="1">
      <c r="A213" s="1923" t="str">
        <v>12 months before</v>
      </c>
      <c r="B213" s="583">
        <f t="array" aca="1" ref="B213:M213" ca="1">B25:M25*Production!$B$13</f>
        <v>0</v>
      </c>
      <c r="C213" s="583">
        <f ca="1"/>
        <v>0</v>
      </c>
      <c r="D213" s="583">
        <f ca="1"/>
        <v>0</v>
      </c>
      <c r="E213" s="583">
        <f ca="1"/>
        <v>0</v>
      </c>
      <c r="F213" s="583">
        <f ca="1"/>
        <v>0</v>
      </c>
      <c r="G213" s="583">
        <f ca="1"/>
        <v>0</v>
      </c>
      <c r="H213" s="583">
        <f ca="1"/>
        <v>0</v>
      </c>
      <c r="I213" s="583">
        <f ca="1"/>
        <v>0</v>
      </c>
      <c r="J213" s="583">
        <f ca="1"/>
        <v>0</v>
      </c>
      <c r="K213" s="583">
        <f ca="1"/>
        <v>0</v>
      </c>
      <c r="L213" s="583">
        <f ca="1"/>
        <v>0</v>
      </c>
      <c r="M213" s="583">
        <f ca="1"/>
        <v>0</v>
      </c>
      <c r="N213" s="1919"/>
      <c r="O213" s="1919"/>
      <c r="P213" s="1919"/>
      <c r="Q213" s="1919"/>
      <c r="R213" s="1919"/>
      <c r="S213" s="1919"/>
      <c r="T213" s="1919"/>
      <c r="U213" s="1919"/>
      <c r="V213" s="1919"/>
      <c r="W213" s="1919"/>
      <c r="X213" s="1919"/>
      <c r="Y213" s="1934"/>
    </row>
    <row r="214" spans="1:25" ht="13.5" thickBot="1">
      <c r="A214" s="102" t="str">
        <f>"Totals DC "&amp;A$13</f>
        <v xml:space="preserve">Totals DC </v>
      </c>
      <c r="B214" s="587">
        <f t="shared" ref="B214:Y214" ca="1" si="16">SUM(B201:B213)</f>
        <v>0</v>
      </c>
      <c r="C214" s="587">
        <f t="shared" ca="1" si="16"/>
        <v>0</v>
      </c>
      <c r="D214" s="587">
        <f t="shared" ca="1" si="16"/>
        <v>0</v>
      </c>
      <c r="E214" s="587">
        <f t="shared" ca="1" si="16"/>
        <v>0</v>
      </c>
      <c r="F214" s="587">
        <f t="shared" ca="1" si="16"/>
        <v>0</v>
      </c>
      <c r="G214" s="587">
        <f t="shared" ca="1" si="16"/>
        <v>0</v>
      </c>
      <c r="H214" s="587">
        <f t="shared" ca="1" si="16"/>
        <v>0</v>
      </c>
      <c r="I214" s="587">
        <f t="shared" ca="1" si="16"/>
        <v>0</v>
      </c>
      <c r="J214" s="587">
        <f t="shared" ca="1" si="16"/>
        <v>0</v>
      </c>
      <c r="K214" s="587">
        <f t="shared" ca="1" si="16"/>
        <v>0</v>
      </c>
      <c r="L214" s="587">
        <f t="shared" ca="1" si="16"/>
        <v>0</v>
      </c>
      <c r="M214" s="587">
        <f t="shared" ca="1" si="16"/>
        <v>0</v>
      </c>
      <c r="N214" s="587">
        <f t="shared" ca="1" si="16"/>
        <v>0</v>
      </c>
      <c r="O214" s="587">
        <f t="shared" ca="1" si="16"/>
        <v>0</v>
      </c>
      <c r="P214" s="587">
        <f t="shared" ca="1" si="16"/>
        <v>0</v>
      </c>
      <c r="Q214" s="587">
        <f t="shared" ca="1" si="16"/>
        <v>0</v>
      </c>
      <c r="R214" s="587">
        <f t="shared" ca="1" si="16"/>
        <v>0</v>
      </c>
      <c r="S214" s="587">
        <f t="shared" ca="1" si="16"/>
        <v>0</v>
      </c>
      <c r="T214" s="587">
        <f t="shared" ca="1" si="16"/>
        <v>0</v>
      </c>
      <c r="U214" s="587">
        <f t="shared" ca="1" si="16"/>
        <v>0</v>
      </c>
      <c r="V214" s="587">
        <f t="shared" ca="1" si="16"/>
        <v>0</v>
      </c>
      <c r="W214" s="587">
        <f t="shared" ca="1" si="16"/>
        <v>0</v>
      </c>
      <c r="X214" s="587">
        <f t="shared" ca="1" si="16"/>
        <v>0</v>
      </c>
      <c r="Y214" s="1935">
        <f t="shared" ca="1" si="16"/>
        <v>0</v>
      </c>
    </row>
    <row r="215" spans="1:25" ht="13.5" thickBot="1">
      <c r="A215" s="102" t="str">
        <f>"Input "&amp;'Base Data'!$A$28&amp;" DC "&amp;$A$13</f>
        <v xml:space="preserve">Input VAT DC </v>
      </c>
      <c r="B215" s="587">
        <f t="array" aca="1" ref="B215:Y215" ca="1">$K$199*B214:Y214</f>
        <v>0</v>
      </c>
      <c r="C215" s="587">
        <f ca="1"/>
        <v>0</v>
      </c>
      <c r="D215" s="587">
        <f ca="1"/>
        <v>0</v>
      </c>
      <c r="E215" s="587">
        <f ca="1"/>
        <v>0</v>
      </c>
      <c r="F215" s="587">
        <f ca="1"/>
        <v>0</v>
      </c>
      <c r="G215" s="587">
        <f ca="1"/>
        <v>0</v>
      </c>
      <c r="H215" s="587">
        <f ca="1"/>
        <v>0</v>
      </c>
      <c r="I215" s="587">
        <f ca="1"/>
        <v>0</v>
      </c>
      <c r="J215" s="587">
        <f ca="1"/>
        <v>0</v>
      </c>
      <c r="K215" s="587">
        <f ca="1"/>
        <v>0</v>
      </c>
      <c r="L215" s="587">
        <f ca="1"/>
        <v>0</v>
      </c>
      <c r="M215" s="587">
        <f ca="1"/>
        <v>0</v>
      </c>
      <c r="N215" s="587">
        <f ca="1"/>
        <v>0</v>
      </c>
      <c r="O215" s="587">
        <f ca="1"/>
        <v>0</v>
      </c>
      <c r="P215" s="587">
        <f ca="1"/>
        <v>0</v>
      </c>
      <c r="Q215" s="587">
        <f ca="1"/>
        <v>0</v>
      </c>
      <c r="R215" s="587">
        <f ca="1"/>
        <v>0</v>
      </c>
      <c r="S215" s="587">
        <f ca="1"/>
        <v>0</v>
      </c>
      <c r="T215" s="587">
        <f ca="1"/>
        <v>0</v>
      </c>
      <c r="U215" s="587">
        <f ca="1"/>
        <v>0</v>
      </c>
      <c r="V215" s="587">
        <f ca="1"/>
        <v>0</v>
      </c>
      <c r="W215" s="587">
        <f ca="1"/>
        <v>0</v>
      </c>
      <c r="X215" s="587">
        <f ca="1"/>
        <v>0</v>
      </c>
      <c r="Y215" s="1935">
        <f ca="1"/>
        <v>0</v>
      </c>
    </row>
    <row r="217" spans="1:25" ht="18.75" thickBot="1">
      <c r="A217" s="1921" t="str">
        <f>'DC Distr 0'!A217</f>
        <v xml:space="preserve">Monthly Purchases / Production costs for </v>
      </c>
      <c r="I217" s="1921" t="str">
        <f>I$18</f>
        <v>VAT NOT included</v>
      </c>
      <c r="K217" s="1932">
        <f>Parameters!$F$30</f>
        <v>0.21</v>
      </c>
    </row>
    <row r="218" spans="1:25" ht="33" customHeight="1" thickBot="1">
      <c r="A218" s="441" t="str">
        <f t="array" ref="A218:A231">A$110:A$123</f>
        <v>Months before sale</v>
      </c>
      <c r="B218" s="1938" t="str">
        <f t="array" ref="B218:Y218">B$71:Y$71</f>
        <v>January
2030</v>
      </c>
      <c r="C218" s="1938" t="str">
        <v>February
2030</v>
      </c>
      <c r="D218" s="1938" t="str">
        <v>March
2030</v>
      </c>
      <c r="E218" s="1938" t="str">
        <v>April
2030</v>
      </c>
      <c r="F218" s="1938" t="str">
        <v>May
2030</v>
      </c>
      <c r="G218" s="1938" t="str">
        <v>June
2030</v>
      </c>
      <c r="H218" s="1938" t="str">
        <v>July
2030</v>
      </c>
      <c r="I218" s="1938" t="str">
        <v>August
2030</v>
      </c>
      <c r="J218" s="1938" t="str">
        <v>September
2030</v>
      </c>
      <c r="K218" s="1938" t="str">
        <v>October
2030</v>
      </c>
      <c r="L218" s="1938" t="str">
        <v>November
2030</v>
      </c>
      <c r="M218" s="1938" t="str">
        <v>December
2030</v>
      </c>
      <c r="N218" s="2721" t="str">
        <v>January 
2031</v>
      </c>
      <c r="O218" s="2722" t="str">
        <v>February 
2031</v>
      </c>
      <c r="P218" s="2722" t="str">
        <v>March 
2031</v>
      </c>
      <c r="Q218" s="2722" t="str">
        <v>April 
2031</v>
      </c>
      <c r="R218" s="2722" t="str">
        <v>May 
2031</v>
      </c>
      <c r="S218" s="2722" t="str">
        <v>June 
2031</v>
      </c>
      <c r="T218" s="2722" t="str">
        <v>July 
2031</v>
      </c>
      <c r="U218" s="2722" t="str">
        <v>August 
2031</v>
      </c>
      <c r="V218" s="2722" t="str">
        <v>September 
2031</v>
      </c>
      <c r="W218" s="2722" t="str">
        <v>October 
2031</v>
      </c>
      <c r="X218" s="2722" t="str">
        <v>November 
2031</v>
      </c>
      <c r="Y218" s="2723" t="str">
        <v>December 
2031</v>
      </c>
    </row>
    <row r="219" spans="1:25">
      <c r="A219" s="1922" t="str">
        <v>same month</v>
      </c>
      <c r="B219" s="1919"/>
      <c r="C219" s="1919"/>
      <c r="D219" s="1919"/>
      <c r="E219" s="1919"/>
      <c r="F219" s="1919"/>
      <c r="G219" s="1919"/>
      <c r="H219" s="1919"/>
      <c r="I219" s="1919"/>
      <c r="J219" s="1919"/>
      <c r="K219" s="1919"/>
      <c r="L219" s="1919"/>
      <c r="M219" s="1919"/>
      <c r="N219" s="583">
        <f t="array" aca="1" ref="N219:Y219" ca="1">B26:M26*Production!$N$14</f>
        <v>0</v>
      </c>
      <c r="O219" s="583">
        <f ca="1"/>
        <v>0</v>
      </c>
      <c r="P219" s="583">
        <f ca="1"/>
        <v>0</v>
      </c>
      <c r="Q219" s="583">
        <f ca="1"/>
        <v>0</v>
      </c>
      <c r="R219" s="583">
        <f ca="1"/>
        <v>0</v>
      </c>
      <c r="S219" s="583">
        <f ca="1"/>
        <v>0</v>
      </c>
      <c r="T219" s="583">
        <f ca="1"/>
        <v>0</v>
      </c>
      <c r="U219" s="583">
        <f ca="1"/>
        <v>0</v>
      </c>
      <c r="V219" s="583">
        <f ca="1"/>
        <v>0</v>
      </c>
      <c r="W219" s="583">
        <f ca="1"/>
        <v>0</v>
      </c>
      <c r="X219" s="583">
        <f ca="1"/>
        <v>0</v>
      </c>
      <c r="Y219" s="1933">
        <f ca="1"/>
        <v>0</v>
      </c>
    </row>
    <row r="220" spans="1:25">
      <c r="A220" s="1923" t="str">
        <v>1 month before</v>
      </c>
      <c r="B220" s="1919"/>
      <c r="C220" s="1919"/>
      <c r="D220" s="1919"/>
      <c r="E220" s="1919"/>
      <c r="F220" s="1919"/>
      <c r="G220" s="1919"/>
      <c r="H220" s="1919"/>
      <c r="I220" s="1919"/>
      <c r="J220" s="1919"/>
      <c r="K220" s="1919"/>
      <c r="L220" s="1919"/>
      <c r="M220" s="583">
        <f t="array" aca="1" ref="M220:X220" ca="1">B26:M26*Production!$M$14</f>
        <v>0</v>
      </c>
      <c r="N220" s="583">
        <f ca="1"/>
        <v>0</v>
      </c>
      <c r="O220" s="583">
        <f ca="1"/>
        <v>0</v>
      </c>
      <c r="P220" s="583">
        <f ca="1"/>
        <v>0</v>
      </c>
      <c r="Q220" s="583">
        <f ca="1"/>
        <v>0</v>
      </c>
      <c r="R220" s="583">
        <f ca="1"/>
        <v>0</v>
      </c>
      <c r="S220" s="583">
        <f ca="1"/>
        <v>0</v>
      </c>
      <c r="T220" s="583">
        <f ca="1"/>
        <v>0</v>
      </c>
      <c r="U220" s="583">
        <f ca="1"/>
        <v>0</v>
      </c>
      <c r="V220" s="583">
        <f ca="1"/>
        <v>0</v>
      </c>
      <c r="W220" s="583">
        <f ca="1"/>
        <v>0</v>
      </c>
      <c r="X220" s="583">
        <f ca="1"/>
        <v>0</v>
      </c>
      <c r="Y220" s="1934"/>
    </row>
    <row r="221" spans="1:25">
      <c r="A221" s="1923" t="str">
        <v>2 months before</v>
      </c>
      <c r="B221" s="1919"/>
      <c r="C221" s="1919"/>
      <c r="D221" s="1919"/>
      <c r="E221" s="1919"/>
      <c r="F221" s="1919"/>
      <c r="G221" s="1919"/>
      <c r="H221" s="1919"/>
      <c r="I221" s="1919"/>
      <c r="J221" s="1919"/>
      <c r="K221" s="1919"/>
      <c r="L221" s="583">
        <f t="array" aca="1" ref="L221:W221" ca="1">B26:M26*Production!$L$14</f>
        <v>0</v>
      </c>
      <c r="M221" s="583">
        <f ca="1"/>
        <v>0</v>
      </c>
      <c r="N221" s="583">
        <f ca="1"/>
        <v>0</v>
      </c>
      <c r="O221" s="583">
        <f ca="1"/>
        <v>0</v>
      </c>
      <c r="P221" s="583">
        <f ca="1"/>
        <v>0</v>
      </c>
      <c r="Q221" s="583">
        <f ca="1"/>
        <v>0</v>
      </c>
      <c r="R221" s="583">
        <f ca="1"/>
        <v>0</v>
      </c>
      <c r="S221" s="583">
        <f ca="1"/>
        <v>0</v>
      </c>
      <c r="T221" s="583">
        <f ca="1"/>
        <v>0</v>
      </c>
      <c r="U221" s="583">
        <f ca="1"/>
        <v>0</v>
      </c>
      <c r="V221" s="583">
        <f ca="1"/>
        <v>0</v>
      </c>
      <c r="W221" s="583">
        <f ca="1"/>
        <v>0</v>
      </c>
      <c r="X221" s="1919"/>
      <c r="Y221" s="1934"/>
    </row>
    <row r="222" spans="1:25">
      <c r="A222" s="1923" t="str">
        <v>3 months before</v>
      </c>
      <c r="B222" s="1919"/>
      <c r="C222" s="1919"/>
      <c r="D222" s="1919"/>
      <c r="E222" s="1919"/>
      <c r="F222" s="1919"/>
      <c r="G222" s="1919"/>
      <c r="H222" s="1919"/>
      <c r="I222" s="1919"/>
      <c r="J222" s="1919"/>
      <c r="K222" s="583">
        <f t="array" aca="1" ref="K222:V222" ca="1">B26:M26*Production!$K$14</f>
        <v>0</v>
      </c>
      <c r="L222" s="583">
        <f ca="1"/>
        <v>0</v>
      </c>
      <c r="M222" s="583">
        <f ca="1"/>
        <v>0</v>
      </c>
      <c r="N222" s="583">
        <f ca="1"/>
        <v>0</v>
      </c>
      <c r="O222" s="583">
        <f ca="1"/>
        <v>0</v>
      </c>
      <c r="P222" s="583">
        <f ca="1"/>
        <v>0</v>
      </c>
      <c r="Q222" s="583">
        <f ca="1"/>
        <v>0</v>
      </c>
      <c r="R222" s="583">
        <f ca="1"/>
        <v>0</v>
      </c>
      <c r="S222" s="583">
        <f ca="1"/>
        <v>0</v>
      </c>
      <c r="T222" s="583">
        <f ca="1"/>
        <v>0</v>
      </c>
      <c r="U222" s="583">
        <f ca="1"/>
        <v>0</v>
      </c>
      <c r="V222" s="583">
        <f ca="1"/>
        <v>0</v>
      </c>
      <c r="W222" s="1919"/>
      <c r="X222" s="1919"/>
      <c r="Y222" s="1934"/>
    </row>
    <row r="223" spans="1:25">
      <c r="A223" s="1923" t="str">
        <v>4 months before</v>
      </c>
      <c r="B223" s="1919"/>
      <c r="C223" s="1919"/>
      <c r="D223" s="1919"/>
      <c r="E223" s="1919"/>
      <c r="F223" s="1919"/>
      <c r="G223" s="1919"/>
      <c r="H223" s="1919"/>
      <c r="I223" s="1919"/>
      <c r="J223" s="583">
        <f t="array" aca="1" ref="J223:U223" ca="1">B26:M26*Production!$J$14</f>
        <v>0</v>
      </c>
      <c r="K223" s="583">
        <f ca="1"/>
        <v>0</v>
      </c>
      <c r="L223" s="583">
        <f ca="1"/>
        <v>0</v>
      </c>
      <c r="M223" s="583">
        <f ca="1"/>
        <v>0</v>
      </c>
      <c r="N223" s="583">
        <f ca="1"/>
        <v>0</v>
      </c>
      <c r="O223" s="583">
        <f ca="1"/>
        <v>0</v>
      </c>
      <c r="P223" s="583">
        <f ca="1"/>
        <v>0</v>
      </c>
      <c r="Q223" s="583">
        <f ca="1"/>
        <v>0</v>
      </c>
      <c r="R223" s="583">
        <f ca="1"/>
        <v>0</v>
      </c>
      <c r="S223" s="583">
        <f ca="1"/>
        <v>0</v>
      </c>
      <c r="T223" s="583">
        <f ca="1"/>
        <v>0</v>
      </c>
      <c r="U223" s="583">
        <f ca="1"/>
        <v>0</v>
      </c>
      <c r="V223" s="1919"/>
      <c r="W223" s="1919"/>
      <c r="X223" s="1919"/>
      <c r="Y223" s="1934"/>
    </row>
    <row r="224" spans="1:25">
      <c r="A224" s="1923" t="str">
        <v>5 months before</v>
      </c>
      <c r="B224" s="1919"/>
      <c r="C224" s="1919"/>
      <c r="D224" s="1919"/>
      <c r="E224" s="1919"/>
      <c r="F224" s="1919"/>
      <c r="G224" s="1919"/>
      <c r="H224" s="1919"/>
      <c r="I224" s="583">
        <f t="array" aca="1" ref="I224:T224" ca="1">B26:M26*Production!$I$14</f>
        <v>0</v>
      </c>
      <c r="J224" s="583">
        <f ca="1"/>
        <v>0</v>
      </c>
      <c r="K224" s="583">
        <f ca="1"/>
        <v>0</v>
      </c>
      <c r="L224" s="583">
        <f ca="1"/>
        <v>0</v>
      </c>
      <c r="M224" s="583">
        <f ca="1"/>
        <v>0</v>
      </c>
      <c r="N224" s="583">
        <f ca="1"/>
        <v>0</v>
      </c>
      <c r="O224" s="583">
        <f ca="1"/>
        <v>0</v>
      </c>
      <c r="P224" s="583">
        <f ca="1"/>
        <v>0</v>
      </c>
      <c r="Q224" s="583">
        <f ca="1"/>
        <v>0</v>
      </c>
      <c r="R224" s="583">
        <f ca="1"/>
        <v>0</v>
      </c>
      <c r="S224" s="583">
        <f ca="1"/>
        <v>0</v>
      </c>
      <c r="T224" s="583">
        <f ca="1"/>
        <v>0</v>
      </c>
      <c r="U224" s="1919"/>
      <c r="V224" s="1919"/>
      <c r="W224" s="1919"/>
      <c r="X224" s="1919"/>
      <c r="Y224" s="1934"/>
    </row>
    <row r="225" spans="1:25">
      <c r="A225" s="1923" t="str">
        <v>6 months before</v>
      </c>
      <c r="B225" s="1919"/>
      <c r="C225" s="1919"/>
      <c r="D225" s="1919"/>
      <c r="E225" s="1919"/>
      <c r="F225" s="1919"/>
      <c r="G225" s="1919"/>
      <c r="H225" s="583">
        <f t="array" aca="1" ref="H225:S225" ca="1">B26:M26*Production!$H$14</f>
        <v>0</v>
      </c>
      <c r="I225" s="583">
        <f ca="1"/>
        <v>0</v>
      </c>
      <c r="J225" s="583">
        <f ca="1"/>
        <v>0</v>
      </c>
      <c r="K225" s="583">
        <f ca="1"/>
        <v>0</v>
      </c>
      <c r="L225" s="583">
        <f ca="1"/>
        <v>0</v>
      </c>
      <c r="M225" s="583">
        <f ca="1"/>
        <v>0</v>
      </c>
      <c r="N225" s="583">
        <f ca="1"/>
        <v>0</v>
      </c>
      <c r="O225" s="583">
        <f ca="1"/>
        <v>0</v>
      </c>
      <c r="P225" s="583">
        <f ca="1"/>
        <v>0</v>
      </c>
      <c r="Q225" s="583">
        <f ca="1"/>
        <v>0</v>
      </c>
      <c r="R225" s="583">
        <f ca="1"/>
        <v>0</v>
      </c>
      <c r="S225" s="583">
        <f ca="1"/>
        <v>0</v>
      </c>
      <c r="T225" s="1919"/>
      <c r="U225" s="1919"/>
      <c r="V225" s="1919"/>
      <c r="W225" s="1919"/>
      <c r="X225" s="1919"/>
      <c r="Y225" s="1934"/>
    </row>
    <row r="226" spans="1:25">
      <c r="A226" s="1923" t="str">
        <v>7 months before</v>
      </c>
      <c r="B226" s="1919"/>
      <c r="C226" s="1919"/>
      <c r="D226" s="1919"/>
      <c r="E226" s="1919"/>
      <c r="F226" s="1919"/>
      <c r="G226" s="583">
        <f t="array" aca="1" ref="G226:R226" ca="1">B26:M26*Production!$G$14</f>
        <v>0</v>
      </c>
      <c r="H226" s="583">
        <f ca="1"/>
        <v>0</v>
      </c>
      <c r="I226" s="583">
        <f ca="1"/>
        <v>0</v>
      </c>
      <c r="J226" s="583">
        <f ca="1"/>
        <v>0</v>
      </c>
      <c r="K226" s="583">
        <f ca="1"/>
        <v>0</v>
      </c>
      <c r="L226" s="583">
        <f ca="1"/>
        <v>0</v>
      </c>
      <c r="M226" s="583">
        <f ca="1"/>
        <v>0</v>
      </c>
      <c r="N226" s="583">
        <f ca="1"/>
        <v>0</v>
      </c>
      <c r="O226" s="583">
        <f ca="1"/>
        <v>0</v>
      </c>
      <c r="P226" s="583">
        <f ca="1"/>
        <v>0</v>
      </c>
      <c r="Q226" s="583">
        <f ca="1"/>
        <v>0</v>
      </c>
      <c r="R226" s="583">
        <f ca="1"/>
        <v>0</v>
      </c>
      <c r="S226" s="1919"/>
      <c r="T226" s="1919"/>
      <c r="U226" s="1919"/>
      <c r="V226" s="1919"/>
      <c r="W226" s="1919"/>
      <c r="X226" s="1919"/>
      <c r="Y226" s="1934"/>
    </row>
    <row r="227" spans="1:25">
      <c r="A227" s="1923" t="str">
        <v>8 months before</v>
      </c>
      <c r="B227" s="1919"/>
      <c r="C227" s="1919"/>
      <c r="D227" s="1919"/>
      <c r="E227" s="1919"/>
      <c r="F227" s="583">
        <f t="array" aca="1" ref="F227:Q227" ca="1">B26:M26*Production!$F$14</f>
        <v>0</v>
      </c>
      <c r="G227" s="583">
        <f ca="1"/>
        <v>0</v>
      </c>
      <c r="H227" s="583">
        <f ca="1"/>
        <v>0</v>
      </c>
      <c r="I227" s="583">
        <f ca="1"/>
        <v>0</v>
      </c>
      <c r="J227" s="583">
        <f ca="1"/>
        <v>0</v>
      </c>
      <c r="K227" s="583">
        <f ca="1"/>
        <v>0</v>
      </c>
      <c r="L227" s="583">
        <f ca="1"/>
        <v>0</v>
      </c>
      <c r="M227" s="583">
        <f ca="1"/>
        <v>0</v>
      </c>
      <c r="N227" s="583">
        <f ca="1"/>
        <v>0</v>
      </c>
      <c r="O227" s="583">
        <f ca="1"/>
        <v>0</v>
      </c>
      <c r="P227" s="583">
        <f ca="1"/>
        <v>0</v>
      </c>
      <c r="Q227" s="583">
        <f ca="1"/>
        <v>0</v>
      </c>
      <c r="R227" s="1919"/>
      <c r="S227" s="1919"/>
      <c r="T227" s="1919"/>
      <c r="U227" s="1919"/>
      <c r="V227" s="1919"/>
      <c r="W227" s="1919"/>
      <c r="X227" s="1919"/>
      <c r="Y227" s="1934"/>
    </row>
    <row r="228" spans="1:25">
      <c r="A228" s="1923" t="str">
        <v>9 months before</v>
      </c>
      <c r="B228" s="1919"/>
      <c r="C228" s="1919"/>
      <c r="D228" s="1919"/>
      <c r="E228" s="583">
        <f t="array" aca="1" ref="E228:P228" ca="1">B26:M26*Production!$E$14</f>
        <v>0</v>
      </c>
      <c r="F228" s="583">
        <f ca="1"/>
        <v>0</v>
      </c>
      <c r="G228" s="583">
        <f ca="1"/>
        <v>0</v>
      </c>
      <c r="H228" s="583">
        <f ca="1"/>
        <v>0</v>
      </c>
      <c r="I228" s="583">
        <f ca="1"/>
        <v>0</v>
      </c>
      <c r="J228" s="583">
        <f ca="1"/>
        <v>0</v>
      </c>
      <c r="K228" s="583">
        <f ca="1"/>
        <v>0</v>
      </c>
      <c r="L228" s="583">
        <f ca="1"/>
        <v>0</v>
      </c>
      <c r="M228" s="583">
        <f ca="1"/>
        <v>0</v>
      </c>
      <c r="N228" s="583">
        <f ca="1"/>
        <v>0</v>
      </c>
      <c r="O228" s="583">
        <f ca="1"/>
        <v>0</v>
      </c>
      <c r="P228" s="583">
        <f ca="1"/>
        <v>0</v>
      </c>
      <c r="Q228" s="1919"/>
      <c r="R228" s="1919"/>
      <c r="S228" s="1919"/>
      <c r="T228" s="1919"/>
      <c r="U228" s="1919"/>
      <c r="V228" s="1919"/>
      <c r="W228" s="1919"/>
      <c r="X228" s="1919"/>
      <c r="Y228" s="1934"/>
    </row>
    <row r="229" spans="1:25">
      <c r="A229" s="1923" t="str">
        <v>10 months before</v>
      </c>
      <c r="B229" s="1919"/>
      <c r="C229" s="1919"/>
      <c r="D229" s="583">
        <f t="array" aca="1" ref="D229:O229" ca="1">B26:M26*Production!$D$14</f>
        <v>0</v>
      </c>
      <c r="E229" s="583">
        <f ca="1"/>
        <v>0</v>
      </c>
      <c r="F229" s="583">
        <f ca="1"/>
        <v>0</v>
      </c>
      <c r="G229" s="583">
        <f ca="1"/>
        <v>0</v>
      </c>
      <c r="H229" s="583">
        <f ca="1"/>
        <v>0</v>
      </c>
      <c r="I229" s="583">
        <f ca="1"/>
        <v>0</v>
      </c>
      <c r="J229" s="583">
        <f ca="1"/>
        <v>0</v>
      </c>
      <c r="K229" s="583">
        <f ca="1"/>
        <v>0</v>
      </c>
      <c r="L229" s="583">
        <f ca="1"/>
        <v>0</v>
      </c>
      <c r="M229" s="583">
        <f ca="1"/>
        <v>0</v>
      </c>
      <c r="N229" s="583">
        <f ca="1"/>
        <v>0</v>
      </c>
      <c r="O229" s="583">
        <f ca="1"/>
        <v>0</v>
      </c>
      <c r="P229" s="1919"/>
      <c r="Q229" s="1919"/>
      <c r="R229" s="1919"/>
      <c r="S229" s="1919"/>
      <c r="T229" s="1919"/>
      <c r="U229" s="1919"/>
      <c r="V229" s="1919"/>
      <c r="W229" s="1919"/>
      <c r="X229" s="1919"/>
      <c r="Y229" s="1934"/>
    </row>
    <row r="230" spans="1:25">
      <c r="A230" s="1923" t="str">
        <v>11 months before</v>
      </c>
      <c r="B230" s="1919"/>
      <c r="C230" s="583">
        <f t="array" aca="1" ref="C230:N230" ca="1">B26:M26*Production!$C$14</f>
        <v>0</v>
      </c>
      <c r="D230" s="583">
        <f ca="1"/>
        <v>0</v>
      </c>
      <c r="E230" s="583">
        <f ca="1"/>
        <v>0</v>
      </c>
      <c r="F230" s="583">
        <f ca="1"/>
        <v>0</v>
      </c>
      <c r="G230" s="583">
        <f ca="1"/>
        <v>0</v>
      </c>
      <c r="H230" s="583">
        <f ca="1"/>
        <v>0</v>
      </c>
      <c r="I230" s="583">
        <f ca="1"/>
        <v>0</v>
      </c>
      <c r="J230" s="583">
        <f ca="1"/>
        <v>0</v>
      </c>
      <c r="K230" s="583">
        <f ca="1"/>
        <v>0</v>
      </c>
      <c r="L230" s="583">
        <f ca="1"/>
        <v>0</v>
      </c>
      <c r="M230" s="583">
        <f ca="1"/>
        <v>0</v>
      </c>
      <c r="N230" s="583">
        <f ca="1"/>
        <v>0</v>
      </c>
      <c r="O230" s="1919"/>
      <c r="P230" s="1919"/>
      <c r="Q230" s="1919"/>
      <c r="R230" s="1919"/>
      <c r="S230" s="1919"/>
      <c r="T230" s="1919"/>
      <c r="U230" s="1919"/>
      <c r="V230" s="1919"/>
      <c r="W230" s="1919"/>
      <c r="X230" s="1919"/>
      <c r="Y230" s="1934"/>
    </row>
    <row r="231" spans="1:25" ht="13.5" thickBot="1">
      <c r="A231" s="1923" t="str">
        <v>12 months before</v>
      </c>
      <c r="B231" s="583">
        <f t="array" aca="1" ref="B231:M231" ca="1">B26:M26*Production!$B$14</f>
        <v>0</v>
      </c>
      <c r="C231" s="583">
        <f ca="1"/>
        <v>0</v>
      </c>
      <c r="D231" s="583">
        <f ca="1"/>
        <v>0</v>
      </c>
      <c r="E231" s="583">
        <f ca="1"/>
        <v>0</v>
      </c>
      <c r="F231" s="583">
        <f ca="1"/>
        <v>0</v>
      </c>
      <c r="G231" s="583">
        <f ca="1"/>
        <v>0</v>
      </c>
      <c r="H231" s="583">
        <f ca="1"/>
        <v>0</v>
      </c>
      <c r="I231" s="583">
        <f ca="1"/>
        <v>0</v>
      </c>
      <c r="J231" s="583">
        <f ca="1"/>
        <v>0</v>
      </c>
      <c r="K231" s="583">
        <f ca="1"/>
        <v>0</v>
      </c>
      <c r="L231" s="583">
        <f ca="1"/>
        <v>0</v>
      </c>
      <c r="M231" s="583">
        <f ca="1"/>
        <v>0</v>
      </c>
      <c r="N231" s="1919"/>
      <c r="O231" s="1919"/>
      <c r="P231" s="1919"/>
      <c r="Q231" s="1919"/>
      <c r="R231" s="1919"/>
      <c r="S231" s="1919"/>
      <c r="T231" s="1919"/>
      <c r="U231" s="1919"/>
      <c r="V231" s="1919"/>
      <c r="W231" s="1919"/>
      <c r="X231" s="1919"/>
      <c r="Y231" s="1934"/>
    </row>
    <row r="232" spans="1:25" ht="13.5" thickBot="1">
      <c r="A232" s="102" t="str">
        <f>"Totals DC "&amp;A$14</f>
        <v xml:space="preserve">Totals DC </v>
      </c>
      <c r="B232" s="587">
        <f t="shared" ref="B232:Y232" ca="1" si="17">SUM(B219:B231)</f>
        <v>0</v>
      </c>
      <c r="C232" s="587">
        <f t="shared" ca="1" si="17"/>
        <v>0</v>
      </c>
      <c r="D232" s="587">
        <f t="shared" ca="1" si="17"/>
        <v>0</v>
      </c>
      <c r="E232" s="587">
        <f t="shared" ca="1" si="17"/>
        <v>0</v>
      </c>
      <c r="F232" s="587">
        <f t="shared" ca="1" si="17"/>
        <v>0</v>
      </c>
      <c r="G232" s="587">
        <f t="shared" ca="1" si="17"/>
        <v>0</v>
      </c>
      <c r="H232" s="587">
        <f t="shared" ca="1" si="17"/>
        <v>0</v>
      </c>
      <c r="I232" s="587">
        <f t="shared" ca="1" si="17"/>
        <v>0</v>
      </c>
      <c r="J232" s="587">
        <f t="shared" ca="1" si="17"/>
        <v>0</v>
      </c>
      <c r="K232" s="587">
        <f t="shared" ca="1" si="17"/>
        <v>0</v>
      </c>
      <c r="L232" s="587">
        <f t="shared" ca="1" si="17"/>
        <v>0</v>
      </c>
      <c r="M232" s="587">
        <f t="shared" ca="1" si="17"/>
        <v>0</v>
      </c>
      <c r="N232" s="587">
        <f t="shared" ca="1" si="17"/>
        <v>0</v>
      </c>
      <c r="O232" s="587">
        <f t="shared" ca="1" si="17"/>
        <v>0</v>
      </c>
      <c r="P232" s="587">
        <f t="shared" ca="1" si="17"/>
        <v>0</v>
      </c>
      <c r="Q232" s="587">
        <f t="shared" ca="1" si="17"/>
        <v>0</v>
      </c>
      <c r="R232" s="587">
        <f t="shared" ca="1" si="17"/>
        <v>0</v>
      </c>
      <c r="S232" s="587">
        <f t="shared" ca="1" si="17"/>
        <v>0</v>
      </c>
      <c r="T232" s="587">
        <f t="shared" ca="1" si="17"/>
        <v>0</v>
      </c>
      <c r="U232" s="587">
        <f t="shared" ca="1" si="17"/>
        <v>0</v>
      </c>
      <c r="V232" s="587">
        <f t="shared" ca="1" si="17"/>
        <v>0</v>
      </c>
      <c r="W232" s="587">
        <f t="shared" ca="1" si="17"/>
        <v>0</v>
      </c>
      <c r="X232" s="587">
        <f t="shared" ca="1" si="17"/>
        <v>0</v>
      </c>
      <c r="Y232" s="1935">
        <f t="shared" ca="1" si="17"/>
        <v>0</v>
      </c>
    </row>
    <row r="233" spans="1:25" ht="13.5" thickBot="1">
      <c r="A233" s="102" t="str">
        <f>"Input "&amp;'Base Data'!$A$28&amp;" DC "&amp;$A$14</f>
        <v xml:space="preserve">Input VAT DC </v>
      </c>
      <c r="B233" s="587">
        <f t="array" aca="1" ref="B233:Y233" ca="1">$K$217*B232:Y232</f>
        <v>0</v>
      </c>
      <c r="C233" s="587">
        <f ca="1"/>
        <v>0</v>
      </c>
      <c r="D233" s="587">
        <f ca="1"/>
        <v>0</v>
      </c>
      <c r="E233" s="587">
        <f ca="1"/>
        <v>0</v>
      </c>
      <c r="F233" s="587">
        <f ca="1"/>
        <v>0</v>
      </c>
      <c r="G233" s="587">
        <f ca="1"/>
        <v>0</v>
      </c>
      <c r="H233" s="587">
        <f ca="1"/>
        <v>0</v>
      </c>
      <c r="I233" s="587">
        <f ca="1"/>
        <v>0</v>
      </c>
      <c r="J233" s="587">
        <f ca="1"/>
        <v>0</v>
      </c>
      <c r="K233" s="587">
        <f ca="1"/>
        <v>0</v>
      </c>
      <c r="L233" s="587">
        <f ca="1"/>
        <v>0</v>
      </c>
      <c r="M233" s="587">
        <f ca="1"/>
        <v>0</v>
      </c>
      <c r="N233" s="587">
        <f ca="1"/>
        <v>0</v>
      </c>
      <c r="O233" s="587">
        <f ca="1"/>
        <v>0</v>
      </c>
      <c r="P233" s="587">
        <f ca="1"/>
        <v>0</v>
      </c>
      <c r="Q233" s="587">
        <f ca="1"/>
        <v>0</v>
      </c>
      <c r="R233" s="587">
        <f ca="1"/>
        <v>0</v>
      </c>
      <c r="S233" s="587">
        <f ca="1"/>
        <v>0</v>
      </c>
      <c r="T233" s="587">
        <f ca="1"/>
        <v>0</v>
      </c>
      <c r="U233" s="587">
        <f ca="1"/>
        <v>0</v>
      </c>
      <c r="V233" s="587">
        <f ca="1"/>
        <v>0</v>
      </c>
      <c r="W233" s="587">
        <f ca="1"/>
        <v>0</v>
      </c>
      <c r="X233" s="587">
        <f ca="1"/>
        <v>0</v>
      </c>
      <c r="Y233" s="1935">
        <f ca="1"/>
        <v>0</v>
      </c>
    </row>
    <row r="235" spans="1:25" ht="18.75" thickBot="1">
      <c r="A235" s="1921" t="str">
        <f>'DC Distr 0'!A235</f>
        <v xml:space="preserve">Monthly Purchases / Production costs for </v>
      </c>
      <c r="I235" s="1921" t="str">
        <f>I$18</f>
        <v>VAT NOT included</v>
      </c>
      <c r="K235" s="1932">
        <f>Parameters!$F$31</f>
        <v>0.21</v>
      </c>
    </row>
    <row r="236" spans="1:25" ht="30" customHeight="1" thickBot="1">
      <c r="A236" s="441" t="str">
        <f t="array" ref="A236:A249">A$110:A$123</f>
        <v>Months before sale</v>
      </c>
      <c r="B236" s="1938" t="str">
        <f t="array" ref="B236:Y236">B$71:Y$71</f>
        <v>January
2030</v>
      </c>
      <c r="C236" s="1938" t="str">
        <v>February
2030</v>
      </c>
      <c r="D236" s="1938" t="str">
        <v>March
2030</v>
      </c>
      <c r="E236" s="1938" t="str">
        <v>April
2030</v>
      </c>
      <c r="F236" s="1938" t="str">
        <v>May
2030</v>
      </c>
      <c r="G236" s="1938" t="str">
        <v>June
2030</v>
      </c>
      <c r="H236" s="1938" t="str">
        <v>July
2030</v>
      </c>
      <c r="I236" s="1938" t="str">
        <v>August
2030</v>
      </c>
      <c r="J236" s="1938" t="str">
        <v>September
2030</v>
      </c>
      <c r="K236" s="1938" t="str">
        <v>October
2030</v>
      </c>
      <c r="L236" s="1938" t="str">
        <v>November
2030</v>
      </c>
      <c r="M236" s="1938" t="str">
        <v>December
2030</v>
      </c>
      <c r="N236" s="2721" t="str">
        <v>January 
2031</v>
      </c>
      <c r="O236" s="2722" t="str">
        <v>February 
2031</v>
      </c>
      <c r="P236" s="2722" t="str">
        <v>March 
2031</v>
      </c>
      <c r="Q236" s="2722" t="str">
        <v>April 
2031</v>
      </c>
      <c r="R236" s="2722" t="str">
        <v>May 
2031</v>
      </c>
      <c r="S236" s="2722" t="str">
        <v>June 
2031</v>
      </c>
      <c r="T236" s="2722" t="str">
        <v>July 
2031</v>
      </c>
      <c r="U236" s="2722" t="str">
        <v>August 
2031</v>
      </c>
      <c r="V236" s="2722" t="str">
        <v>September 
2031</v>
      </c>
      <c r="W236" s="2722" t="str">
        <v>October 
2031</v>
      </c>
      <c r="X236" s="2722" t="str">
        <v>November 
2031</v>
      </c>
      <c r="Y236" s="2723" t="str">
        <v>December 
2031</v>
      </c>
    </row>
    <row r="237" spans="1:25">
      <c r="A237" s="1922" t="str">
        <v>same month</v>
      </c>
      <c r="B237" s="1919"/>
      <c r="C237" s="1919"/>
      <c r="D237" s="1919"/>
      <c r="E237" s="1919"/>
      <c r="F237" s="1919"/>
      <c r="G237" s="1919"/>
      <c r="H237" s="1919"/>
      <c r="I237" s="1919"/>
      <c r="J237" s="1919"/>
      <c r="K237" s="1919"/>
      <c r="L237" s="1919"/>
      <c r="M237" s="1919"/>
      <c r="N237" s="583">
        <f t="array" aca="1" ref="N237:Y237" ca="1">B27:M27*Production!$N$15</f>
        <v>0</v>
      </c>
      <c r="O237" s="583">
        <f ca="1"/>
        <v>0</v>
      </c>
      <c r="P237" s="583">
        <f ca="1"/>
        <v>0</v>
      </c>
      <c r="Q237" s="583">
        <f ca="1"/>
        <v>0</v>
      </c>
      <c r="R237" s="583">
        <f ca="1"/>
        <v>0</v>
      </c>
      <c r="S237" s="583">
        <f ca="1"/>
        <v>0</v>
      </c>
      <c r="T237" s="583">
        <f ca="1"/>
        <v>0</v>
      </c>
      <c r="U237" s="583">
        <f ca="1"/>
        <v>0</v>
      </c>
      <c r="V237" s="583">
        <f ca="1"/>
        <v>0</v>
      </c>
      <c r="W237" s="583">
        <f ca="1"/>
        <v>0</v>
      </c>
      <c r="X237" s="583">
        <f ca="1"/>
        <v>0</v>
      </c>
      <c r="Y237" s="1933">
        <f ca="1"/>
        <v>0</v>
      </c>
    </row>
    <row r="238" spans="1:25">
      <c r="A238" s="1923" t="str">
        <v>1 month before</v>
      </c>
      <c r="B238" s="1919"/>
      <c r="C238" s="1919"/>
      <c r="D238" s="1919"/>
      <c r="E238" s="1919"/>
      <c r="F238" s="1919"/>
      <c r="G238" s="1919"/>
      <c r="H238" s="1919"/>
      <c r="I238" s="1919"/>
      <c r="J238" s="1919"/>
      <c r="K238" s="1919"/>
      <c r="L238" s="1919"/>
      <c r="M238" s="583">
        <f t="array" aca="1" ref="M238:X238" ca="1">B27:M27*Production!$M$15</f>
        <v>0</v>
      </c>
      <c r="N238" s="583">
        <f ca="1"/>
        <v>0</v>
      </c>
      <c r="O238" s="583">
        <f ca="1"/>
        <v>0</v>
      </c>
      <c r="P238" s="583">
        <f ca="1"/>
        <v>0</v>
      </c>
      <c r="Q238" s="583">
        <f ca="1"/>
        <v>0</v>
      </c>
      <c r="R238" s="583">
        <f ca="1"/>
        <v>0</v>
      </c>
      <c r="S238" s="583">
        <f ca="1"/>
        <v>0</v>
      </c>
      <c r="T238" s="583">
        <f ca="1"/>
        <v>0</v>
      </c>
      <c r="U238" s="583">
        <f ca="1"/>
        <v>0</v>
      </c>
      <c r="V238" s="583">
        <f ca="1"/>
        <v>0</v>
      </c>
      <c r="W238" s="583">
        <f ca="1"/>
        <v>0</v>
      </c>
      <c r="X238" s="583">
        <f ca="1"/>
        <v>0</v>
      </c>
      <c r="Y238" s="1934"/>
    </row>
    <row r="239" spans="1:25">
      <c r="A239" s="1923" t="str">
        <v>2 months before</v>
      </c>
      <c r="B239" s="1919"/>
      <c r="C239" s="1919"/>
      <c r="D239" s="1919"/>
      <c r="E239" s="1919"/>
      <c r="F239" s="1919"/>
      <c r="G239" s="1919"/>
      <c r="H239" s="1919"/>
      <c r="I239" s="1919"/>
      <c r="J239" s="1919"/>
      <c r="K239" s="1919"/>
      <c r="L239" s="583">
        <f t="array" aca="1" ref="L239:W239" ca="1">B27:M27*Production!$L$15</f>
        <v>0</v>
      </c>
      <c r="M239" s="583">
        <f ca="1"/>
        <v>0</v>
      </c>
      <c r="N239" s="583">
        <f ca="1"/>
        <v>0</v>
      </c>
      <c r="O239" s="583">
        <f ca="1"/>
        <v>0</v>
      </c>
      <c r="P239" s="583">
        <f ca="1"/>
        <v>0</v>
      </c>
      <c r="Q239" s="583">
        <f ca="1"/>
        <v>0</v>
      </c>
      <c r="R239" s="583">
        <f ca="1"/>
        <v>0</v>
      </c>
      <c r="S239" s="583">
        <f ca="1"/>
        <v>0</v>
      </c>
      <c r="T239" s="583">
        <f ca="1"/>
        <v>0</v>
      </c>
      <c r="U239" s="583">
        <f ca="1"/>
        <v>0</v>
      </c>
      <c r="V239" s="583">
        <f ca="1"/>
        <v>0</v>
      </c>
      <c r="W239" s="583">
        <f ca="1"/>
        <v>0</v>
      </c>
      <c r="X239" s="1919"/>
      <c r="Y239" s="1934"/>
    </row>
    <row r="240" spans="1:25">
      <c r="A240" s="1923" t="str">
        <v>3 months before</v>
      </c>
      <c r="B240" s="1919"/>
      <c r="C240" s="1919"/>
      <c r="D240" s="1919"/>
      <c r="E240" s="1919"/>
      <c r="F240" s="1919"/>
      <c r="G240" s="1919"/>
      <c r="H240" s="1919"/>
      <c r="I240" s="1919"/>
      <c r="J240" s="1919"/>
      <c r="K240" s="583">
        <f t="array" aca="1" ref="K240:V240" ca="1">B27:M27*Production!$K$15</f>
        <v>0</v>
      </c>
      <c r="L240" s="583">
        <f ca="1"/>
        <v>0</v>
      </c>
      <c r="M240" s="583">
        <f ca="1"/>
        <v>0</v>
      </c>
      <c r="N240" s="583">
        <f ca="1"/>
        <v>0</v>
      </c>
      <c r="O240" s="583">
        <f ca="1"/>
        <v>0</v>
      </c>
      <c r="P240" s="583">
        <f ca="1"/>
        <v>0</v>
      </c>
      <c r="Q240" s="583">
        <f ca="1"/>
        <v>0</v>
      </c>
      <c r="R240" s="583">
        <f ca="1"/>
        <v>0</v>
      </c>
      <c r="S240" s="583">
        <f ca="1"/>
        <v>0</v>
      </c>
      <c r="T240" s="583">
        <f ca="1"/>
        <v>0</v>
      </c>
      <c r="U240" s="583">
        <f ca="1"/>
        <v>0</v>
      </c>
      <c r="V240" s="583">
        <f ca="1"/>
        <v>0</v>
      </c>
      <c r="W240" s="1919"/>
      <c r="X240" s="1919"/>
      <c r="Y240" s="1934"/>
    </row>
    <row r="241" spans="1:25">
      <c r="A241" s="1923" t="str">
        <v>4 months before</v>
      </c>
      <c r="B241" s="1919"/>
      <c r="C241" s="1919"/>
      <c r="D241" s="1919"/>
      <c r="E241" s="1919"/>
      <c r="F241" s="1919"/>
      <c r="G241" s="1919"/>
      <c r="H241" s="1919"/>
      <c r="I241" s="1919"/>
      <c r="J241" s="583">
        <f t="array" aca="1" ref="J241:U241" ca="1">B27:M27*Production!$J$15</f>
        <v>0</v>
      </c>
      <c r="K241" s="583">
        <f ca="1"/>
        <v>0</v>
      </c>
      <c r="L241" s="583">
        <f ca="1"/>
        <v>0</v>
      </c>
      <c r="M241" s="583">
        <f ca="1"/>
        <v>0</v>
      </c>
      <c r="N241" s="583">
        <f ca="1"/>
        <v>0</v>
      </c>
      <c r="O241" s="583">
        <f ca="1"/>
        <v>0</v>
      </c>
      <c r="P241" s="583">
        <f ca="1"/>
        <v>0</v>
      </c>
      <c r="Q241" s="583">
        <f ca="1"/>
        <v>0</v>
      </c>
      <c r="R241" s="583">
        <f ca="1"/>
        <v>0</v>
      </c>
      <c r="S241" s="583">
        <f ca="1"/>
        <v>0</v>
      </c>
      <c r="T241" s="583">
        <f ca="1"/>
        <v>0</v>
      </c>
      <c r="U241" s="583">
        <f ca="1"/>
        <v>0</v>
      </c>
      <c r="V241" s="1919"/>
      <c r="W241" s="1919"/>
      <c r="X241" s="1919"/>
      <c r="Y241" s="1934"/>
    </row>
    <row r="242" spans="1:25">
      <c r="A242" s="1923" t="str">
        <v>5 months before</v>
      </c>
      <c r="B242" s="1919"/>
      <c r="C242" s="1919"/>
      <c r="D242" s="1919"/>
      <c r="E242" s="1919"/>
      <c r="F242" s="1919"/>
      <c r="G242" s="1919"/>
      <c r="H242" s="1919"/>
      <c r="I242" s="583">
        <f t="array" aca="1" ref="I242:T242" ca="1">B27:M27*Production!$I$15</f>
        <v>0</v>
      </c>
      <c r="J242" s="583">
        <f ca="1"/>
        <v>0</v>
      </c>
      <c r="K242" s="583">
        <f ca="1"/>
        <v>0</v>
      </c>
      <c r="L242" s="583">
        <f ca="1"/>
        <v>0</v>
      </c>
      <c r="M242" s="583">
        <f ca="1"/>
        <v>0</v>
      </c>
      <c r="N242" s="583">
        <f ca="1"/>
        <v>0</v>
      </c>
      <c r="O242" s="583">
        <f ca="1"/>
        <v>0</v>
      </c>
      <c r="P242" s="583">
        <f ca="1"/>
        <v>0</v>
      </c>
      <c r="Q242" s="583">
        <f ca="1"/>
        <v>0</v>
      </c>
      <c r="R242" s="583">
        <f ca="1"/>
        <v>0</v>
      </c>
      <c r="S242" s="583">
        <f ca="1"/>
        <v>0</v>
      </c>
      <c r="T242" s="583">
        <f ca="1"/>
        <v>0</v>
      </c>
      <c r="U242" s="1919"/>
      <c r="V242" s="1919"/>
      <c r="W242" s="1919"/>
      <c r="X242" s="1919"/>
      <c r="Y242" s="1934"/>
    </row>
    <row r="243" spans="1:25">
      <c r="A243" s="1923" t="str">
        <v>6 months before</v>
      </c>
      <c r="B243" s="1919"/>
      <c r="C243" s="1919"/>
      <c r="D243" s="1919"/>
      <c r="E243" s="1919"/>
      <c r="F243" s="1919"/>
      <c r="G243" s="1919"/>
      <c r="H243" s="583">
        <f t="array" aca="1" ref="H243:S243" ca="1">B27:M27*Production!$H$15</f>
        <v>0</v>
      </c>
      <c r="I243" s="583">
        <f ca="1"/>
        <v>0</v>
      </c>
      <c r="J243" s="583">
        <f ca="1"/>
        <v>0</v>
      </c>
      <c r="K243" s="583">
        <f ca="1"/>
        <v>0</v>
      </c>
      <c r="L243" s="583">
        <f ca="1"/>
        <v>0</v>
      </c>
      <c r="M243" s="583">
        <f ca="1"/>
        <v>0</v>
      </c>
      <c r="N243" s="583">
        <f ca="1"/>
        <v>0</v>
      </c>
      <c r="O243" s="583">
        <f ca="1"/>
        <v>0</v>
      </c>
      <c r="P243" s="583">
        <f ca="1"/>
        <v>0</v>
      </c>
      <c r="Q243" s="583">
        <f ca="1"/>
        <v>0</v>
      </c>
      <c r="R243" s="583">
        <f ca="1"/>
        <v>0</v>
      </c>
      <c r="S243" s="583">
        <f ca="1"/>
        <v>0</v>
      </c>
      <c r="T243" s="1919"/>
      <c r="U243" s="1919"/>
      <c r="V243" s="1919"/>
      <c r="W243" s="1919"/>
      <c r="X243" s="1919"/>
      <c r="Y243" s="1934"/>
    </row>
    <row r="244" spans="1:25">
      <c r="A244" s="1923" t="str">
        <v>7 months before</v>
      </c>
      <c r="B244" s="1919"/>
      <c r="C244" s="1919"/>
      <c r="D244" s="1919"/>
      <c r="E244" s="1919"/>
      <c r="F244" s="1919"/>
      <c r="G244" s="583">
        <f t="array" aca="1" ref="G244:R244" ca="1">B27:M27*Production!$G$15</f>
        <v>0</v>
      </c>
      <c r="H244" s="583">
        <f ca="1"/>
        <v>0</v>
      </c>
      <c r="I244" s="583">
        <f ca="1"/>
        <v>0</v>
      </c>
      <c r="J244" s="583">
        <f ca="1"/>
        <v>0</v>
      </c>
      <c r="K244" s="583">
        <f ca="1"/>
        <v>0</v>
      </c>
      <c r="L244" s="583">
        <f ca="1"/>
        <v>0</v>
      </c>
      <c r="M244" s="583">
        <f ca="1"/>
        <v>0</v>
      </c>
      <c r="N244" s="583">
        <f ca="1"/>
        <v>0</v>
      </c>
      <c r="O244" s="583">
        <f ca="1"/>
        <v>0</v>
      </c>
      <c r="P244" s="583">
        <f ca="1"/>
        <v>0</v>
      </c>
      <c r="Q244" s="583">
        <f ca="1"/>
        <v>0</v>
      </c>
      <c r="R244" s="583">
        <f ca="1"/>
        <v>0</v>
      </c>
      <c r="S244" s="1919"/>
      <c r="T244" s="1919"/>
      <c r="U244" s="1919"/>
      <c r="V244" s="1919"/>
      <c r="W244" s="1919"/>
      <c r="X244" s="1919"/>
      <c r="Y244" s="1934"/>
    </row>
    <row r="245" spans="1:25">
      <c r="A245" s="1923" t="str">
        <v>8 months before</v>
      </c>
      <c r="B245" s="1919"/>
      <c r="C245" s="1919"/>
      <c r="D245" s="1919"/>
      <c r="E245" s="1919"/>
      <c r="F245" s="583">
        <f t="array" aca="1" ref="F245:Q245" ca="1">B27:M27*Production!$F$15</f>
        <v>0</v>
      </c>
      <c r="G245" s="583">
        <f ca="1"/>
        <v>0</v>
      </c>
      <c r="H245" s="583">
        <f ca="1"/>
        <v>0</v>
      </c>
      <c r="I245" s="583">
        <f ca="1"/>
        <v>0</v>
      </c>
      <c r="J245" s="583">
        <f ca="1"/>
        <v>0</v>
      </c>
      <c r="K245" s="583">
        <f ca="1"/>
        <v>0</v>
      </c>
      <c r="L245" s="583">
        <f ca="1"/>
        <v>0</v>
      </c>
      <c r="M245" s="583">
        <f ca="1"/>
        <v>0</v>
      </c>
      <c r="N245" s="583">
        <f ca="1"/>
        <v>0</v>
      </c>
      <c r="O245" s="583">
        <f ca="1"/>
        <v>0</v>
      </c>
      <c r="P245" s="583">
        <f ca="1"/>
        <v>0</v>
      </c>
      <c r="Q245" s="583">
        <f ca="1"/>
        <v>0</v>
      </c>
      <c r="R245" s="1919"/>
      <c r="S245" s="1919"/>
      <c r="T245" s="1919"/>
      <c r="U245" s="1919"/>
      <c r="V245" s="1919"/>
      <c r="W245" s="1919"/>
      <c r="X245" s="1919"/>
      <c r="Y245" s="1934"/>
    </row>
    <row r="246" spans="1:25">
      <c r="A246" s="1923" t="str">
        <v>9 months before</v>
      </c>
      <c r="B246" s="1919"/>
      <c r="C246" s="1919"/>
      <c r="D246" s="1919"/>
      <c r="E246" s="583">
        <f t="array" aca="1" ref="E246:P246" ca="1">B27:M27*Production!$E$15</f>
        <v>0</v>
      </c>
      <c r="F246" s="583">
        <f ca="1"/>
        <v>0</v>
      </c>
      <c r="G246" s="583">
        <f ca="1"/>
        <v>0</v>
      </c>
      <c r="H246" s="583">
        <f ca="1"/>
        <v>0</v>
      </c>
      <c r="I246" s="583">
        <f ca="1"/>
        <v>0</v>
      </c>
      <c r="J246" s="583">
        <f ca="1"/>
        <v>0</v>
      </c>
      <c r="K246" s="583">
        <f ca="1"/>
        <v>0</v>
      </c>
      <c r="L246" s="583">
        <f ca="1"/>
        <v>0</v>
      </c>
      <c r="M246" s="583">
        <f ca="1"/>
        <v>0</v>
      </c>
      <c r="N246" s="583">
        <f ca="1"/>
        <v>0</v>
      </c>
      <c r="O246" s="583">
        <f ca="1"/>
        <v>0</v>
      </c>
      <c r="P246" s="583">
        <f ca="1"/>
        <v>0</v>
      </c>
      <c r="Q246" s="1919"/>
      <c r="R246" s="1919"/>
      <c r="S246" s="1919"/>
      <c r="T246" s="1919"/>
      <c r="U246" s="1919"/>
      <c r="V246" s="1919"/>
      <c r="W246" s="1919"/>
      <c r="X246" s="1919"/>
      <c r="Y246" s="1934"/>
    </row>
    <row r="247" spans="1:25">
      <c r="A247" s="1923" t="str">
        <v>10 months before</v>
      </c>
      <c r="B247" s="1919"/>
      <c r="C247" s="1919"/>
      <c r="D247" s="583">
        <f t="array" aca="1" ref="D247:O247" ca="1">B27:M27*Production!$D$15</f>
        <v>0</v>
      </c>
      <c r="E247" s="583">
        <f ca="1"/>
        <v>0</v>
      </c>
      <c r="F247" s="583">
        <f ca="1"/>
        <v>0</v>
      </c>
      <c r="G247" s="583">
        <f ca="1"/>
        <v>0</v>
      </c>
      <c r="H247" s="583">
        <f ca="1"/>
        <v>0</v>
      </c>
      <c r="I247" s="583">
        <f ca="1"/>
        <v>0</v>
      </c>
      <c r="J247" s="583">
        <f ca="1"/>
        <v>0</v>
      </c>
      <c r="K247" s="583">
        <f ca="1"/>
        <v>0</v>
      </c>
      <c r="L247" s="583">
        <f ca="1"/>
        <v>0</v>
      </c>
      <c r="M247" s="583">
        <f ca="1"/>
        <v>0</v>
      </c>
      <c r="N247" s="583">
        <f ca="1"/>
        <v>0</v>
      </c>
      <c r="O247" s="583">
        <f ca="1"/>
        <v>0</v>
      </c>
      <c r="P247" s="1919"/>
      <c r="Q247" s="1919"/>
      <c r="R247" s="1919"/>
      <c r="S247" s="1919"/>
      <c r="T247" s="1919"/>
      <c r="U247" s="1919"/>
      <c r="V247" s="1919"/>
      <c r="W247" s="1919"/>
      <c r="X247" s="1919"/>
      <c r="Y247" s="1934"/>
    </row>
    <row r="248" spans="1:25">
      <c r="A248" s="1923" t="str">
        <v>11 months before</v>
      </c>
      <c r="B248" s="1919"/>
      <c r="C248" s="583">
        <f t="array" aca="1" ref="C248:N248" ca="1">B27:M27*Production!$C$15</f>
        <v>0</v>
      </c>
      <c r="D248" s="583">
        <f ca="1"/>
        <v>0</v>
      </c>
      <c r="E248" s="583">
        <f ca="1"/>
        <v>0</v>
      </c>
      <c r="F248" s="583">
        <f ca="1"/>
        <v>0</v>
      </c>
      <c r="G248" s="583">
        <f ca="1"/>
        <v>0</v>
      </c>
      <c r="H248" s="583">
        <f ca="1"/>
        <v>0</v>
      </c>
      <c r="I248" s="583">
        <f ca="1"/>
        <v>0</v>
      </c>
      <c r="J248" s="583">
        <f ca="1"/>
        <v>0</v>
      </c>
      <c r="K248" s="583">
        <f ca="1"/>
        <v>0</v>
      </c>
      <c r="L248" s="583">
        <f ca="1"/>
        <v>0</v>
      </c>
      <c r="M248" s="583">
        <f ca="1"/>
        <v>0</v>
      </c>
      <c r="N248" s="583">
        <f ca="1"/>
        <v>0</v>
      </c>
      <c r="O248" s="1919"/>
      <c r="P248" s="1919"/>
      <c r="Q248" s="1919"/>
      <c r="R248" s="1919"/>
      <c r="S248" s="1919"/>
      <c r="T248" s="1919"/>
      <c r="U248" s="1919"/>
      <c r="V248" s="1919"/>
      <c r="W248" s="1919"/>
      <c r="X248" s="1919"/>
      <c r="Y248" s="1934"/>
    </row>
    <row r="249" spans="1:25" ht="13.5" thickBot="1">
      <c r="A249" s="1923" t="str">
        <v>12 months before</v>
      </c>
      <c r="B249" s="583">
        <f t="array" aca="1" ref="B249:M249" ca="1">B27:M27*Production!$B$15</f>
        <v>0</v>
      </c>
      <c r="C249" s="583">
        <f ca="1"/>
        <v>0</v>
      </c>
      <c r="D249" s="583">
        <f ca="1"/>
        <v>0</v>
      </c>
      <c r="E249" s="583">
        <f ca="1"/>
        <v>0</v>
      </c>
      <c r="F249" s="583">
        <f ca="1"/>
        <v>0</v>
      </c>
      <c r="G249" s="583">
        <f ca="1"/>
        <v>0</v>
      </c>
      <c r="H249" s="583">
        <f ca="1"/>
        <v>0</v>
      </c>
      <c r="I249" s="583">
        <f ca="1"/>
        <v>0</v>
      </c>
      <c r="J249" s="583">
        <f ca="1"/>
        <v>0</v>
      </c>
      <c r="K249" s="583">
        <f ca="1"/>
        <v>0</v>
      </c>
      <c r="L249" s="583">
        <f ca="1"/>
        <v>0</v>
      </c>
      <c r="M249" s="583">
        <f ca="1"/>
        <v>0</v>
      </c>
      <c r="N249" s="1919"/>
      <c r="O249" s="1919"/>
      <c r="P249" s="1919"/>
      <c r="Q249" s="1919"/>
      <c r="R249" s="1919"/>
      <c r="S249" s="1919"/>
      <c r="T249" s="1919"/>
      <c r="U249" s="1919"/>
      <c r="V249" s="1919"/>
      <c r="W249" s="1919"/>
      <c r="X249" s="1919"/>
      <c r="Y249" s="1934"/>
    </row>
    <row r="250" spans="1:25" ht="13.5" thickBot="1">
      <c r="A250" s="102" t="str">
        <f>"Totals DC "&amp;A$15</f>
        <v xml:space="preserve">Totals DC </v>
      </c>
      <c r="B250" s="587">
        <f t="shared" ref="B250:Y250" ca="1" si="18">SUM(B237:B249)</f>
        <v>0</v>
      </c>
      <c r="C250" s="587">
        <f t="shared" ca="1" si="18"/>
        <v>0</v>
      </c>
      <c r="D250" s="587">
        <f t="shared" ca="1" si="18"/>
        <v>0</v>
      </c>
      <c r="E250" s="587">
        <f t="shared" ca="1" si="18"/>
        <v>0</v>
      </c>
      <c r="F250" s="587">
        <f t="shared" ca="1" si="18"/>
        <v>0</v>
      </c>
      <c r="G250" s="587">
        <f t="shared" ca="1" si="18"/>
        <v>0</v>
      </c>
      <c r="H250" s="587">
        <f t="shared" ca="1" si="18"/>
        <v>0</v>
      </c>
      <c r="I250" s="587">
        <f t="shared" ca="1" si="18"/>
        <v>0</v>
      </c>
      <c r="J250" s="587">
        <f t="shared" ca="1" si="18"/>
        <v>0</v>
      </c>
      <c r="K250" s="587">
        <f t="shared" ca="1" si="18"/>
        <v>0</v>
      </c>
      <c r="L250" s="587">
        <f t="shared" ca="1" si="18"/>
        <v>0</v>
      </c>
      <c r="M250" s="587">
        <f t="shared" ca="1" si="18"/>
        <v>0</v>
      </c>
      <c r="N250" s="587">
        <f t="shared" ca="1" si="18"/>
        <v>0</v>
      </c>
      <c r="O250" s="587">
        <f t="shared" ca="1" si="18"/>
        <v>0</v>
      </c>
      <c r="P250" s="587">
        <f t="shared" ca="1" si="18"/>
        <v>0</v>
      </c>
      <c r="Q250" s="587">
        <f t="shared" ca="1" si="18"/>
        <v>0</v>
      </c>
      <c r="R250" s="587">
        <f t="shared" ca="1" si="18"/>
        <v>0</v>
      </c>
      <c r="S250" s="587">
        <f t="shared" ca="1" si="18"/>
        <v>0</v>
      </c>
      <c r="T250" s="587">
        <f t="shared" ca="1" si="18"/>
        <v>0</v>
      </c>
      <c r="U250" s="587">
        <f t="shared" ca="1" si="18"/>
        <v>0</v>
      </c>
      <c r="V250" s="587">
        <f t="shared" ca="1" si="18"/>
        <v>0</v>
      </c>
      <c r="W250" s="587">
        <f t="shared" ca="1" si="18"/>
        <v>0</v>
      </c>
      <c r="X250" s="587">
        <f t="shared" ca="1" si="18"/>
        <v>0</v>
      </c>
      <c r="Y250" s="1935">
        <f t="shared" ca="1" si="18"/>
        <v>0</v>
      </c>
    </row>
    <row r="251" spans="1:25" ht="13.5" thickBot="1">
      <c r="A251" s="102" t="str">
        <f>"Input "&amp;'Base Data'!$A$28&amp;" DC "&amp;$A$15</f>
        <v xml:space="preserve">Input VAT DC </v>
      </c>
      <c r="B251" s="587">
        <f t="array" aca="1" ref="B251:Y251" ca="1">$K$235*B250:Y250</f>
        <v>0</v>
      </c>
      <c r="C251" s="587">
        <f ca="1"/>
        <v>0</v>
      </c>
      <c r="D251" s="587">
        <f ca="1"/>
        <v>0</v>
      </c>
      <c r="E251" s="587">
        <f ca="1"/>
        <v>0</v>
      </c>
      <c r="F251" s="587">
        <f ca="1"/>
        <v>0</v>
      </c>
      <c r="G251" s="587">
        <f ca="1"/>
        <v>0</v>
      </c>
      <c r="H251" s="587">
        <f ca="1"/>
        <v>0</v>
      </c>
      <c r="I251" s="587">
        <f ca="1"/>
        <v>0</v>
      </c>
      <c r="J251" s="587">
        <f ca="1"/>
        <v>0</v>
      </c>
      <c r="K251" s="587">
        <f ca="1"/>
        <v>0</v>
      </c>
      <c r="L251" s="587">
        <f ca="1"/>
        <v>0</v>
      </c>
      <c r="M251" s="587">
        <f ca="1"/>
        <v>0</v>
      </c>
      <c r="N251" s="587">
        <f ca="1"/>
        <v>0</v>
      </c>
      <c r="O251" s="587">
        <f ca="1"/>
        <v>0</v>
      </c>
      <c r="P251" s="587">
        <f ca="1"/>
        <v>0</v>
      </c>
      <c r="Q251" s="587">
        <f ca="1"/>
        <v>0</v>
      </c>
      <c r="R251" s="587">
        <f ca="1"/>
        <v>0</v>
      </c>
      <c r="S251" s="587">
        <f ca="1"/>
        <v>0</v>
      </c>
      <c r="T251" s="587">
        <f ca="1"/>
        <v>0</v>
      </c>
      <c r="U251" s="587">
        <f ca="1"/>
        <v>0</v>
      </c>
      <c r="V251" s="587">
        <f ca="1"/>
        <v>0</v>
      </c>
      <c r="W251" s="587">
        <f ca="1"/>
        <v>0</v>
      </c>
      <c r="X251" s="587">
        <f ca="1"/>
        <v>0</v>
      </c>
      <c r="Y251" s="1935">
        <f ca="1"/>
        <v>0</v>
      </c>
    </row>
  </sheetData>
  <sheetProtection sheet="1" objects="1" scenarios="1"/>
  <phoneticPr fontId="7" type="noConversion"/>
  <printOptions horizontalCentered="1" verticalCentered="1"/>
  <pageMargins left="0.38" right="0.19685039370078741" top="0.53" bottom="0.71" header="0.51181102362204722" footer="0.39370078740157483"/>
  <pageSetup paperSize="9" scale="26" fitToHeight="2" orientation="landscape" horizontalDpi="300" verticalDpi="300" r:id="rId1"/>
  <headerFooter alignWithMargins="0">
    <oddFooter>&amp;C&amp;"Tahoma,Normal"&amp;10&amp;A</oddFooter>
  </headerFooter>
  <rowBreaks count="1" manualBreakCount="1">
    <brk id="73" max="16383" man="1"/>
  </row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54">
    <pageSetUpPr fitToPage="1"/>
  </sheetPr>
  <dimension ref="A1:O101"/>
  <sheetViews>
    <sheetView showGridLines="0" zoomScale="75" zoomScaleNormal="75" workbookViewId="0">
      <selection activeCell="F60" sqref="F60"/>
    </sheetView>
  </sheetViews>
  <sheetFormatPr baseColWidth="10" defaultColWidth="11" defaultRowHeight="12.75"/>
  <cols>
    <col min="1" max="1" width="24.5" style="230" customWidth="1"/>
    <col min="2" max="2" width="15.125" style="60" bestFit="1" customWidth="1"/>
    <col min="3" max="3" width="12" style="61" customWidth="1"/>
    <col min="4" max="4" width="9.75" style="61" customWidth="1"/>
    <col min="5" max="5" width="11.375" style="61" customWidth="1"/>
    <col min="6" max="6" width="9.625" style="61" customWidth="1"/>
    <col min="7" max="7" width="11" style="61"/>
    <col min="8" max="8" width="8.25" style="61" customWidth="1"/>
    <col min="9" max="9" width="11.5" style="61" customWidth="1"/>
    <col min="10" max="10" width="8.75" style="61" customWidth="1"/>
    <col min="11" max="16384" width="11" style="61"/>
  </cols>
  <sheetData>
    <row r="1" spans="1:10" ht="25.5">
      <c r="A1" s="36" t="s">
        <v>616</v>
      </c>
      <c r="G1" s="921"/>
      <c r="H1" s="921"/>
      <c r="J1" s="921"/>
    </row>
    <row r="2" spans="1:10" ht="25.5">
      <c r="A2" s="36" t="str">
        <f>'Base Data'!$B$9</f>
        <v>WWW, Ltd.</v>
      </c>
    </row>
    <row r="3" spans="1:10" ht="14.25" customHeight="1" thickBot="1">
      <c r="A3" s="59"/>
    </row>
    <row r="4" spans="1:10" s="922" customFormat="1" ht="19.5" hidden="1" customHeight="1">
      <c r="A4" s="2018" t="s">
        <v>617</v>
      </c>
      <c r="B4" s="2019" t="str">
        <f>Parameters!B77</f>
        <v>Year 0:   2026</v>
      </c>
      <c r="C4" s="2019" t="str">
        <f>Parameters!C77</f>
        <v>Year 1:   2027</v>
      </c>
      <c r="D4" s="2020"/>
      <c r="E4" s="2021" t="str">
        <f>Parameters!D77</f>
        <v>Year 2:   2028</v>
      </c>
      <c r="F4" s="2022"/>
      <c r="G4" s="2019" t="str">
        <f>Parameters!E77</f>
        <v>Year 3:   2029</v>
      </c>
      <c r="H4" s="2020"/>
      <c r="I4" s="2021" t="str">
        <f>Parameters!F77</f>
        <v>Year 4:   2030</v>
      </c>
      <c r="J4" s="2023"/>
    </row>
    <row r="5" spans="1:10" s="922" customFormat="1" ht="16.5" hidden="1" customHeight="1" thickBot="1">
      <c r="A5" s="2024" t="s">
        <v>618</v>
      </c>
      <c r="B5" s="927" t="s">
        <v>620</v>
      </c>
      <c r="C5" s="928" t="s">
        <v>620</v>
      </c>
      <c r="D5" s="929" t="s">
        <v>31</v>
      </c>
      <c r="E5" s="930" t="s">
        <v>620</v>
      </c>
      <c r="F5" s="931" t="s">
        <v>31</v>
      </c>
      <c r="G5" s="928" t="s">
        <v>620</v>
      </c>
      <c r="H5" s="929" t="s">
        <v>31</v>
      </c>
      <c r="I5" s="930" t="s">
        <v>620</v>
      </c>
      <c r="J5" s="2025" t="s">
        <v>31</v>
      </c>
    </row>
    <row r="6" spans="1:10" ht="15.75" hidden="1" customHeight="1">
      <c r="A6" s="2026" t="str">
        <f t="array" ref="A6:A13">productos</f>
        <v>product 1</v>
      </c>
      <c r="B6" s="2649">
        <f t="array" aca="1" ref="B6:B13" ca="1">'Sales Forecast 0'!$N5:$N12</f>
        <v>7199.9999999999991</v>
      </c>
      <c r="C6" s="2649">
        <f t="array" aca="1" ref="C6:C13" ca="1">'Sales Forecast 1'!$N5:$N12</f>
        <v>12000</v>
      </c>
      <c r="D6" s="923">
        <f t="array" aca="1" ref="D6:D13" ca="1">IF(B6:B13=0,"",(C6:C13-B6:B13)/B6:B13)</f>
        <v>0.66666666666666685</v>
      </c>
      <c r="E6" s="2652">
        <f t="array" aca="1" ref="E6:E13" ca="1">'Sales Forecast 2'!$N5:$N12</f>
        <v>12600</v>
      </c>
      <c r="F6" s="923">
        <f t="array" aca="1" ref="F6:F13" ca="1">IF(C6:C13=0,"",(E6:E13-C6:C13)/C6:C13)</f>
        <v>0.05</v>
      </c>
      <c r="G6" s="2649">
        <f t="array" aca="1" ref="G6:G13" ca="1">'Sales Forecast 3'!$N5:$N12</f>
        <v>13236</v>
      </c>
      <c r="H6" s="923">
        <f t="array" aca="1" ref="H6:H13" ca="1">IF(E6:E13=0,"",(G6:G13-E6:E13)/E6:E13)</f>
        <v>5.0476190476190473E-2</v>
      </c>
      <c r="I6" s="2655">
        <f t="array" aca="1" ref="I6:I13" ca="1">'Sales Forecast 4'!$N5:$N12</f>
        <v>13896</v>
      </c>
      <c r="J6" s="923">
        <f t="array" aca="1" ref="J6:J13" ca="1">IF(G6:G13=0,"",(I6:I13-G6:G13)/G6:G13)</f>
        <v>4.9864007252946513E-2</v>
      </c>
    </row>
    <row r="7" spans="1:10" hidden="1">
      <c r="A7" s="1480" t="str">
        <v/>
      </c>
      <c r="B7" s="2650">
        <f ca="1"/>
        <v>0</v>
      </c>
      <c r="C7" s="2650">
        <f ca="1"/>
        <v>0</v>
      </c>
      <c r="D7" s="924" t="str">
        <f ca="1"/>
        <v/>
      </c>
      <c r="E7" s="2653">
        <f ca="1"/>
        <v>0</v>
      </c>
      <c r="F7" s="924" t="str">
        <f ca="1"/>
        <v/>
      </c>
      <c r="G7" s="2650">
        <f ca="1"/>
        <v>0</v>
      </c>
      <c r="H7" s="924" t="str">
        <f ca="1"/>
        <v/>
      </c>
      <c r="I7" s="2656">
        <f ca="1"/>
        <v>0</v>
      </c>
      <c r="J7" s="924" t="str">
        <f ca="1"/>
        <v/>
      </c>
    </row>
    <row r="8" spans="1:10" hidden="1">
      <c r="A8" s="1480" t="str">
        <v/>
      </c>
      <c r="B8" s="2650">
        <f ca="1"/>
        <v>0</v>
      </c>
      <c r="C8" s="2650">
        <f ca="1"/>
        <v>0</v>
      </c>
      <c r="D8" s="924" t="str">
        <f ca="1"/>
        <v/>
      </c>
      <c r="E8" s="2653">
        <f ca="1"/>
        <v>0</v>
      </c>
      <c r="F8" s="924" t="str">
        <f ca="1"/>
        <v/>
      </c>
      <c r="G8" s="2650">
        <f ca="1"/>
        <v>0</v>
      </c>
      <c r="H8" s="924" t="str">
        <f ca="1"/>
        <v/>
      </c>
      <c r="I8" s="2656">
        <f ca="1"/>
        <v>0</v>
      </c>
      <c r="J8" s="924" t="str">
        <f ca="1"/>
        <v/>
      </c>
    </row>
    <row r="9" spans="1:10" hidden="1">
      <c r="A9" s="1480" t="str">
        <v/>
      </c>
      <c r="B9" s="2650">
        <f ca="1"/>
        <v>0</v>
      </c>
      <c r="C9" s="2650">
        <f ca="1"/>
        <v>0</v>
      </c>
      <c r="D9" s="924" t="str">
        <f ca="1"/>
        <v/>
      </c>
      <c r="E9" s="2653">
        <f ca="1"/>
        <v>0</v>
      </c>
      <c r="F9" s="924" t="str">
        <f ca="1"/>
        <v/>
      </c>
      <c r="G9" s="2650">
        <f ca="1"/>
        <v>0</v>
      </c>
      <c r="H9" s="924" t="str">
        <f ca="1"/>
        <v/>
      </c>
      <c r="I9" s="2656">
        <f ca="1"/>
        <v>0</v>
      </c>
      <c r="J9" s="924" t="str">
        <f ca="1"/>
        <v/>
      </c>
    </row>
    <row r="10" spans="1:10" hidden="1">
      <c r="A10" s="1480" t="str">
        <v/>
      </c>
      <c r="B10" s="2650">
        <f ca="1"/>
        <v>0</v>
      </c>
      <c r="C10" s="2650">
        <f ca="1"/>
        <v>0</v>
      </c>
      <c r="D10" s="924" t="str">
        <f ca="1"/>
        <v/>
      </c>
      <c r="E10" s="2653">
        <f ca="1"/>
        <v>0</v>
      </c>
      <c r="F10" s="924" t="str">
        <f ca="1"/>
        <v/>
      </c>
      <c r="G10" s="2650">
        <f ca="1"/>
        <v>0</v>
      </c>
      <c r="H10" s="924" t="str">
        <f ca="1"/>
        <v/>
      </c>
      <c r="I10" s="2656">
        <f ca="1"/>
        <v>0</v>
      </c>
      <c r="J10" s="924" t="str">
        <f ca="1"/>
        <v/>
      </c>
    </row>
    <row r="11" spans="1:10" hidden="1">
      <c r="A11" s="1480" t="str">
        <v/>
      </c>
      <c r="B11" s="2650">
        <f ca="1"/>
        <v>0</v>
      </c>
      <c r="C11" s="2650">
        <f ca="1"/>
        <v>0</v>
      </c>
      <c r="D11" s="924" t="str">
        <f ca="1"/>
        <v/>
      </c>
      <c r="E11" s="2653">
        <f ca="1"/>
        <v>0</v>
      </c>
      <c r="F11" s="924" t="str">
        <f ca="1"/>
        <v/>
      </c>
      <c r="G11" s="2650">
        <f ca="1"/>
        <v>0</v>
      </c>
      <c r="H11" s="924" t="str">
        <f ca="1"/>
        <v/>
      </c>
      <c r="I11" s="2656">
        <f ca="1"/>
        <v>0</v>
      </c>
      <c r="J11" s="924" t="str">
        <f ca="1"/>
        <v/>
      </c>
    </row>
    <row r="12" spans="1:10" hidden="1">
      <c r="A12" s="1480" t="str">
        <v/>
      </c>
      <c r="B12" s="2650">
        <f ca="1"/>
        <v>0</v>
      </c>
      <c r="C12" s="2650">
        <f ca="1"/>
        <v>0</v>
      </c>
      <c r="D12" s="924" t="str">
        <f ca="1"/>
        <v/>
      </c>
      <c r="E12" s="2653">
        <f ca="1"/>
        <v>0</v>
      </c>
      <c r="F12" s="924" t="str">
        <f ca="1"/>
        <v/>
      </c>
      <c r="G12" s="2650">
        <f ca="1"/>
        <v>0</v>
      </c>
      <c r="H12" s="924" t="str">
        <f ca="1"/>
        <v/>
      </c>
      <c r="I12" s="2656">
        <f ca="1"/>
        <v>0</v>
      </c>
      <c r="J12" s="924" t="str">
        <f ca="1"/>
        <v/>
      </c>
    </row>
    <row r="13" spans="1:10" ht="13.5" hidden="1" thickBot="1">
      <c r="A13" s="1705" t="str">
        <v/>
      </c>
      <c r="B13" s="2651">
        <f ca="1"/>
        <v>0</v>
      </c>
      <c r="C13" s="2651">
        <f ca="1"/>
        <v>0</v>
      </c>
      <c r="D13" s="2027" t="str">
        <f ca="1"/>
        <v/>
      </c>
      <c r="E13" s="2654">
        <f ca="1"/>
        <v>0</v>
      </c>
      <c r="F13" s="2027" t="str">
        <f ca="1"/>
        <v/>
      </c>
      <c r="G13" s="2651">
        <f ca="1"/>
        <v>0</v>
      </c>
      <c r="H13" s="2027" t="str">
        <f ca="1"/>
        <v/>
      </c>
      <c r="I13" s="2657">
        <f ca="1"/>
        <v>0</v>
      </c>
      <c r="J13" s="2027" t="str">
        <f ca="1"/>
        <v/>
      </c>
    </row>
    <row r="14" spans="1:10" ht="15" hidden="1">
      <c r="A14" s="71"/>
    </row>
    <row r="15" spans="1:10" ht="15" hidden="1">
      <c r="A15" s="211"/>
    </row>
    <row r="16" spans="1:10" ht="15.75" hidden="1" thickBot="1">
      <c r="A16" s="211"/>
    </row>
    <row r="17" spans="1:10" s="842" customFormat="1" ht="20.25" customHeight="1">
      <c r="A17" s="2028" t="s">
        <v>619</v>
      </c>
      <c r="B17" s="2019" t="str">
        <f>B$4</f>
        <v>Year 0:   2026</v>
      </c>
      <c r="C17" s="2019" t="str">
        <f>C$4</f>
        <v>Year 1:   2027</v>
      </c>
      <c r="D17" s="2020"/>
      <c r="E17" s="2021" t="str">
        <f>E$4</f>
        <v>Year 2:   2028</v>
      </c>
      <c r="F17" s="2022"/>
      <c r="G17" s="2019" t="str">
        <f>G$4</f>
        <v>Year 3:   2029</v>
      </c>
      <c r="H17" s="2020"/>
      <c r="I17" s="2021" t="str">
        <f>I$4</f>
        <v>Year 4:   2030</v>
      </c>
      <c r="J17" s="2023"/>
    </row>
    <row r="18" spans="1:10" s="842" customFormat="1" ht="16.5" customHeight="1" thickBot="1">
      <c r="A18" s="2029" t="str">
        <f>"( "&amp;Moneda&amp;" )"</f>
        <v>( Euros )</v>
      </c>
      <c r="B18" s="927" t="s">
        <v>617</v>
      </c>
      <c r="C18" s="928" t="s">
        <v>617</v>
      </c>
      <c r="D18" s="929" t="s">
        <v>31</v>
      </c>
      <c r="E18" s="930" t="s">
        <v>617</v>
      </c>
      <c r="F18" s="931" t="s">
        <v>31</v>
      </c>
      <c r="G18" s="928" t="s">
        <v>617</v>
      </c>
      <c r="H18" s="929" t="s">
        <v>31</v>
      </c>
      <c r="I18" s="930" t="s">
        <v>617</v>
      </c>
      <c r="J18" s="2025" t="s">
        <v>31</v>
      </c>
    </row>
    <row r="19" spans="1:10">
      <c r="A19" s="2026" t="str">
        <f t="array" ref="A19:A26">productos</f>
        <v>product 1</v>
      </c>
      <c r="B19" s="2661">
        <f t="array" aca="1" ref="B19:B26" ca="1">'Sales Forecast 0'!$N17:$N24</f>
        <v>7199.9999999999991</v>
      </c>
      <c r="C19" s="2649">
        <f t="array" aca="1" ref="C19:C26" ca="1">'Sales Forecast 1'!$N17:$N24</f>
        <v>12360</v>
      </c>
      <c r="D19" s="923">
        <f t="array" aca="1" ref="D19:D27" ca="1">IF(B19:B27=0,"",(C19:C27-B19:B27)/B19:B27)</f>
        <v>0.7166666666666669</v>
      </c>
      <c r="E19" s="2652">
        <f t="array" aca="1" ref="E19:E26" ca="1">'Sales Forecast 2'!$N17:$N24</f>
        <v>13367.339999999998</v>
      </c>
      <c r="F19" s="923">
        <f t="array" aca="1" ref="F19:F27" ca="1">IF(C19:C27=0,"",(E19:E27-C19:C27)/C19:C27)</f>
        <v>8.1499999999999864E-2</v>
      </c>
      <c r="G19" s="2649">
        <f t="array" aca="1" ref="G19:G26" ca="1">'Sales Forecast 3'!$N17:$N24</f>
        <v>14463.334572</v>
      </c>
      <c r="H19" s="923">
        <f t="array" aca="1" ref="H19:H27" ca="1">IF(E19:E27=0,"",(G19:G27-E19:E27)/E19:E27)</f>
        <v>8.1990476190476308E-2</v>
      </c>
      <c r="I19" s="2655">
        <f t="array" aca="1" ref="I19:I26" ca="1">'Sales Forecast 4'!$N17:$N24</f>
        <v>15640.070423759998</v>
      </c>
      <c r="J19" s="923">
        <f t="array" aca="1" ref="J19:J27" ca="1">IF(G19:G27=0,"",(I19:I27-G19:G27)/G19:G27)</f>
        <v>8.1359927470534818E-2</v>
      </c>
    </row>
    <row r="20" spans="1:10">
      <c r="A20" s="1480" t="str">
        <v/>
      </c>
      <c r="B20" s="2662">
        <f ca="1"/>
        <v>0</v>
      </c>
      <c r="C20" s="2650">
        <f ca="1"/>
        <v>0</v>
      </c>
      <c r="D20" s="924" t="str">
        <f ca="1"/>
        <v/>
      </c>
      <c r="E20" s="2653">
        <f ca="1"/>
        <v>0</v>
      </c>
      <c r="F20" s="924" t="str">
        <f ca="1"/>
        <v/>
      </c>
      <c r="G20" s="2650">
        <f ca="1"/>
        <v>0</v>
      </c>
      <c r="H20" s="924" t="str">
        <f ca="1"/>
        <v/>
      </c>
      <c r="I20" s="2656">
        <f ca="1"/>
        <v>0</v>
      </c>
      <c r="J20" s="924" t="str">
        <f ca="1"/>
        <v/>
      </c>
    </row>
    <row r="21" spans="1:10">
      <c r="A21" s="1480" t="str">
        <v/>
      </c>
      <c r="B21" s="2662">
        <f ca="1"/>
        <v>0</v>
      </c>
      <c r="C21" s="2650">
        <f ca="1"/>
        <v>0</v>
      </c>
      <c r="D21" s="924" t="str">
        <f ca="1"/>
        <v/>
      </c>
      <c r="E21" s="2653">
        <f ca="1"/>
        <v>0</v>
      </c>
      <c r="F21" s="924" t="str">
        <f ca="1"/>
        <v/>
      </c>
      <c r="G21" s="2650">
        <f ca="1"/>
        <v>0</v>
      </c>
      <c r="H21" s="924" t="str">
        <f ca="1"/>
        <v/>
      </c>
      <c r="I21" s="2656">
        <f ca="1"/>
        <v>0</v>
      </c>
      <c r="J21" s="924" t="str">
        <f ca="1"/>
        <v/>
      </c>
    </row>
    <row r="22" spans="1:10">
      <c r="A22" s="1480" t="str">
        <v/>
      </c>
      <c r="B22" s="2662">
        <f ca="1"/>
        <v>0</v>
      </c>
      <c r="C22" s="2650">
        <f ca="1"/>
        <v>0</v>
      </c>
      <c r="D22" s="924" t="str">
        <f ca="1"/>
        <v/>
      </c>
      <c r="E22" s="2653">
        <f ca="1"/>
        <v>0</v>
      </c>
      <c r="F22" s="924" t="str">
        <f ca="1"/>
        <v/>
      </c>
      <c r="G22" s="2650">
        <f ca="1"/>
        <v>0</v>
      </c>
      <c r="H22" s="924" t="str">
        <f ca="1"/>
        <v/>
      </c>
      <c r="I22" s="2656">
        <f ca="1"/>
        <v>0</v>
      </c>
      <c r="J22" s="924" t="str">
        <f ca="1"/>
        <v/>
      </c>
    </row>
    <row r="23" spans="1:10">
      <c r="A23" s="1480" t="str">
        <v/>
      </c>
      <c r="B23" s="2662">
        <f ca="1"/>
        <v>0</v>
      </c>
      <c r="C23" s="2650">
        <f ca="1"/>
        <v>0</v>
      </c>
      <c r="D23" s="924" t="str">
        <f ca="1"/>
        <v/>
      </c>
      <c r="E23" s="2653">
        <f ca="1"/>
        <v>0</v>
      </c>
      <c r="F23" s="924" t="str">
        <f ca="1"/>
        <v/>
      </c>
      <c r="G23" s="2650">
        <f ca="1"/>
        <v>0</v>
      </c>
      <c r="H23" s="924" t="str">
        <f ca="1"/>
        <v/>
      </c>
      <c r="I23" s="2656">
        <f ca="1"/>
        <v>0</v>
      </c>
      <c r="J23" s="924" t="str">
        <f ca="1"/>
        <v/>
      </c>
    </row>
    <row r="24" spans="1:10">
      <c r="A24" s="1480" t="str">
        <v/>
      </c>
      <c r="B24" s="2662">
        <f ca="1"/>
        <v>0</v>
      </c>
      <c r="C24" s="2650">
        <f ca="1"/>
        <v>0</v>
      </c>
      <c r="D24" s="924" t="str">
        <f ca="1"/>
        <v/>
      </c>
      <c r="E24" s="2653">
        <f ca="1"/>
        <v>0</v>
      </c>
      <c r="F24" s="924" t="str">
        <f ca="1"/>
        <v/>
      </c>
      <c r="G24" s="2650">
        <f ca="1"/>
        <v>0</v>
      </c>
      <c r="H24" s="924" t="str">
        <f ca="1"/>
        <v/>
      </c>
      <c r="I24" s="2656">
        <f ca="1"/>
        <v>0</v>
      </c>
      <c r="J24" s="924" t="str">
        <f ca="1"/>
        <v/>
      </c>
    </row>
    <row r="25" spans="1:10">
      <c r="A25" s="1480" t="str">
        <v/>
      </c>
      <c r="B25" s="2662">
        <f ca="1"/>
        <v>0</v>
      </c>
      <c r="C25" s="2650">
        <f ca="1"/>
        <v>0</v>
      </c>
      <c r="D25" s="924" t="str">
        <f ca="1"/>
        <v/>
      </c>
      <c r="E25" s="2653">
        <f ca="1"/>
        <v>0</v>
      </c>
      <c r="F25" s="924" t="str">
        <f ca="1"/>
        <v/>
      </c>
      <c r="G25" s="2650">
        <f ca="1"/>
        <v>0</v>
      </c>
      <c r="H25" s="924" t="str">
        <f ca="1"/>
        <v/>
      </c>
      <c r="I25" s="2656">
        <f ca="1"/>
        <v>0</v>
      </c>
      <c r="J25" s="924" t="str">
        <f ca="1"/>
        <v/>
      </c>
    </row>
    <row r="26" spans="1:10" ht="13.5" thickBot="1">
      <c r="A26" s="1481" t="str">
        <v/>
      </c>
      <c r="B26" s="2663">
        <f ca="1"/>
        <v>0</v>
      </c>
      <c r="C26" s="2659">
        <f ca="1"/>
        <v>0</v>
      </c>
      <c r="D26" s="2027" t="str">
        <f ca="1"/>
        <v/>
      </c>
      <c r="E26" s="2660">
        <f ca="1"/>
        <v>0</v>
      </c>
      <c r="F26" s="2027" t="str">
        <f ca="1"/>
        <v/>
      </c>
      <c r="G26" s="2659">
        <f ca="1"/>
        <v>0</v>
      </c>
      <c r="H26" s="2027" t="str">
        <f ca="1"/>
        <v/>
      </c>
      <c r="I26" s="2658">
        <f ca="1"/>
        <v>0</v>
      </c>
      <c r="J26" s="2027" t="str">
        <f ca="1"/>
        <v/>
      </c>
    </row>
    <row r="27" spans="1:10" s="926" customFormat="1" ht="20.25" customHeight="1" thickBot="1">
      <c r="A27" s="2036" t="s">
        <v>624</v>
      </c>
      <c r="B27" s="2030">
        <f ca="1">B19+B20+B21+B22+B23+B24+B25+B26</f>
        <v>7199.9999999999991</v>
      </c>
      <c r="C27" s="2031">
        <f ca="1">C19+C20+C21+C22+C23+C24+C25+C26</f>
        <v>12360</v>
      </c>
      <c r="D27" s="2032">
        <f ca="1"/>
        <v>0.7166666666666669</v>
      </c>
      <c r="E27" s="2033">
        <f ca="1">E19+E20+E21+E22+E23+E24+E25+E26</f>
        <v>13367.339999999998</v>
      </c>
      <c r="F27" s="2034">
        <f ca="1"/>
        <v>8.1499999999999864E-2</v>
      </c>
      <c r="G27" s="2031">
        <f ca="1">G19+G20+G21+G22+G23+G24+G25+G26</f>
        <v>14463.334572</v>
      </c>
      <c r="H27" s="2032">
        <f ca="1"/>
        <v>8.1990476190476308E-2</v>
      </c>
      <c r="I27" s="2035">
        <f ca="1">I19+I20+I21+I22+I23+I24+I25+I26</f>
        <v>15640.070423759998</v>
      </c>
      <c r="J27" s="2032">
        <f ca="1"/>
        <v>8.1359927470534818E-2</v>
      </c>
    </row>
    <row r="28" spans="1:10" ht="15">
      <c r="A28" s="211"/>
    </row>
    <row r="29" spans="1:10" ht="15">
      <c r="A29" s="211"/>
    </row>
    <row r="30" spans="1:10" ht="25.5">
      <c r="A30" s="36" t="s">
        <v>621</v>
      </c>
      <c r="I30" s="921"/>
    </row>
    <row r="31" spans="1:10" ht="26.25" thickBot="1">
      <c r="A31" s="36" t="str">
        <f>'Base Data'!$B$9</f>
        <v>WWW, Ltd.</v>
      </c>
    </row>
    <row r="32" spans="1:10" s="842" customFormat="1" ht="23.25" customHeight="1">
      <c r="A32" s="2028" t="s">
        <v>625</v>
      </c>
      <c r="B32" s="2019" t="str">
        <f>B$4</f>
        <v>Year 0:   2026</v>
      </c>
      <c r="C32" s="2019" t="str">
        <f>C$4</f>
        <v>Year 1:   2027</v>
      </c>
      <c r="D32" s="2020"/>
      <c r="E32" s="2021" t="str">
        <f>E$4</f>
        <v>Year 2:   2028</v>
      </c>
      <c r="F32" s="2022"/>
      <c r="G32" s="2019" t="str">
        <f>G$4</f>
        <v>Year 3:   2029</v>
      </c>
      <c r="H32" s="2020"/>
      <c r="I32" s="2021" t="str">
        <f>I$4</f>
        <v>Year 4:   2030</v>
      </c>
      <c r="J32" s="2023"/>
    </row>
    <row r="33" spans="1:10" s="842" customFormat="1" ht="19.5" customHeight="1" thickBot="1">
      <c r="A33" s="2029" t="str">
        <f>"( "&amp;Moneda&amp;" )"</f>
        <v>( Euros )</v>
      </c>
      <c r="B33" s="927" t="s">
        <v>622</v>
      </c>
      <c r="C33" s="928" t="s">
        <v>622</v>
      </c>
      <c r="D33" s="929" t="s">
        <v>31</v>
      </c>
      <c r="E33" s="930" t="s">
        <v>622</v>
      </c>
      <c r="F33" s="931" t="s">
        <v>31</v>
      </c>
      <c r="G33" s="928" t="s">
        <v>622</v>
      </c>
      <c r="H33" s="929" t="s">
        <v>31</v>
      </c>
      <c r="I33" s="930" t="s">
        <v>622</v>
      </c>
      <c r="J33" s="2025" t="s">
        <v>31</v>
      </c>
    </row>
    <row r="34" spans="1:10">
      <c r="A34" s="2026" t="str">
        <f t="array" ref="A34:A41">productos</f>
        <v>product 1</v>
      </c>
      <c r="B34" s="2661">
        <f t="array" aca="1" ref="B34:B41" ca="1">'DC Distr 0'!$N20:$N27</f>
        <v>720</v>
      </c>
      <c r="C34" s="2649">
        <f t="array" aca="1" ref="C34:C41" ca="1">'DC Distr 1'!$N20:$N27</f>
        <v>1236.0000000000002</v>
      </c>
      <c r="D34" s="923">
        <f t="array" aca="1" ref="D34:D42" ca="1">IF(B34:B42=0,"",(C34:C42-B34:B42)/B34:B42)</f>
        <v>0.71666666666666701</v>
      </c>
      <c r="E34" s="2652">
        <f t="array" aca="1" ref="E34:E41" ca="1">'DC Distr 2'!$N20:$N27</f>
        <v>1336.7340000000004</v>
      </c>
      <c r="F34" s="923">
        <f t="array" aca="1" ref="F34:F42" ca="1">IF(C34:C42=0,"",(E34:E42-C34:C42)/C34:C42)</f>
        <v>8.1500000000000114E-2</v>
      </c>
      <c r="G34" s="2649">
        <f t="array" aca="1" ref="G34:G41" ca="1">'DC Distr 3'!$N20:$N27</f>
        <v>1446.3334571999997</v>
      </c>
      <c r="H34" s="923">
        <f t="array" aca="1" ref="H34:H42" ca="1">IF(E34:E42=0,"",(G34:G42-E34:E42)/E34:E42)</f>
        <v>8.1990476190475628E-2</v>
      </c>
      <c r="I34" s="2655">
        <f t="array" aca="1" ref="I34:I41" ca="1">'DC Distr 4'!$N20:$N27</f>
        <v>1564.0070423760001</v>
      </c>
      <c r="J34" s="923">
        <f t="array" aca="1" ref="J34:J42" ca="1">IF(G34:G42=0,"",(I34:I42-G34:G42)/G34:G42)</f>
        <v>8.1359927470535207E-2</v>
      </c>
    </row>
    <row r="35" spans="1:10">
      <c r="A35" s="1480" t="str">
        <v/>
      </c>
      <c r="B35" s="2662">
        <f ca="1"/>
        <v>0</v>
      </c>
      <c r="C35" s="2650">
        <f ca="1"/>
        <v>0</v>
      </c>
      <c r="D35" s="924" t="str">
        <f ca="1"/>
        <v/>
      </c>
      <c r="E35" s="2653">
        <f ca="1"/>
        <v>0</v>
      </c>
      <c r="F35" s="924" t="str">
        <f ca="1"/>
        <v/>
      </c>
      <c r="G35" s="2650">
        <f ca="1"/>
        <v>0</v>
      </c>
      <c r="H35" s="924" t="str">
        <f ca="1"/>
        <v/>
      </c>
      <c r="I35" s="2656">
        <f ca="1"/>
        <v>0</v>
      </c>
      <c r="J35" s="924" t="str">
        <f ca="1"/>
        <v/>
      </c>
    </row>
    <row r="36" spans="1:10">
      <c r="A36" s="1480" t="str">
        <v/>
      </c>
      <c r="B36" s="2662">
        <f ca="1"/>
        <v>0</v>
      </c>
      <c r="C36" s="2650">
        <f ca="1"/>
        <v>0</v>
      </c>
      <c r="D36" s="924" t="str">
        <f ca="1"/>
        <v/>
      </c>
      <c r="E36" s="2653">
        <f ca="1"/>
        <v>0</v>
      </c>
      <c r="F36" s="924" t="str">
        <f ca="1"/>
        <v/>
      </c>
      <c r="G36" s="2650">
        <f ca="1"/>
        <v>0</v>
      </c>
      <c r="H36" s="924" t="str">
        <f ca="1"/>
        <v/>
      </c>
      <c r="I36" s="2656">
        <f ca="1"/>
        <v>0</v>
      </c>
      <c r="J36" s="924" t="str">
        <f ca="1"/>
        <v/>
      </c>
    </row>
    <row r="37" spans="1:10">
      <c r="A37" s="1480" t="str">
        <v/>
      </c>
      <c r="B37" s="2662">
        <f ca="1"/>
        <v>0</v>
      </c>
      <c r="C37" s="2650">
        <f ca="1"/>
        <v>0</v>
      </c>
      <c r="D37" s="924" t="str">
        <f ca="1"/>
        <v/>
      </c>
      <c r="E37" s="2653">
        <f ca="1"/>
        <v>0</v>
      </c>
      <c r="F37" s="924" t="str">
        <f ca="1"/>
        <v/>
      </c>
      <c r="G37" s="2650">
        <f ca="1"/>
        <v>0</v>
      </c>
      <c r="H37" s="924" t="str">
        <f ca="1"/>
        <v/>
      </c>
      <c r="I37" s="2656">
        <f ca="1"/>
        <v>0</v>
      </c>
      <c r="J37" s="924" t="str">
        <f ca="1"/>
        <v/>
      </c>
    </row>
    <row r="38" spans="1:10">
      <c r="A38" s="1480" t="str">
        <v/>
      </c>
      <c r="B38" s="2662">
        <f ca="1"/>
        <v>0</v>
      </c>
      <c r="C38" s="2650">
        <f ca="1"/>
        <v>0</v>
      </c>
      <c r="D38" s="924" t="str">
        <f ca="1"/>
        <v/>
      </c>
      <c r="E38" s="2653">
        <f ca="1"/>
        <v>0</v>
      </c>
      <c r="F38" s="924" t="str">
        <f ca="1"/>
        <v/>
      </c>
      <c r="G38" s="2650">
        <f ca="1"/>
        <v>0</v>
      </c>
      <c r="H38" s="924" t="str">
        <f ca="1"/>
        <v/>
      </c>
      <c r="I38" s="2656">
        <f ca="1"/>
        <v>0</v>
      </c>
      <c r="J38" s="924" t="str">
        <f ca="1"/>
        <v/>
      </c>
    </row>
    <row r="39" spans="1:10">
      <c r="A39" s="1480" t="str">
        <v/>
      </c>
      <c r="B39" s="2662">
        <f ca="1"/>
        <v>0</v>
      </c>
      <c r="C39" s="2650">
        <f ca="1"/>
        <v>0</v>
      </c>
      <c r="D39" s="924" t="str">
        <f ca="1"/>
        <v/>
      </c>
      <c r="E39" s="2653">
        <f ca="1"/>
        <v>0</v>
      </c>
      <c r="F39" s="924" t="str">
        <f ca="1"/>
        <v/>
      </c>
      <c r="G39" s="2650">
        <f ca="1"/>
        <v>0</v>
      </c>
      <c r="H39" s="924" t="str">
        <f ca="1"/>
        <v/>
      </c>
      <c r="I39" s="2656">
        <f ca="1"/>
        <v>0</v>
      </c>
      <c r="J39" s="924" t="str">
        <f ca="1"/>
        <v/>
      </c>
    </row>
    <row r="40" spans="1:10">
      <c r="A40" s="1480" t="str">
        <v/>
      </c>
      <c r="B40" s="2662">
        <f ca="1"/>
        <v>0</v>
      </c>
      <c r="C40" s="2650">
        <f ca="1"/>
        <v>0</v>
      </c>
      <c r="D40" s="924" t="str">
        <f ca="1"/>
        <v/>
      </c>
      <c r="E40" s="2653">
        <f ca="1"/>
        <v>0</v>
      </c>
      <c r="F40" s="924" t="str">
        <f ca="1"/>
        <v/>
      </c>
      <c r="G40" s="2650">
        <f ca="1"/>
        <v>0</v>
      </c>
      <c r="H40" s="924" t="str">
        <f ca="1"/>
        <v/>
      </c>
      <c r="I40" s="2656">
        <f ca="1"/>
        <v>0</v>
      </c>
      <c r="J40" s="924" t="str">
        <f ca="1"/>
        <v/>
      </c>
    </row>
    <row r="41" spans="1:10" ht="13.5" thickBot="1">
      <c r="A41" s="1481" t="str">
        <v/>
      </c>
      <c r="B41" s="2663">
        <f ca="1"/>
        <v>0</v>
      </c>
      <c r="C41" s="2659">
        <f ca="1"/>
        <v>0</v>
      </c>
      <c r="D41" s="2027" t="str">
        <f ca="1"/>
        <v/>
      </c>
      <c r="E41" s="2660">
        <f ca="1"/>
        <v>0</v>
      </c>
      <c r="F41" s="2027" t="str">
        <f ca="1"/>
        <v/>
      </c>
      <c r="G41" s="2659">
        <f ca="1"/>
        <v>0</v>
      </c>
      <c r="H41" s="2027" t="str">
        <f ca="1"/>
        <v/>
      </c>
      <c r="I41" s="2658">
        <f ca="1"/>
        <v>0</v>
      </c>
      <c r="J41" s="2027" t="str">
        <f ca="1"/>
        <v/>
      </c>
    </row>
    <row r="42" spans="1:10" s="926" customFormat="1" ht="18.75" customHeight="1" thickBot="1">
      <c r="A42" s="2036" t="s">
        <v>624</v>
      </c>
      <c r="B42" s="2030">
        <f ca="1">SUM(B34:B41)</f>
        <v>720</v>
      </c>
      <c r="C42" s="2031">
        <f ca="1">SUM(C34:C41)</f>
        <v>1236.0000000000002</v>
      </c>
      <c r="D42" s="2032">
        <f ca="1"/>
        <v>0.71666666666666701</v>
      </c>
      <c r="E42" s="2033">
        <f ca="1">SUM(E34:E41)</f>
        <v>1336.7340000000004</v>
      </c>
      <c r="F42" s="2034">
        <f ca="1"/>
        <v>8.1500000000000114E-2</v>
      </c>
      <c r="G42" s="2031">
        <f ca="1">SUM(G34:G41)</f>
        <v>1446.3334571999997</v>
      </c>
      <c r="H42" s="2032">
        <f ca="1"/>
        <v>8.1990476190475628E-2</v>
      </c>
      <c r="I42" s="2035">
        <f ca="1">SUM(I34:I41)</f>
        <v>1564.0070423760001</v>
      </c>
      <c r="J42" s="2032">
        <f ca="1"/>
        <v>8.1359927470535207E-2</v>
      </c>
    </row>
    <row r="43" spans="1:10" s="230" customFormat="1">
      <c r="A43" s="60"/>
      <c r="B43" s="60"/>
    </row>
    <row r="44" spans="1:10" s="230" customFormat="1">
      <c r="A44" s="60"/>
      <c r="B44" s="60"/>
    </row>
    <row r="45" spans="1:10" s="230" customFormat="1" ht="25.5">
      <c r="A45" s="36" t="s">
        <v>1083</v>
      </c>
      <c r="B45" s="60"/>
      <c r="C45" s="61"/>
      <c r="D45" s="61"/>
      <c r="E45" s="61"/>
      <c r="F45" s="61"/>
      <c r="G45" s="61"/>
      <c r="H45" s="61"/>
      <c r="I45" s="921"/>
      <c r="J45" s="61"/>
    </row>
    <row r="46" spans="1:10" s="230" customFormat="1" ht="26.25" thickBot="1">
      <c r="A46" s="36" t="str">
        <f>'Base Data'!$B$9</f>
        <v>WWW, Ltd.</v>
      </c>
      <c r="B46" s="60"/>
      <c r="C46" s="61"/>
      <c r="D46" s="61"/>
      <c r="E46" s="61"/>
      <c r="F46" s="61"/>
      <c r="G46" s="61"/>
      <c r="H46" s="61"/>
      <c r="I46" s="61"/>
      <c r="J46" s="61"/>
    </row>
    <row r="47" spans="1:10" s="230" customFormat="1" ht="15">
      <c r="A47" s="2028" t="s">
        <v>1082</v>
      </c>
      <c r="B47" s="2019" t="str">
        <f>B$4</f>
        <v>Year 0:   2026</v>
      </c>
      <c r="C47" s="2019" t="str">
        <f>C$4</f>
        <v>Year 1:   2027</v>
      </c>
      <c r="D47" s="2020"/>
      <c r="E47" s="2021" t="str">
        <f>E$4</f>
        <v>Year 2:   2028</v>
      </c>
      <c r="F47" s="2022"/>
      <c r="G47" s="2019" t="str">
        <f>G$4</f>
        <v>Year 3:   2029</v>
      </c>
      <c r="H47" s="2020"/>
      <c r="I47" s="2021" t="str">
        <f>I$4</f>
        <v>Year 4:   2030</v>
      </c>
      <c r="J47" s="2023"/>
    </row>
    <row r="48" spans="1:10" s="230" customFormat="1" ht="15.75" thickBot="1">
      <c r="A48" s="2029" t="str">
        <f>"( "&amp;Moneda&amp;" )"</f>
        <v>( Euros )</v>
      </c>
      <c r="B48" s="927" t="s">
        <v>1084</v>
      </c>
      <c r="C48" s="928" t="s">
        <v>1084</v>
      </c>
      <c r="D48" s="929" t="s">
        <v>31</v>
      </c>
      <c r="E48" s="930" t="s">
        <v>1084</v>
      </c>
      <c r="F48" s="931" t="s">
        <v>31</v>
      </c>
      <c r="G48" s="928" t="s">
        <v>1084</v>
      </c>
      <c r="H48" s="929" t="s">
        <v>31</v>
      </c>
      <c r="I48" s="930" t="s">
        <v>1084</v>
      </c>
      <c r="J48" s="2025" t="s">
        <v>31</v>
      </c>
    </row>
    <row r="49" spans="1:10" s="230" customFormat="1">
      <c r="A49" s="2026" t="str">
        <f t="array" ref="A49:A56">productos</f>
        <v>product 1</v>
      </c>
      <c r="B49" s="2661">
        <f t="array" aca="1" ref="B49:B56" ca="1">B19:B26-B34:B41</f>
        <v>6479.9999999999991</v>
      </c>
      <c r="C49" s="2661">
        <f t="array" aca="1" ref="C49:C56" ca="1">C19:C26-C34:C41</f>
        <v>11124</v>
      </c>
      <c r="D49" s="923">
        <f t="array" aca="1" ref="D49:D57" ca="1">IF(B49:B57=0,"",(C49:C57-B49:B57)/B49:B57)</f>
        <v>0.7166666666666669</v>
      </c>
      <c r="E49" s="2661">
        <f t="array" aca="1" ref="E49:E56" ca="1">E19:E26-E34:E41</f>
        <v>12030.605999999998</v>
      </c>
      <c r="F49" s="923">
        <f t="array" aca="1" ref="F49:F57" ca="1">IF(C49:C57=0,"",(E49:E57-C49:C57)/C49:C57)</f>
        <v>8.1499999999999809E-2</v>
      </c>
      <c r="G49" s="2661">
        <f t="array" aca="1" ref="G49:G56" ca="1">G19:G26-G34:G41</f>
        <v>13017.001114799999</v>
      </c>
      <c r="H49" s="923">
        <f t="array" aca="1" ref="H49:H57" ca="1">IF(E49:E57=0,"",(G49:G57-E49:E57)/E49:E57)</f>
        <v>8.1990476190476322E-2</v>
      </c>
      <c r="I49" s="2661">
        <f t="array" aca="1" ref="I49:I56" ca="1">I19:I26-I34:I41</f>
        <v>14076.063381383998</v>
      </c>
      <c r="J49" s="923">
        <f t="array" aca="1" ref="J49:J57" ca="1">IF(G49:G57=0,"",(I49:I57-G49:G57)/G49:G57)</f>
        <v>8.1359927470534776E-2</v>
      </c>
    </row>
    <row r="50" spans="1:10" s="230" customFormat="1">
      <c r="A50" s="1480" t="str">
        <v/>
      </c>
      <c r="B50" s="2662">
        <f ca="1"/>
        <v>0</v>
      </c>
      <c r="C50" s="2662">
        <f ca="1"/>
        <v>0</v>
      </c>
      <c r="D50" s="924" t="str">
        <f ca="1"/>
        <v/>
      </c>
      <c r="E50" s="2662">
        <f ca="1"/>
        <v>0</v>
      </c>
      <c r="F50" s="924" t="str">
        <f ca="1"/>
        <v/>
      </c>
      <c r="G50" s="2662">
        <f ca="1"/>
        <v>0</v>
      </c>
      <c r="H50" s="924" t="str">
        <f ca="1"/>
        <v/>
      </c>
      <c r="I50" s="2662">
        <f ca="1"/>
        <v>0</v>
      </c>
      <c r="J50" s="924" t="str">
        <f ca="1"/>
        <v/>
      </c>
    </row>
    <row r="51" spans="1:10" s="230" customFormat="1">
      <c r="A51" s="1480" t="str">
        <v/>
      </c>
      <c r="B51" s="2662">
        <f ca="1"/>
        <v>0</v>
      </c>
      <c r="C51" s="2662">
        <f ca="1"/>
        <v>0</v>
      </c>
      <c r="D51" s="924" t="str">
        <f ca="1"/>
        <v/>
      </c>
      <c r="E51" s="2662">
        <f ca="1"/>
        <v>0</v>
      </c>
      <c r="F51" s="924" t="str">
        <f ca="1"/>
        <v/>
      </c>
      <c r="G51" s="2662">
        <f ca="1"/>
        <v>0</v>
      </c>
      <c r="H51" s="924" t="str">
        <f ca="1"/>
        <v/>
      </c>
      <c r="I51" s="2662">
        <f ca="1"/>
        <v>0</v>
      </c>
      <c r="J51" s="924" t="str">
        <f ca="1"/>
        <v/>
      </c>
    </row>
    <row r="52" spans="1:10" s="230" customFormat="1">
      <c r="A52" s="1480" t="str">
        <v/>
      </c>
      <c r="B52" s="2662">
        <f ca="1"/>
        <v>0</v>
      </c>
      <c r="C52" s="2662">
        <f ca="1"/>
        <v>0</v>
      </c>
      <c r="D52" s="924" t="str">
        <f ca="1"/>
        <v/>
      </c>
      <c r="E52" s="2662">
        <f ca="1"/>
        <v>0</v>
      </c>
      <c r="F52" s="924" t="str">
        <f ca="1"/>
        <v/>
      </c>
      <c r="G52" s="2662">
        <f ca="1"/>
        <v>0</v>
      </c>
      <c r="H52" s="924" t="str">
        <f ca="1"/>
        <v/>
      </c>
      <c r="I52" s="2662">
        <f ca="1"/>
        <v>0</v>
      </c>
      <c r="J52" s="924" t="str">
        <f ca="1"/>
        <v/>
      </c>
    </row>
    <row r="53" spans="1:10" s="230" customFormat="1">
      <c r="A53" s="1480" t="str">
        <v/>
      </c>
      <c r="B53" s="2662">
        <f ca="1"/>
        <v>0</v>
      </c>
      <c r="C53" s="2662">
        <f ca="1"/>
        <v>0</v>
      </c>
      <c r="D53" s="924" t="str">
        <f ca="1"/>
        <v/>
      </c>
      <c r="E53" s="2662">
        <f ca="1"/>
        <v>0</v>
      </c>
      <c r="F53" s="924" t="str">
        <f ca="1"/>
        <v/>
      </c>
      <c r="G53" s="2662">
        <f ca="1"/>
        <v>0</v>
      </c>
      <c r="H53" s="924" t="str">
        <f ca="1"/>
        <v/>
      </c>
      <c r="I53" s="2662">
        <f ca="1"/>
        <v>0</v>
      </c>
      <c r="J53" s="924" t="str">
        <f ca="1"/>
        <v/>
      </c>
    </row>
    <row r="54" spans="1:10" s="230" customFormat="1">
      <c r="A54" s="1480" t="str">
        <v/>
      </c>
      <c r="B54" s="2662">
        <f ca="1"/>
        <v>0</v>
      </c>
      <c r="C54" s="2662">
        <f ca="1"/>
        <v>0</v>
      </c>
      <c r="D54" s="924" t="str">
        <f ca="1"/>
        <v/>
      </c>
      <c r="E54" s="2662">
        <f ca="1"/>
        <v>0</v>
      </c>
      <c r="F54" s="924" t="str">
        <f ca="1"/>
        <v/>
      </c>
      <c r="G54" s="2662">
        <f ca="1"/>
        <v>0</v>
      </c>
      <c r="H54" s="924" t="str">
        <f ca="1"/>
        <v/>
      </c>
      <c r="I54" s="2662">
        <f ca="1"/>
        <v>0</v>
      </c>
      <c r="J54" s="924" t="str">
        <f ca="1"/>
        <v/>
      </c>
    </row>
    <row r="55" spans="1:10" s="230" customFormat="1">
      <c r="A55" s="1480" t="str">
        <v/>
      </c>
      <c r="B55" s="2662">
        <f ca="1"/>
        <v>0</v>
      </c>
      <c r="C55" s="2662">
        <f ca="1"/>
        <v>0</v>
      </c>
      <c r="D55" s="924" t="str">
        <f ca="1"/>
        <v/>
      </c>
      <c r="E55" s="2662">
        <f ca="1"/>
        <v>0</v>
      </c>
      <c r="F55" s="924" t="str">
        <f ca="1"/>
        <v/>
      </c>
      <c r="G55" s="2662">
        <f ca="1"/>
        <v>0</v>
      </c>
      <c r="H55" s="924" t="str">
        <f ca="1"/>
        <v/>
      </c>
      <c r="I55" s="2662">
        <f ca="1"/>
        <v>0</v>
      </c>
      <c r="J55" s="924" t="str">
        <f ca="1"/>
        <v/>
      </c>
    </row>
    <row r="56" spans="1:10" s="230" customFormat="1" ht="13.5" thickBot="1">
      <c r="A56" s="1481" t="str">
        <v/>
      </c>
      <c r="B56" s="2663">
        <f ca="1"/>
        <v>0</v>
      </c>
      <c r="C56" s="2663">
        <f ca="1"/>
        <v>0</v>
      </c>
      <c r="D56" s="2027" t="str">
        <f ca="1"/>
        <v/>
      </c>
      <c r="E56" s="2663">
        <f ca="1"/>
        <v>0</v>
      </c>
      <c r="F56" s="2027" t="str">
        <f ca="1"/>
        <v/>
      </c>
      <c r="G56" s="2663">
        <f ca="1"/>
        <v>0</v>
      </c>
      <c r="H56" s="2027" t="str">
        <f ca="1"/>
        <v/>
      </c>
      <c r="I56" s="2663">
        <f ca="1"/>
        <v>0</v>
      </c>
      <c r="J56" s="2027" t="str">
        <f ca="1"/>
        <v/>
      </c>
    </row>
    <row r="57" spans="1:10" s="230" customFormat="1" ht="15" thickBot="1">
      <c r="A57" s="2036" t="s">
        <v>624</v>
      </c>
      <c r="B57" s="2030">
        <f ca="1">SUM(B49:B56)</f>
        <v>6479.9999999999991</v>
      </c>
      <c r="C57" s="2031">
        <f ca="1">SUM(C49:C56)</f>
        <v>11124</v>
      </c>
      <c r="D57" s="2032">
        <f ca="1"/>
        <v>0.7166666666666669</v>
      </c>
      <c r="E57" s="2033">
        <f ca="1">SUM(E49:E56)</f>
        <v>12030.605999999998</v>
      </c>
      <c r="F57" s="2034">
        <f ca="1"/>
        <v>8.1499999999999809E-2</v>
      </c>
      <c r="G57" s="2031">
        <f ca="1">SUM(G49:G56)</f>
        <v>13017.001114799999</v>
      </c>
      <c r="H57" s="2032">
        <f ca="1"/>
        <v>8.1990476190476322E-2</v>
      </c>
      <c r="I57" s="2035">
        <f ca="1">SUM(I49:I56)</f>
        <v>14076.063381383998</v>
      </c>
      <c r="J57" s="2032">
        <f ca="1"/>
        <v>8.1359927470534776E-2</v>
      </c>
    </row>
    <row r="58" spans="1:10" s="230" customFormat="1">
      <c r="A58" s="60"/>
      <c r="B58" s="60"/>
    </row>
    <row r="59" spans="1:10" s="230" customFormat="1">
      <c r="A59" s="60"/>
      <c r="B59" s="60"/>
    </row>
    <row r="60" spans="1:10" s="230" customFormat="1" ht="25.5">
      <c r="A60" s="36" t="s">
        <v>623</v>
      </c>
      <c r="B60" s="60"/>
    </row>
    <row r="61" spans="1:10" s="230" customFormat="1">
      <c r="A61" s="60"/>
      <c r="B61" s="60"/>
    </row>
    <row r="63" spans="1:10" s="230" customFormat="1">
      <c r="A63" s="60"/>
      <c r="B63" s="60"/>
    </row>
    <row r="64" spans="1:10" s="230" customFormat="1">
      <c r="A64" s="60"/>
      <c r="B64" s="60"/>
    </row>
    <row r="65" spans="1:2" s="230" customFormat="1">
      <c r="A65" s="60"/>
      <c r="B65" s="60"/>
    </row>
    <row r="66" spans="1:2" s="230" customFormat="1">
      <c r="A66" s="60"/>
      <c r="B66" s="60"/>
    </row>
    <row r="67" spans="1:2" s="230" customFormat="1">
      <c r="A67" s="60"/>
      <c r="B67" s="60"/>
    </row>
    <row r="68" spans="1:2" s="230" customFormat="1">
      <c r="A68" s="60"/>
      <c r="B68" s="60"/>
    </row>
    <row r="69" spans="1:2" s="230" customFormat="1">
      <c r="A69" s="60"/>
      <c r="B69" s="60"/>
    </row>
    <row r="70" spans="1:2" s="230" customFormat="1">
      <c r="A70" s="60"/>
      <c r="B70" s="60"/>
    </row>
    <row r="71" spans="1:2" s="230" customFormat="1">
      <c r="A71" s="60"/>
      <c r="B71" s="60"/>
    </row>
    <row r="72" spans="1:2" s="230" customFormat="1">
      <c r="A72" s="60"/>
      <c r="B72" s="60"/>
    </row>
    <row r="73" spans="1:2" s="230" customFormat="1">
      <c r="A73" s="60"/>
      <c r="B73" s="60"/>
    </row>
    <row r="74" spans="1:2" s="230" customFormat="1">
      <c r="A74" s="60"/>
      <c r="B74" s="60"/>
    </row>
    <row r="75" spans="1:2" s="230" customFormat="1">
      <c r="A75" s="60"/>
      <c r="B75" s="60"/>
    </row>
    <row r="76" spans="1:2" s="230" customFormat="1">
      <c r="A76" s="60"/>
      <c r="B76" s="60"/>
    </row>
    <row r="77" spans="1:2" s="230" customFormat="1">
      <c r="A77" s="60"/>
      <c r="B77" s="60"/>
    </row>
    <row r="78" spans="1:2" s="230" customFormat="1">
      <c r="A78" s="60"/>
      <c r="B78" s="60"/>
    </row>
    <row r="79" spans="1:2">
      <c r="A79" s="60"/>
    </row>
    <row r="80" spans="1:2">
      <c r="A80" s="60"/>
    </row>
    <row r="81" spans="1:15">
      <c r="A81" s="60"/>
    </row>
    <row r="82" spans="1:15">
      <c r="A82" s="60"/>
    </row>
    <row r="83" spans="1:15">
      <c r="A83" s="60"/>
    </row>
    <row r="84" spans="1:15">
      <c r="A84" s="60"/>
    </row>
    <row r="85" spans="1:15">
      <c r="A85" s="60"/>
    </row>
    <row r="86" spans="1:15">
      <c r="A86" s="60"/>
    </row>
    <row r="87" spans="1:15" ht="25.5">
      <c r="A87" s="925"/>
      <c r="B87" s="61"/>
      <c r="E87" s="921"/>
      <c r="F87" s="921"/>
    </row>
    <row r="88" spans="1:15" ht="25.5">
      <c r="A88" s="925"/>
    </row>
    <row r="89" spans="1:15" ht="18.75" customHeight="1">
      <c r="O89" s="230"/>
    </row>
    <row r="100" spans="2:2">
      <c r="B100" s="61"/>
    </row>
    <row r="101" spans="2:2">
      <c r="B101" s="61"/>
    </row>
  </sheetData>
  <sheetProtection sheet="1" objects="1" scenarios="1"/>
  <phoneticPr fontId="7" type="noConversion"/>
  <printOptions horizontalCentered="1"/>
  <pageMargins left="0.6692913385826772" right="0.55118110236220474" top="0.78" bottom="0.70866141732283472" header="0.51181102362204722" footer="0.39370078740157483"/>
  <pageSetup paperSize="9" scale="68" orientation="portrait" horizontalDpi="300" verticalDpi="300" r:id="rId1"/>
  <headerFooter alignWithMargins="0">
    <oddFooter>&amp;C&amp;"Tahoma,Normal"&amp;10&amp;A</oddFooter>
  </headerFooter>
  <rowBreaks count="1" manualBreakCount="1">
    <brk id="78"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6">
    <tabColor indexed="42"/>
    <pageSetUpPr fitToPage="1"/>
  </sheetPr>
  <dimension ref="A1:N34"/>
  <sheetViews>
    <sheetView zoomScale="75" zoomScaleNormal="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626</v>
      </c>
      <c r="E1" s="230"/>
      <c r="F1" s="230"/>
      <c r="I1" s="231" t="str">
        <f>Parameters!B$77</f>
        <v>Year 0:   2026</v>
      </c>
      <c r="L1" s="402"/>
    </row>
    <row r="2" spans="1:14" s="403" customFormat="1" ht="22.5">
      <c r="A2" s="66" t="str">
        <f>'Base Data'!B9</f>
        <v>WWW, Ltd.</v>
      </c>
      <c r="C2" s="404"/>
      <c r="D2" s="273"/>
      <c r="N2" s="405"/>
    </row>
    <row r="3" spans="1:14" s="403" customFormat="1" ht="26.25" thickBot="1">
      <c r="A3" s="59"/>
      <c r="B3" s="2273">
        <v>1</v>
      </c>
      <c r="C3" s="2273">
        <v>2</v>
      </c>
      <c r="D3" s="2273">
        <v>3</v>
      </c>
      <c r="E3" s="2273">
        <v>4</v>
      </c>
      <c r="F3" s="2273">
        <v>5</v>
      </c>
      <c r="G3" s="2273">
        <v>6</v>
      </c>
      <c r="H3" s="2273">
        <v>7</v>
      </c>
      <c r="I3" s="2273">
        <v>8</v>
      </c>
      <c r="J3" s="2273">
        <v>9</v>
      </c>
      <c r="K3" s="2273">
        <v>10</v>
      </c>
      <c r="L3" s="2273">
        <v>11</v>
      </c>
      <c r="M3" s="2273">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0'!B25:M25</f>
        <v>200</v>
      </c>
      <c r="C5" s="596">
        <f ca="1"/>
        <v>272.72727272727275</v>
      </c>
      <c r="D5" s="596">
        <f ca="1"/>
        <v>345.4545454545455</v>
      </c>
      <c r="E5" s="596">
        <f ca="1"/>
        <v>418.18181818181819</v>
      </c>
      <c r="F5" s="596">
        <f ca="1"/>
        <v>490.90909090909093</v>
      </c>
      <c r="G5" s="596">
        <f ca="1"/>
        <v>563.63636363636363</v>
      </c>
      <c r="H5" s="596">
        <f ca="1"/>
        <v>636.36363636363637</v>
      </c>
      <c r="I5" s="596">
        <f ca="1"/>
        <v>709.09090909090901</v>
      </c>
      <c r="J5" s="596">
        <f ca="1"/>
        <v>781.81818181818187</v>
      </c>
      <c r="K5" s="596">
        <f ca="1"/>
        <v>854.5454545454545</v>
      </c>
      <c r="L5" s="596">
        <f ca="1"/>
        <v>927.27272727272725</v>
      </c>
      <c r="M5" s="596">
        <f ca="1"/>
        <v>1000</v>
      </c>
      <c r="N5" s="597">
        <f ca="1">SUM(B5:M5)</f>
        <v>7199.9999999999991</v>
      </c>
    </row>
    <row r="6" spans="1:14" s="405" customFormat="1" ht="16.149999999999999" customHeight="1">
      <c r="A6" s="1554" t="str">
        <v>Subsidies Imputation</v>
      </c>
      <c r="B6" s="600">
        <f>IF(OR(B$3&lt;mes0,B$3&gt;mes0+Parameters!$B$38*12-1),0,Funding!$C$19/Parameters!$B$38/12)
+IF(B$3&lt;mes0,0,Funding!$D$19/Parameters!$C$38/12)</f>
        <v>0</v>
      </c>
      <c r="C6" s="600">
        <f>IF(OR(C$3&lt;mes0,C$3&gt;mes0+Parameters!$B$38*12-1),0,Funding!$C$19/Parameters!$B$38/12)
+IF(C$3&lt;mes0,0,Funding!$D$19/Parameters!$C$38/12)</f>
        <v>0</v>
      </c>
      <c r="D6" s="600">
        <f>IF(OR(D$3&lt;mes0,D$3&gt;mes0+Parameters!$B$38*12-1),0,Funding!$C$19/Parameters!$B$38/12)
+IF(D$3&lt;mes0,0,Funding!$D$19/Parameters!$C$38/12)</f>
        <v>0</v>
      </c>
      <c r="E6" s="600">
        <f>IF(OR(E$3&lt;mes0,E$3&gt;mes0+Parameters!$B$38*12-1),0,Funding!$C$19/Parameters!$B$38/12)
+IF(E$3&lt;mes0,0,Funding!$D$19/Parameters!$C$38/12)</f>
        <v>0</v>
      </c>
      <c r="F6" s="600">
        <f>IF(OR(F$3&lt;mes0,F$3&gt;mes0+Parameters!$B$38*12-1),0,Funding!$C$19/Parameters!$B$38/12)
+IF(F$3&lt;mes0,0,Funding!$D$19/Parameters!$C$38/12)</f>
        <v>0</v>
      </c>
      <c r="G6" s="600">
        <f>IF(OR(G$3&lt;mes0,G$3&gt;mes0+Parameters!$B$38*12-1),0,Funding!$C$19/Parameters!$B$38/12)
+IF(G$3&lt;mes0,0,Funding!$D$19/Parameters!$C$38/12)</f>
        <v>0</v>
      </c>
      <c r="H6" s="600">
        <f>IF(OR(H$3&lt;mes0,H$3&gt;mes0+Parameters!$B$38*12-1),0,Funding!$C$19/Parameters!$B$38/12)
+IF(H$3&lt;mes0,0,Funding!$D$19/Parameters!$C$38/12)</f>
        <v>0</v>
      </c>
      <c r="I6" s="600">
        <f>IF(OR(I$3&lt;mes0,I$3&gt;mes0+Parameters!$B$38*12-1),0,Funding!$C$19/Parameters!$B$38/12)
+IF(I$3&lt;mes0,0,Funding!$D$19/Parameters!$C$38/12)</f>
        <v>0</v>
      </c>
      <c r="J6" s="600">
        <f>IF(OR(J$3&lt;mes0,J$3&gt;mes0+Parameters!$B$38*12-1),0,Funding!$C$19/Parameters!$B$38/12)
+IF(J$3&lt;mes0,0,Funding!$D$19/Parameters!$C$38/12)</f>
        <v>0</v>
      </c>
      <c r="K6" s="600">
        <f>IF(OR(K$3&lt;mes0,K$3&gt;mes0+Parameters!$B$38*12-1),0,Funding!$C$19/Parameters!$B$38/12)
+IF(K$3&lt;mes0,0,Funding!$D$19/Parameters!$C$38/12)</f>
        <v>0</v>
      </c>
      <c r="L6" s="600">
        <f>IF(OR(L$3&lt;mes0,L$3&gt;mes0+Parameters!$B$38*12-1),0,Funding!$C$19/Parameters!$B$38/12)
+IF(L$3&lt;mes0,0,Funding!$D$19/Parameters!$C$38/12)</f>
        <v>0</v>
      </c>
      <c r="M6" s="600">
        <f>IF(OR(M$3&lt;mes0,M$3&gt;mes0+Parameters!$B$38*12-1),0,Funding!$C$19/Parameters!$B$38/12)
+IF(M$3&lt;mes0,0,Funding!$D$19/Parameters!$C$38/12)</f>
        <v>0</v>
      </c>
      <c r="N6" s="599">
        <f>SUM(B6:M6)</f>
        <v>0</v>
      </c>
    </row>
    <row r="7" spans="1:14" s="405" customFormat="1" ht="16.149999999999999" customHeight="1">
      <c r="A7" s="1555" t="str">
        <v>Total Operations Income</v>
      </c>
      <c r="B7" s="1556">
        <f t="array" aca="1" ref="B7:M7" ca="1">B5:M5+B6:M6</f>
        <v>200</v>
      </c>
      <c r="C7" s="1556">
        <f ca="1"/>
        <v>272.72727272727275</v>
      </c>
      <c r="D7" s="1556">
        <f ca="1"/>
        <v>345.4545454545455</v>
      </c>
      <c r="E7" s="1556">
        <f ca="1"/>
        <v>418.18181818181819</v>
      </c>
      <c r="F7" s="1556">
        <f ca="1"/>
        <v>490.90909090909093</v>
      </c>
      <c r="G7" s="1556">
        <f ca="1"/>
        <v>563.63636363636363</v>
      </c>
      <c r="H7" s="1556">
        <f ca="1"/>
        <v>636.36363636363637</v>
      </c>
      <c r="I7" s="1556">
        <f ca="1"/>
        <v>709.09090909090901</v>
      </c>
      <c r="J7" s="1556">
        <f ca="1"/>
        <v>781.81818181818187</v>
      </c>
      <c r="K7" s="1556">
        <f ca="1"/>
        <v>854.5454545454545</v>
      </c>
      <c r="L7" s="1556">
        <f ca="1"/>
        <v>927.27272727272725</v>
      </c>
      <c r="M7" s="1556">
        <f ca="1"/>
        <v>1000</v>
      </c>
      <c r="N7" s="599">
        <f ca="1">SUM(B7:M7)</f>
        <v>7199.9999999999991</v>
      </c>
    </row>
    <row r="8" spans="1:14" s="405" customFormat="1" ht="16.149999999999999" customHeight="1">
      <c r="A8" s="1554"/>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0'!B28:M28</f>
        <v>20</v>
      </c>
      <c r="C9" s="596">
        <f ca="1"/>
        <v>27.272727272727277</v>
      </c>
      <c r="D9" s="596">
        <f ca="1"/>
        <v>34.545454545454554</v>
      </c>
      <c r="E9" s="596">
        <f ca="1"/>
        <v>41.81818181818182</v>
      </c>
      <c r="F9" s="596">
        <f ca="1"/>
        <v>49.090909090909093</v>
      </c>
      <c r="G9" s="596">
        <f ca="1"/>
        <v>56.363636363636367</v>
      </c>
      <c r="H9" s="596">
        <f ca="1"/>
        <v>63.63636363636364</v>
      </c>
      <c r="I9" s="596">
        <f ca="1"/>
        <v>70.909090909090907</v>
      </c>
      <c r="J9" s="596">
        <f ca="1"/>
        <v>78.181818181818187</v>
      </c>
      <c r="K9" s="596">
        <f ca="1"/>
        <v>85.454545454545453</v>
      </c>
      <c r="L9" s="596">
        <f ca="1"/>
        <v>92.727272727272734</v>
      </c>
      <c r="M9" s="596">
        <f ca="1"/>
        <v>100</v>
      </c>
      <c r="N9" s="597">
        <f ca="1">SUM(B9:M9)</f>
        <v>720</v>
      </c>
    </row>
    <row r="10" spans="1:14" s="403" customFormat="1" ht="16.149999999999999" customHeight="1">
      <c r="A10" s="412" t="str">
        <v>Defaulted Sales</v>
      </c>
      <c r="B10" s="600">
        <v>0</v>
      </c>
      <c r="C10" s="600">
        <v>0</v>
      </c>
      <c r="D10" s="600">
        <v>0</v>
      </c>
      <c r="E10" s="600">
        <v>0</v>
      </c>
      <c r="F10" s="600">
        <v>0</v>
      </c>
      <c r="G10" s="600">
        <v>0</v>
      </c>
      <c r="H10" s="600">
        <v>0</v>
      </c>
      <c r="I10" s="600">
        <v>0</v>
      </c>
      <c r="J10" s="600">
        <v>0</v>
      </c>
      <c r="K10" s="600">
        <v>0</v>
      </c>
      <c r="L10" s="600">
        <v>0</v>
      </c>
      <c r="M10" s="600">
        <f ca="1">+'VAT 0'!O15</f>
        <v>0</v>
      </c>
      <c r="N10" s="599">
        <f ca="1">SUM(B10:M10)</f>
        <v>0</v>
      </c>
    </row>
    <row r="11" spans="1:14" s="403" customFormat="1" ht="16.149999999999999" customHeight="1">
      <c r="A11" s="1560" t="str">
        <v>Direct &amp; Commercial Costs</v>
      </c>
      <c r="B11" s="1556">
        <f t="array" aca="1" ref="B11:M11" ca="1">B9:M9+B10:M10</f>
        <v>20</v>
      </c>
      <c r="C11" s="1556">
        <f ca="1"/>
        <v>27.272727272727277</v>
      </c>
      <c r="D11" s="1556">
        <f ca="1"/>
        <v>34.545454545454554</v>
      </c>
      <c r="E11" s="1556">
        <f ca="1"/>
        <v>41.81818181818182</v>
      </c>
      <c r="F11" s="1556">
        <f ca="1"/>
        <v>49.090909090909093</v>
      </c>
      <c r="G11" s="1556">
        <f ca="1"/>
        <v>56.363636363636367</v>
      </c>
      <c r="H11" s="1556">
        <f ca="1"/>
        <v>63.63636363636364</v>
      </c>
      <c r="I11" s="1556">
        <f ca="1"/>
        <v>70.909090909090907</v>
      </c>
      <c r="J11" s="1556">
        <f ca="1"/>
        <v>78.181818181818187</v>
      </c>
      <c r="K11" s="1556">
        <f ca="1"/>
        <v>85.454545454545453</v>
      </c>
      <c r="L11" s="1556">
        <f ca="1"/>
        <v>92.727272727272734</v>
      </c>
      <c r="M11" s="1556">
        <f ca="1"/>
        <v>100</v>
      </c>
      <c r="N11" s="599">
        <f ca="1">SUM(B11:M11)</f>
        <v>720</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180</v>
      </c>
      <c r="C13" s="595">
        <f ca="1"/>
        <v>245.45454545454547</v>
      </c>
      <c r="D13" s="595">
        <f ca="1"/>
        <v>310.90909090909093</v>
      </c>
      <c r="E13" s="595">
        <f ca="1"/>
        <v>376.36363636363637</v>
      </c>
      <c r="F13" s="595">
        <f ca="1"/>
        <v>441.81818181818187</v>
      </c>
      <c r="G13" s="595">
        <f ca="1"/>
        <v>507.27272727272725</v>
      </c>
      <c r="H13" s="595">
        <f ca="1"/>
        <v>572.72727272727275</v>
      </c>
      <c r="I13" s="595">
        <f ca="1"/>
        <v>638.18181818181813</v>
      </c>
      <c r="J13" s="595">
        <f ca="1"/>
        <v>703.63636363636374</v>
      </c>
      <c r="K13" s="595">
        <f ca="1"/>
        <v>769.09090909090901</v>
      </c>
      <c r="L13" s="595">
        <f ca="1"/>
        <v>834.5454545454545</v>
      </c>
      <c r="M13" s="595">
        <f ca="1"/>
        <v>900</v>
      </c>
      <c r="N13" s="597">
        <f t="shared" ref="N13:N29" ca="1" si="0">SUM(B13:M13)</f>
        <v>6480</v>
      </c>
    </row>
    <row r="14" spans="1:14" s="405" customFormat="1" ht="16.149999999999999" customHeight="1">
      <c r="A14" s="413"/>
      <c r="B14" s="407"/>
      <c r="C14" s="407"/>
      <c r="D14" s="407"/>
      <c r="E14" s="407"/>
      <c r="F14" s="407"/>
      <c r="G14" s="407"/>
      <c r="H14" s="407"/>
      <c r="I14" s="407"/>
      <c r="J14" s="407"/>
      <c r="K14" s="407"/>
      <c r="L14" s="407"/>
      <c r="M14" s="407"/>
      <c r="N14" s="1564"/>
    </row>
    <row r="15" spans="1:14" s="403" customFormat="1" ht="16.149999999999999" customHeight="1">
      <c r="A15" s="920" t="str">
        <f t="array" ref="A15:A18">'Yearly Income St'!A15:A18</f>
        <v>Labour Expenses</v>
      </c>
      <c r="B15" s="596">
        <f t="array" ref="B15:M15">'Fixed Expenses 0'!B27:M27-'Fixed Expenses 0'!B20:M20</f>
        <v>1200</v>
      </c>
      <c r="C15" s="596">
        <v>1200</v>
      </c>
      <c r="D15" s="596">
        <v>1200</v>
      </c>
      <c r="E15" s="596">
        <v>1200</v>
      </c>
      <c r="F15" s="596">
        <v>1200</v>
      </c>
      <c r="G15" s="596">
        <v>1200</v>
      </c>
      <c r="H15" s="596">
        <v>1200</v>
      </c>
      <c r="I15" s="596">
        <v>1200</v>
      </c>
      <c r="J15" s="596">
        <v>1200</v>
      </c>
      <c r="K15" s="596">
        <v>1200</v>
      </c>
      <c r="L15" s="596">
        <v>1200</v>
      </c>
      <c r="M15" s="596">
        <v>1200</v>
      </c>
      <c r="N15" s="597">
        <f t="shared" si="0"/>
        <v>14400</v>
      </c>
    </row>
    <row r="16" spans="1:14" s="403" customFormat="1" ht="16.149999999999999" customHeight="1">
      <c r="A16" s="920" t="str">
        <v>Social Security Expenses</v>
      </c>
      <c r="B16" s="596">
        <f t="array" ref="B16:M16">'Fixed Expenses 0'!B20:M20</f>
        <v>86</v>
      </c>
      <c r="C16" s="596">
        <v>86</v>
      </c>
      <c r="D16" s="596">
        <v>86</v>
      </c>
      <c r="E16" s="596">
        <v>86</v>
      </c>
      <c r="F16" s="596">
        <v>86</v>
      </c>
      <c r="G16" s="596">
        <v>86</v>
      </c>
      <c r="H16" s="596">
        <v>86</v>
      </c>
      <c r="I16" s="596">
        <v>86</v>
      </c>
      <c r="J16" s="596">
        <v>86</v>
      </c>
      <c r="K16" s="596">
        <v>86</v>
      </c>
      <c r="L16" s="596">
        <v>86</v>
      </c>
      <c r="M16" s="596">
        <v>86</v>
      </c>
      <c r="N16" s="597">
        <f t="shared" si="0"/>
        <v>1032</v>
      </c>
    </row>
    <row r="17" spans="1:14" s="403" customFormat="1" ht="16.149999999999999" customHeight="1">
      <c r="A17" s="920" t="str">
        <v>Other Fixed Expenses</v>
      </c>
      <c r="B17" s="596">
        <f t="array" aca="1" ref="B17:M17" ca="1">'Fixed Expenses 0'!B55:M55+'VAT 0'!C13:N13</f>
        <v>19.799999999999997</v>
      </c>
      <c r="C17" s="596">
        <f ca="1"/>
        <v>19.799999999999997</v>
      </c>
      <c r="D17" s="596">
        <f ca="1"/>
        <v>19.799999999999997</v>
      </c>
      <c r="E17" s="596">
        <f ca="1"/>
        <v>19.799999999999997</v>
      </c>
      <c r="F17" s="596">
        <f ca="1"/>
        <v>19.799999999999997</v>
      </c>
      <c r="G17" s="596">
        <f ca="1"/>
        <v>19.799999999999997</v>
      </c>
      <c r="H17" s="596">
        <f ca="1"/>
        <v>19.799999999999997</v>
      </c>
      <c r="I17" s="596">
        <f ca="1"/>
        <v>19.799999999999997</v>
      </c>
      <c r="J17" s="596">
        <f ca="1"/>
        <v>19.799999999999997</v>
      </c>
      <c r="K17" s="596">
        <f ca="1"/>
        <v>19.799999999999997</v>
      </c>
      <c r="L17" s="596">
        <f ca="1"/>
        <v>19.799999999999997</v>
      </c>
      <c r="M17" s="596">
        <f ca="1"/>
        <v>19.799999999999997</v>
      </c>
      <c r="N17" s="597">
        <f t="shared" ca="1" si="0"/>
        <v>237.60000000000002</v>
      </c>
    </row>
    <row r="18" spans="1:14" s="405" customFormat="1" ht="16.149999999999999" customHeight="1">
      <c r="A18" s="413" t="str">
        <v>Total Operation Expenses</v>
      </c>
      <c r="B18" s="595">
        <f t="shared" ref="B18:M18" ca="1" si="1">SUM(B15:B17)</f>
        <v>1305.8</v>
      </c>
      <c r="C18" s="595">
        <f t="shared" ca="1" si="1"/>
        <v>1305.8</v>
      </c>
      <c r="D18" s="595">
        <f t="shared" ca="1" si="1"/>
        <v>1305.8</v>
      </c>
      <c r="E18" s="595">
        <f t="shared" ca="1" si="1"/>
        <v>1305.8</v>
      </c>
      <c r="F18" s="595">
        <f t="shared" ca="1" si="1"/>
        <v>1305.8</v>
      </c>
      <c r="G18" s="595">
        <f t="shared" ca="1" si="1"/>
        <v>1305.8</v>
      </c>
      <c r="H18" s="595">
        <f t="shared" ca="1" si="1"/>
        <v>1305.8</v>
      </c>
      <c r="I18" s="595">
        <f t="shared" ca="1" si="1"/>
        <v>1305.8</v>
      </c>
      <c r="J18" s="595">
        <f t="shared" ca="1" si="1"/>
        <v>1305.8</v>
      </c>
      <c r="K18" s="595">
        <f t="shared" ca="1" si="1"/>
        <v>1305.8</v>
      </c>
      <c r="L18" s="595">
        <f t="shared" ca="1" si="1"/>
        <v>1305.8</v>
      </c>
      <c r="M18" s="595">
        <f t="shared" ca="1" si="1"/>
        <v>1305.8</v>
      </c>
      <c r="N18" s="597">
        <f t="shared" ca="1" si="0"/>
        <v>15669.599999999997</v>
      </c>
    </row>
    <row r="19" spans="1:14" s="405" customFormat="1" ht="16.149999999999999" customHeight="1">
      <c r="A19" s="413"/>
      <c r="B19" s="407"/>
      <c r="C19" s="407"/>
      <c r="D19" s="407"/>
      <c r="E19" s="407"/>
      <c r="F19" s="407"/>
      <c r="G19" s="407"/>
      <c r="H19" s="407"/>
      <c r="I19" s="407"/>
      <c r="J19" s="407"/>
      <c r="K19" s="407"/>
      <c r="L19" s="407"/>
      <c r="M19" s="407"/>
      <c r="N19" s="1564"/>
    </row>
    <row r="20" spans="1:14" s="405" customFormat="1" ht="16.149999999999999" customHeight="1">
      <c r="A20" s="413" t="str">
        <f>'Yearly Income St'!A20</f>
        <v>E.B.I.T.D.A.</v>
      </c>
      <c r="B20" s="595">
        <f t="array" aca="1" ref="B20:M20" ca="1">B13:M13-B18:M18</f>
        <v>-1125.8</v>
      </c>
      <c r="C20" s="595">
        <f ca="1"/>
        <v>-1060.3454545454545</v>
      </c>
      <c r="D20" s="595">
        <f ca="1"/>
        <v>-994.89090909090896</v>
      </c>
      <c r="E20" s="595">
        <f ca="1"/>
        <v>-929.43636363636358</v>
      </c>
      <c r="F20" s="595">
        <f ca="1"/>
        <v>-863.98181818181808</v>
      </c>
      <c r="G20" s="595">
        <f ca="1"/>
        <v>-798.5272727272727</v>
      </c>
      <c r="H20" s="595">
        <f ca="1"/>
        <v>-733.07272727272721</v>
      </c>
      <c r="I20" s="595">
        <f ca="1"/>
        <v>-667.61818181818182</v>
      </c>
      <c r="J20" s="595">
        <f ca="1"/>
        <v>-602.16363636363621</v>
      </c>
      <c r="K20" s="595">
        <f ca="1"/>
        <v>-536.70909090909095</v>
      </c>
      <c r="L20" s="595">
        <f ca="1"/>
        <v>-471.25454545454545</v>
      </c>
      <c r="M20" s="595">
        <f ca="1"/>
        <v>-405.79999999999995</v>
      </c>
      <c r="N20" s="597">
        <f ca="1">SUM(B20:M20)</f>
        <v>-9189.5999999999985</v>
      </c>
    </row>
    <row r="21" spans="1:14" s="405" customFormat="1" ht="16.149999999999999" customHeight="1">
      <c r="A21" s="413"/>
      <c r="B21" s="407"/>
      <c r="C21" s="407"/>
      <c r="D21" s="407"/>
      <c r="E21" s="407"/>
      <c r="F21" s="407"/>
      <c r="G21" s="407"/>
      <c r="H21" s="407"/>
      <c r="I21" s="407"/>
      <c r="J21" s="407"/>
      <c r="K21" s="407"/>
      <c r="L21" s="407"/>
      <c r="M21" s="407"/>
      <c r="N21" s="1564"/>
    </row>
    <row r="22" spans="1:14" s="403" customFormat="1" ht="16.149999999999999" customHeight="1">
      <c r="A22" s="2416" t="str">
        <f t="array" ref="A22:A23">'Yearly Income St'!A22:A23</f>
        <v>Amoortizations &amp; Depreciations</v>
      </c>
      <c r="B22" s="596">
        <f t="array" ref="B22:M22">IF(COLUMN(B$4:M$4)&lt;=mes0,0,Amortizations!$D$41/(12+1-mes0))</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aca="1" ref="B23:M23" ca="1">B20:M20-B22:M22</f>
        <v>-1125.8</v>
      </c>
      <c r="C23" s="597">
        <f ca="1"/>
        <v>-1060.3454545454545</v>
      </c>
      <c r="D23" s="597">
        <f ca="1"/>
        <v>-994.89090909090896</v>
      </c>
      <c r="E23" s="597">
        <f ca="1"/>
        <v>-929.43636363636358</v>
      </c>
      <c r="F23" s="597">
        <f ca="1"/>
        <v>-863.98181818181808</v>
      </c>
      <c r="G23" s="597">
        <f ca="1"/>
        <v>-798.5272727272727</v>
      </c>
      <c r="H23" s="597">
        <f ca="1"/>
        <v>-733.07272727272721</v>
      </c>
      <c r="I23" s="597">
        <f ca="1"/>
        <v>-667.61818181818182</v>
      </c>
      <c r="J23" s="597">
        <f ca="1"/>
        <v>-602.16363636363621</v>
      </c>
      <c r="K23" s="597">
        <f ca="1"/>
        <v>-536.70909090909095</v>
      </c>
      <c r="L23" s="597">
        <f ca="1"/>
        <v>-471.25454545454545</v>
      </c>
      <c r="M23" s="597">
        <f ca="1"/>
        <v>-405.79999999999995</v>
      </c>
      <c r="N23" s="597">
        <f t="shared" ca="1" si="0"/>
        <v>-9189.5999999999985</v>
      </c>
    </row>
    <row r="24" spans="1:14" s="405" customFormat="1" ht="16.149999999999999" customHeight="1">
      <c r="A24" s="413"/>
      <c r="B24" s="407"/>
      <c r="C24" s="407"/>
      <c r="D24" s="407"/>
      <c r="E24" s="407"/>
      <c r="F24" s="407"/>
      <c r="G24" s="407"/>
      <c r="H24" s="407"/>
      <c r="I24" s="407"/>
      <c r="J24" s="407"/>
      <c r="K24" s="407"/>
      <c r="L24" s="407"/>
      <c r="M24" s="407"/>
      <c r="N24" s="1564"/>
    </row>
    <row r="25" spans="1:14" s="403" customFormat="1" ht="16.149999999999999" customHeight="1">
      <c r="A25" s="920" t="str">
        <f t="array" ref="A25:A27">'Yearly Income St'!A25:A27</f>
        <v>Financial Income</v>
      </c>
      <c r="B25" s="598">
        <f t="array" ref="B25:M25" ca="1">'Financial Expenses'!C87:N87</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t="shared" ca="1" si="0"/>
        <v>0</v>
      </c>
    </row>
    <row r="26" spans="1:14" s="403" customFormat="1" ht="16.149999999999999" customHeight="1">
      <c r="A26" s="920" t="str">
        <v>Financial Expenses</v>
      </c>
      <c r="B26" s="598">
        <f t="array" ref="B26:M26" ca="1">'Financial Expenses'!C19:N19</f>
        <v>2.42</v>
      </c>
      <c r="C26" s="598">
        <f ca="1"/>
        <v>3.3000000000000003</v>
      </c>
      <c r="D26" s="598">
        <f ca="1"/>
        <v>4.1800000000000006</v>
      </c>
      <c r="E26" s="598">
        <f ca="1"/>
        <v>5.0600000000000005</v>
      </c>
      <c r="F26" s="598">
        <f ca="1"/>
        <v>5.94</v>
      </c>
      <c r="G26" s="598">
        <f ca="1"/>
        <v>6.82</v>
      </c>
      <c r="H26" s="598">
        <f ca="1"/>
        <v>7.7</v>
      </c>
      <c r="I26" s="598">
        <f ca="1"/>
        <v>8.5799999999999983</v>
      </c>
      <c r="J26" s="598">
        <f ca="1"/>
        <v>9.4600000000000009</v>
      </c>
      <c r="K26" s="598">
        <f ca="1"/>
        <v>10.34</v>
      </c>
      <c r="L26" s="598">
        <f ca="1"/>
        <v>11.22</v>
      </c>
      <c r="M26" s="598">
        <f ca="1"/>
        <v>12.1</v>
      </c>
      <c r="N26" s="599">
        <f t="shared" ca="1" si="0"/>
        <v>87.11999999999999</v>
      </c>
    </row>
    <row r="27" spans="1:14" s="405" customFormat="1" ht="16.149999999999999" customHeight="1">
      <c r="A27" s="413" t="str">
        <v>Financial Result</v>
      </c>
      <c r="B27" s="599">
        <f t="array" ref="B27:M27" ca="1">B25:M25-B26:M26</f>
        <v>-2.42</v>
      </c>
      <c r="C27" s="599">
        <f ca="1"/>
        <v>-3.3000000000000003</v>
      </c>
      <c r="D27" s="599">
        <f ca="1"/>
        <v>-4.1800000000000006</v>
      </c>
      <c r="E27" s="599">
        <f ca="1"/>
        <v>-5.0600000000000005</v>
      </c>
      <c r="F27" s="599">
        <f ca="1"/>
        <v>-5.94</v>
      </c>
      <c r="G27" s="599">
        <f ca="1"/>
        <v>-6.82</v>
      </c>
      <c r="H27" s="599">
        <f ca="1"/>
        <v>-7.7</v>
      </c>
      <c r="I27" s="599">
        <f ca="1"/>
        <v>-8.5799999999999983</v>
      </c>
      <c r="J27" s="599">
        <f ca="1"/>
        <v>-9.4600000000000009</v>
      </c>
      <c r="K27" s="599">
        <f ca="1"/>
        <v>-10.34</v>
      </c>
      <c r="L27" s="599">
        <f ca="1"/>
        <v>-11.22</v>
      </c>
      <c r="M27" s="599">
        <f ca="1"/>
        <v>-12.1</v>
      </c>
      <c r="N27" s="599">
        <f t="shared" ca="1" si="0"/>
        <v>-87.11999999999999</v>
      </c>
    </row>
    <row r="28" spans="1:14" s="405" customFormat="1" ht="16.149999999999999" customHeight="1">
      <c r="A28" s="413"/>
      <c r="B28" s="407"/>
      <c r="C28" s="407"/>
      <c r="D28" s="407"/>
      <c r="E28" s="407"/>
      <c r="F28" s="407"/>
      <c r="G28" s="407"/>
      <c r="H28" s="407"/>
      <c r="I28" s="407"/>
      <c r="J28" s="407"/>
      <c r="K28" s="407"/>
      <c r="L28" s="407"/>
      <c r="M28" s="407"/>
      <c r="N28" s="1564"/>
    </row>
    <row r="29" spans="1:14" s="405" customFormat="1" ht="16.149999999999999" customHeight="1">
      <c r="A29" s="413" t="str">
        <f>'Yearly Income St'!A29</f>
        <v>EBT  Earnings Before Taxation</v>
      </c>
      <c r="B29" s="599">
        <f t="array" ref="B29:M29" ca="1">B23:M23+B27:M27</f>
        <v>-1128.22</v>
      </c>
      <c r="C29" s="599">
        <f ca="1"/>
        <v>-1063.6454545454544</v>
      </c>
      <c r="D29" s="599">
        <f ca="1"/>
        <v>-999.07090909090891</v>
      </c>
      <c r="E29" s="599">
        <f ca="1"/>
        <v>-934.49636363636353</v>
      </c>
      <c r="F29" s="599">
        <f ca="1"/>
        <v>-869.92181818181814</v>
      </c>
      <c r="G29" s="599">
        <f ca="1"/>
        <v>-805.34727272727275</v>
      </c>
      <c r="H29" s="599">
        <f ca="1"/>
        <v>-740.77272727272725</v>
      </c>
      <c r="I29" s="599">
        <f ca="1"/>
        <v>-676.19818181818187</v>
      </c>
      <c r="J29" s="599">
        <f ca="1"/>
        <v>-611.62363636363625</v>
      </c>
      <c r="K29" s="599">
        <f ca="1"/>
        <v>-547.04909090909098</v>
      </c>
      <c r="L29" s="599">
        <f ca="1"/>
        <v>-482.47454545454548</v>
      </c>
      <c r="M29" s="599">
        <f ca="1"/>
        <v>-417.9</v>
      </c>
      <c r="N29" s="599">
        <f t="shared" ca="1" si="0"/>
        <v>-9276.7199999999993</v>
      </c>
    </row>
    <row r="30" spans="1:14" s="405" customFormat="1" ht="16.149999999999999" customHeight="1" thickBot="1">
      <c r="A30" s="413"/>
      <c r="B30" s="407"/>
      <c r="C30" s="407"/>
      <c r="D30" s="407"/>
      <c r="E30" s="407"/>
      <c r="F30" s="407"/>
      <c r="G30" s="407"/>
      <c r="H30" s="407"/>
      <c r="I30" s="407"/>
      <c r="J30" s="407"/>
      <c r="K30" s="407"/>
      <c r="L30" s="407"/>
      <c r="M30" s="407"/>
      <c r="N30" s="1564"/>
    </row>
    <row r="31" spans="1:14" s="408" customFormat="1" ht="21.75" customHeight="1" thickBot="1">
      <c r="A31" s="414" t="s">
        <v>635</v>
      </c>
      <c r="B31" s="601">
        <f ca="1">B29</f>
        <v>-1128.22</v>
      </c>
      <c r="C31" s="601">
        <f t="shared" ref="C31:M31" ca="1" si="2">B31+C29</f>
        <v>-2191.8654545454547</v>
      </c>
      <c r="D31" s="601">
        <f t="shared" ca="1" si="2"/>
        <v>-3190.9363636363637</v>
      </c>
      <c r="E31" s="601">
        <f t="shared" ca="1" si="2"/>
        <v>-4125.4327272727269</v>
      </c>
      <c r="F31" s="601">
        <f t="shared" ca="1" si="2"/>
        <v>-4995.3545454545447</v>
      </c>
      <c r="G31" s="601">
        <f t="shared" ca="1" si="2"/>
        <v>-5800.7018181818175</v>
      </c>
      <c r="H31" s="601">
        <f t="shared" ca="1" si="2"/>
        <v>-6541.4745454545446</v>
      </c>
      <c r="I31" s="601">
        <f t="shared" ca="1" si="2"/>
        <v>-7217.6727272727267</v>
      </c>
      <c r="J31" s="601">
        <f t="shared" ca="1" si="2"/>
        <v>-7829.2963636363629</v>
      </c>
      <c r="K31" s="601">
        <f t="shared" ca="1" si="2"/>
        <v>-8376.3454545454533</v>
      </c>
      <c r="L31" s="601">
        <f t="shared" ca="1" si="2"/>
        <v>-8858.82</v>
      </c>
      <c r="M31" s="601">
        <f t="shared" ca="1" si="2"/>
        <v>-9276.7199999999993</v>
      </c>
      <c r="N31" s="415"/>
    </row>
    <row r="32" spans="1:14" s="403" customFormat="1" ht="10.5">
      <c r="N32" s="405"/>
    </row>
    <row r="33" spans="14:14" s="403" customFormat="1" ht="10.5"/>
    <row r="34" spans="14:14">
      <c r="N34" s="61"/>
    </row>
  </sheetData>
  <sheetProtection sheet="1" objects="1" scenarios="1"/>
  <phoneticPr fontId="7"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7">
    <tabColor indexed="42"/>
    <pageSetUpPr fitToPage="1"/>
  </sheetPr>
  <dimension ref="A1:N34"/>
  <sheetViews>
    <sheetView zoomScale="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626</v>
      </c>
      <c r="E1" s="230"/>
      <c r="F1" s="230"/>
      <c r="I1" s="231" t="str">
        <f>Parameters!C$77</f>
        <v>Year 1:   2027</v>
      </c>
      <c r="L1" s="402"/>
    </row>
    <row r="2" spans="1:14" s="403" customFormat="1" ht="22.5">
      <c r="A2" s="66" t="str">
        <f>'Base Data'!B9</f>
        <v>WWW, Ltd.</v>
      </c>
      <c r="C2" s="404"/>
      <c r="D2" s="273"/>
      <c r="N2" s="405"/>
    </row>
    <row r="3" spans="1:14" s="403" customFormat="1" ht="26.25" thickBot="1">
      <c r="A3" s="59"/>
      <c r="B3" s="2273">
        <v>1</v>
      </c>
      <c r="C3" s="2273">
        <v>2</v>
      </c>
      <c r="D3" s="2273">
        <v>3</v>
      </c>
      <c r="E3" s="2273">
        <v>4</v>
      </c>
      <c r="F3" s="2273">
        <v>5</v>
      </c>
      <c r="G3" s="2273">
        <v>6</v>
      </c>
      <c r="H3" s="2273">
        <v>7</v>
      </c>
      <c r="I3" s="2273">
        <v>8</v>
      </c>
      <c r="J3" s="2273">
        <v>9</v>
      </c>
      <c r="K3" s="2273">
        <v>10</v>
      </c>
      <c r="L3" s="2273">
        <v>11</v>
      </c>
      <c r="M3" s="2273">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1'!B25:M25</f>
        <v>1030</v>
      </c>
      <c r="C5" s="596">
        <f ca="1"/>
        <v>1030</v>
      </c>
      <c r="D5" s="596">
        <f ca="1"/>
        <v>1030</v>
      </c>
      <c r="E5" s="596">
        <f ca="1"/>
        <v>1030</v>
      </c>
      <c r="F5" s="596">
        <f ca="1"/>
        <v>1030</v>
      </c>
      <c r="G5" s="596">
        <f ca="1"/>
        <v>1030</v>
      </c>
      <c r="H5" s="596">
        <f ca="1"/>
        <v>1030</v>
      </c>
      <c r="I5" s="596">
        <f ca="1"/>
        <v>1030</v>
      </c>
      <c r="J5" s="596">
        <f ca="1"/>
        <v>1030</v>
      </c>
      <c r="K5" s="596">
        <f ca="1"/>
        <v>1030</v>
      </c>
      <c r="L5" s="596">
        <f ca="1"/>
        <v>1030</v>
      </c>
      <c r="M5" s="596">
        <f ca="1"/>
        <v>1030</v>
      </c>
      <c r="N5" s="597">
        <f ca="1">SUM(B5:M5)</f>
        <v>12360</v>
      </c>
    </row>
    <row r="6" spans="1:14" s="405" customFormat="1" ht="16.149999999999999" customHeight="1">
      <c r="A6" s="1554" t="str">
        <v>Subsidies Imputation</v>
      </c>
      <c r="B6" s="600">
        <f>IF(B$3+12&gt;mes0+Parameters!$B$38*12-1,0,Funding!$C$19/Parameters!$B$38/12)
+Funding!$D$19/Parameters!$C$38/12
+Funding!$E$19/Parameters!$D$38/12</f>
        <v>0</v>
      </c>
      <c r="C6" s="600">
        <f>IF(C$3+12&gt;mes0+Parameters!$B$38*12-1,0,Funding!$C$19/Parameters!$B$38/12)
+Funding!$D$19/Parameters!$C$38/12
+Funding!$E$19/Parameters!$D$38/12</f>
        <v>0</v>
      </c>
      <c r="D6" s="600">
        <f>IF(D$3+12&gt;mes0+Parameters!$B$38*12-1,0,Funding!$C$19/Parameters!$B$38/12)
+Funding!$D$19/Parameters!$C$38/12
+Funding!$E$19/Parameters!$D$38/12</f>
        <v>0</v>
      </c>
      <c r="E6" s="600">
        <f>IF(E$3+12&gt;mes0+Parameters!$B$38*12-1,0,Funding!$C$19/Parameters!$B$38/12)
+Funding!$D$19/Parameters!$C$38/12
+Funding!$E$19/Parameters!$D$38/12</f>
        <v>0</v>
      </c>
      <c r="F6" s="600">
        <f>IF(F$3+12&gt;mes0+Parameters!$B$38*12-1,0,Funding!$C$19/Parameters!$B$38/12)
+Funding!$D$19/Parameters!$C$38/12
+Funding!$E$19/Parameters!$D$38/12</f>
        <v>0</v>
      </c>
      <c r="G6" s="600">
        <f>IF(G$3+12&gt;mes0+Parameters!$B$38*12-1,0,Funding!$C$19/Parameters!$B$38/12)
+Funding!$D$19/Parameters!$C$38/12
+Funding!$E$19/Parameters!$D$38/12</f>
        <v>0</v>
      </c>
      <c r="H6" s="600">
        <f>IF(H$3+12&gt;mes0+Parameters!$B$38*12-1,0,Funding!$C$19/Parameters!$B$38/12)
+Funding!$D$19/Parameters!$C$38/12
+Funding!$E$19/Parameters!$D$38/12</f>
        <v>0</v>
      </c>
      <c r="I6" s="600">
        <f>IF(I$3+12&gt;mes0+Parameters!$B$38*12-1,0,Funding!$C$19/Parameters!$B$38/12)
+Funding!$D$19/Parameters!$C$38/12
+Funding!$E$19/Parameters!$D$38/12</f>
        <v>0</v>
      </c>
      <c r="J6" s="600">
        <f>IF(J$3+12&gt;mes0+Parameters!$B$38*12-1,0,Funding!$C$19/Parameters!$B$38/12)
+Funding!$D$19/Parameters!$C$38/12
+Funding!$E$19/Parameters!$D$38/12</f>
        <v>0</v>
      </c>
      <c r="K6" s="600">
        <f>IF(K$3+12&gt;mes0+Parameters!$B$38*12-1,0,Funding!$C$19/Parameters!$B$38/12)
+Funding!$D$19/Parameters!$C$38/12
+Funding!$E$19/Parameters!$D$38/12</f>
        <v>0</v>
      </c>
      <c r="L6" s="600">
        <f>IF(L$3+12&gt;mes0+Parameters!$B$38*12-1,0,Funding!$C$19/Parameters!$B$38/12)
+Funding!$D$19/Parameters!$C$38/12
+Funding!$E$19/Parameters!$D$38/12</f>
        <v>0</v>
      </c>
      <c r="M6" s="600">
        <f>IF(M$3+12&gt;mes0+Parameters!$B$38*12-1,0,Funding!$C$19/Parameters!$B$38/12)
+Funding!$D$19/Parameters!$C$38/12
+Funding!$E$19/Parameters!$D$38/12</f>
        <v>0</v>
      </c>
      <c r="N6" s="599">
        <f>SUM(B6:M6)</f>
        <v>0</v>
      </c>
    </row>
    <row r="7" spans="1:14" s="405" customFormat="1" ht="16.149999999999999" customHeight="1">
      <c r="A7" s="1555" t="str">
        <v>Total Operations Income</v>
      </c>
      <c r="B7" s="1556">
        <f t="array" aca="1" ref="B7:M7" ca="1">B5:M5+B6:M6</f>
        <v>1030</v>
      </c>
      <c r="C7" s="1556">
        <f ca="1"/>
        <v>1030</v>
      </c>
      <c r="D7" s="1556">
        <f ca="1"/>
        <v>1030</v>
      </c>
      <c r="E7" s="1556">
        <f ca="1"/>
        <v>1030</v>
      </c>
      <c r="F7" s="1556">
        <f ca="1"/>
        <v>1030</v>
      </c>
      <c r="G7" s="1556">
        <f ca="1"/>
        <v>1030</v>
      </c>
      <c r="H7" s="1556">
        <f ca="1"/>
        <v>1030</v>
      </c>
      <c r="I7" s="1556">
        <f ca="1"/>
        <v>1030</v>
      </c>
      <c r="J7" s="1556">
        <f ca="1"/>
        <v>1030</v>
      </c>
      <c r="K7" s="1556">
        <f ca="1"/>
        <v>1030</v>
      </c>
      <c r="L7" s="1556">
        <f ca="1"/>
        <v>1030</v>
      </c>
      <c r="M7" s="1556">
        <f ca="1"/>
        <v>1030</v>
      </c>
      <c r="N7" s="599">
        <f ca="1">SUM(B7:M7)</f>
        <v>12360</v>
      </c>
    </row>
    <row r="8" spans="1:14" s="405" customFormat="1" ht="16.149999999999999" customHeight="1">
      <c r="A8" s="1554"/>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1'!B28:M28</f>
        <v>103.00000000000001</v>
      </c>
      <c r="C9" s="596">
        <f ca="1"/>
        <v>103.00000000000001</v>
      </c>
      <c r="D9" s="596">
        <f ca="1"/>
        <v>103.00000000000001</v>
      </c>
      <c r="E9" s="596">
        <f ca="1"/>
        <v>103.00000000000001</v>
      </c>
      <c r="F9" s="596">
        <f ca="1"/>
        <v>103.00000000000001</v>
      </c>
      <c r="G9" s="596">
        <f ca="1"/>
        <v>103.00000000000001</v>
      </c>
      <c r="H9" s="596">
        <f ca="1"/>
        <v>103.00000000000001</v>
      </c>
      <c r="I9" s="596">
        <f ca="1"/>
        <v>103.00000000000001</v>
      </c>
      <c r="J9" s="596">
        <f ca="1"/>
        <v>103.00000000000001</v>
      </c>
      <c r="K9" s="596">
        <f ca="1"/>
        <v>103.00000000000001</v>
      </c>
      <c r="L9" s="596">
        <f ca="1"/>
        <v>103.00000000000001</v>
      </c>
      <c r="M9" s="596">
        <f ca="1"/>
        <v>103.00000000000001</v>
      </c>
      <c r="N9" s="597">
        <f ca="1">SUM(B9:M9)</f>
        <v>1236.0000000000002</v>
      </c>
    </row>
    <row r="10" spans="1:14" s="403" customFormat="1" ht="16.149999999999999" customHeight="1">
      <c r="A10" s="412" t="str">
        <v>Defaulted Sales</v>
      </c>
      <c r="B10" s="600">
        <f ca="1">-(1-recmorosos)*'Collections &amp; Payments 0'!B27</f>
        <v>0</v>
      </c>
      <c r="C10" s="600">
        <f ca="1">-(1-recmorosos)*'Collections &amp; Payments 0'!C27</f>
        <v>0</v>
      </c>
      <c r="D10" s="600">
        <f ca="1">-(1-recmorosos)*'Collections &amp; Payments 0'!D27</f>
        <v>0</v>
      </c>
      <c r="E10" s="600">
        <f ca="1">-(1-recmorosos)*'Collections &amp; Payments 0'!E27</f>
        <v>0</v>
      </c>
      <c r="F10" s="600">
        <f ca="1">-(1-recmorosos)*'Collections &amp; Payments 0'!F27</f>
        <v>0</v>
      </c>
      <c r="G10" s="600">
        <f ca="1">-(1-recmorosos)*'Collections &amp; Payments 0'!G27</f>
        <v>0</v>
      </c>
      <c r="H10" s="600">
        <f ca="1">-(1-recmorosos)*'Collections &amp; Payments 0'!H27</f>
        <v>0</v>
      </c>
      <c r="I10" s="600">
        <f ca="1">-(1-recmorosos)*'Collections &amp; Payments 0'!I27</f>
        <v>0</v>
      </c>
      <c r="J10" s="600">
        <f ca="1">-(1-recmorosos)*'Collections &amp; Payments 0'!J27</f>
        <v>0</v>
      </c>
      <c r="K10" s="600">
        <f ca="1">-(1-recmorosos)*'Collections &amp; Payments 0'!K27</f>
        <v>0</v>
      </c>
      <c r="L10" s="600">
        <f ca="1">-(1-recmorosos)*'Collections &amp; Payments 0'!L27</f>
        <v>0</v>
      </c>
      <c r="M10" s="600">
        <f ca="1">-(1-recmorosos)*'Collections &amp; Payments 0'!M27+'VAT 1'!O15</f>
        <v>0</v>
      </c>
      <c r="N10" s="599">
        <f ca="1">SUM(B10:M10)</f>
        <v>0</v>
      </c>
    </row>
    <row r="11" spans="1:14" s="403" customFormat="1" ht="16.149999999999999" customHeight="1">
      <c r="A11" s="1560" t="str">
        <v>Direct &amp; Commercial Costs</v>
      </c>
      <c r="B11" s="1556">
        <f t="array" aca="1" ref="B11:M11" ca="1">B9:M9+B10:M10</f>
        <v>103.00000000000001</v>
      </c>
      <c r="C11" s="1556">
        <f ca="1"/>
        <v>103.00000000000001</v>
      </c>
      <c r="D11" s="1556">
        <f ca="1"/>
        <v>103.00000000000001</v>
      </c>
      <c r="E11" s="1556">
        <f ca="1"/>
        <v>103.00000000000001</v>
      </c>
      <c r="F11" s="1556">
        <f ca="1"/>
        <v>103.00000000000001</v>
      </c>
      <c r="G11" s="1556">
        <f ca="1"/>
        <v>103.00000000000001</v>
      </c>
      <c r="H11" s="1556">
        <f ca="1"/>
        <v>103.00000000000001</v>
      </c>
      <c r="I11" s="1556">
        <f ca="1"/>
        <v>103.00000000000001</v>
      </c>
      <c r="J11" s="1556">
        <f ca="1"/>
        <v>103.00000000000001</v>
      </c>
      <c r="K11" s="1556">
        <f ca="1"/>
        <v>103.00000000000001</v>
      </c>
      <c r="L11" s="1556">
        <f ca="1"/>
        <v>103.00000000000001</v>
      </c>
      <c r="M11" s="1556">
        <f ca="1"/>
        <v>103.00000000000001</v>
      </c>
      <c r="N11" s="599">
        <f ca="1">SUM(B11:M11)</f>
        <v>1236.0000000000002</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927</v>
      </c>
      <c r="C13" s="595">
        <f ca="1"/>
        <v>927</v>
      </c>
      <c r="D13" s="595">
        <f ca="1"/>
        <v>927</v>
      </c>
      <c r="E13" s="595">
        <f ca="1"/>
        <v>927</v>
      </c>
      <c r="F13" s="595">
        <f ca="1"/>
        <v>927</v>
      </c>
      <c r="G13" s="595">
        <f ca="1"/>
        <v>927</v>
      </c>
      <c r="H13" s="595">
        <f ca="1"/>
        <v>927</v>
      </c>
      <c r="I13" s="595">
        <f ca="1"/>
        <v>927</v>
      </c>
      <c r="J13" s="595">
        <f ca="1"/>
        <v>927</v>
      </c>
      <c r="K13" s="595">
        <f ca="1"/>
        <v>927</v>
      </c>
      <c r="L13" s="595">
        <f ca="1"/>
        <v>927</v>
      </c>
      <c r="M13" s="595">
        <f ca="1"/>
        <v>927</v>
      </c>
      <c r="N13" s="597">
        <f ca="1">SUM(B13:M13)</f>
        <v>11124</v>
      </c>
    </row>
    <row r="14" spans="1:14" s="405" customFormat="1" ht="16.149999999999999" customHeight="1">
      <c r="A14" s="413"/>
      <c r="B14" s="407"/>
      <c r="C14" s="407"/>
      <c r="D14" s="407"/>
      <c r="E14" s="407"/>
      <c r="F14" s="407"/>
      <c r="G14" s="407"/>
      <c r="H14" s="407"/>
      <c r="I14" s="407"/>
      <c r="J14" s="407"/>
      <c r="K14" s="407"/>
      <c r="L14" s="407"/>
      <c r="M14" s="407"/>
      <c r="N14" s="1564"/>
    </row>
    <row r="15" spans="1:14" s="403" customFormat="1" ht="16.149999999999999" customHeight="1">
      <c r="A15" s="920" t="str">
        <f t="array" ref="A15:A18">'Yearly Income St'!A15:A18</f>
        <v>Labour Expenses</v>
      </c>
      <c r="B15" s="596">
        <f t="array" ref="B15:M15">'Fixed Expenses 1'!B27:M27-'Fixed Expenses 1'!B20:M20</f>
        <v>1248</v>
      </c>
      <c r="C15" s="596">
        <v>1248</v>
      </c>
      <c r="D15" s="596">
        <v>1248</v>
      </c>
      <c r="E15" s="596">
        <v>1248</v>
      </c>
      <c r="F15" s="596">
        <v>1248</v>
      </c>
      <c r="G15" s="596">
        <v>1248</v>
      </c>
      <c r="H15" s="596">
        <v>1248</v>
      </c>
      <c r="I15" s="596">
        <v>1248</v>
      </c>
      <c r="J15" s="596">
        <v>1248</v>
      </c>
      <c r="K15" s="596">
        <v>1248</v>
      </c>
      <c r="L15" s="596">
        <v>1248</v>
      </c>
      <c r="M15" s="596">
        <v>1248</v>
      </c>
      <c r="N15" s="597">
        <f>SUM(B15:M15)</f>
        <v>14976</v>
      </c>
    </row>
    <row r="16" spans="1:14" s="403" customFormat="1" ht="16.149999999999999" customHeight="1">
      <c r="A16" s="920" t="str">
        <v>Social Security Expenses</v>
      </c>
      <c r="B16" s="596">
        <f t="array" ref="B16:M16">+'Fixed Expenses 1'!B20:M20</f>
        <v>80</v>
      </c>
      <c r="C16" s="596">
        <v>80</v>
      </c>
      <c r="D16" s="596">
        <v>80</v>
      </c>
      <c r="E16" s="596">
        <v>80</v>
      </c>
      <c r="F16" s="596">
        <v>80</v>
      </c>
      <c r="G16" s="596">
        <v>80</v>
      </c>
      <c r="H16" s="596">
        <v>80</v>
      </c>
      <c r="I16" s="596">
        <v>80</v>
      </c>
      <c r="J16" s="596">
        <v>80</v>
      </c>
      <c r="K16" s="596">
        <v>80</v>
      </c>
      <c r="L16" s="596">
        <v>80</v>
      </c>
      <c r="M16" s="596">
        <v>80</v>
      </c>
      <c r="N16" s="597">
        <f>SUM(B16:M16)</f>
        <v>960</v>
      </c>
    </row>
    <row r="17" spans="1:14" s="403" customFormat="1" ht="16.149999999999999" customHeight="1">
      <c r="A17" s="920" t="str">
        <v>Other Fixed Expenses</v>
      </c>
      <c r="B17" s="596">
        <f t="array" aca="1" ref="B17:M17" ca="1">'Fixed Expenses 1'!B55:M55+'VAT 1'!C13:N13</f>
        <v>32.772000000000006</v>
      </c>
      <c r="C17" s="596">
        <f ca="1"/>
        <v>32.772000000000006</v>
      </c>
      <c r="D17" s="596">
        <f ca="1"/>
        <v>32.772000000000006</v>
      </c>
      <c r="E17" s="596">
        <f ca="1"/>
        <v>32.772000000000006</v>
      </c>
      <c r="F17" s="596">
        <f ca="1"/>
        <v>32.772000000000006</v>
      </c>
      <c r="G17" s="596">
        <f ca="1"/>
        <v>32.772000000000006</v>
      </c>
      <c r="H17" s="596">
        <f ca="1"/>
        <v>32.772000000000006</v>
      </c>
      <c r="I17" s="596">
        <f ca="1"/>
        <v>32.772000000000006</v>
      </c>
      <c r="J17" s="596">
        <f ca="1"/>
        <v>32.772000000000006</v>
      </c>
      <c r="K17" s="596">
        <f ca="1"/>
        <v>32.772000000000006</v>
      </c>
      <c r="L17" s="596">
        <f ca="1"/>
        <v>32.772000000000006</v>
      </c>
      <c r="M17" s="596">
        <f ca="1"/>
        <v>32.772000000000006</v>
      </c>
      <c r="N17" s="597">
        <f ca="1">SUM(B17:M17)</f>
        <v>393.26399999999995</v>
      </c>
    </row>
    <row r="18" spans="1:14" s="405" customFormat="1" ht="16.149999999999999" customHeight="1">
      <c r="A18" s="413" t="str">
        <v>Total Operation Expenses</v>
      </c>
      <c r="B18" s="595">
        <f t="shared" ref="B18:M18" ca="1" si="0">SUM(B15:B17)</f>
        <v>1360.7719999999999</v>
      </c>
      <c r="C18" s="595">
        <f t="shared" ca="1" si="0"/>
        <v>1360.7719999999999</v>
      </c>
      <c r="D18" s="595">
        <f t="shared" ca="1" si="0"/>
        <v>1360.7719999999999</v>
      </c>
      <c r="E18" s="595">
        <f t="shared" ca="1" si="0"/>
        <v>1360.7719999999999</v>
      </c>
      <c r="F18" s="595">
        <f t="shared" ca="1" si="0"/>
        <v>1360.7719999999999</v>
      </c>
      <c r="G18" s="595">
        <f t="shared" ca="1" si="0"/>
        <v>1360.7719999999999</v>
      </c>
      <c r="H18" s="595">
        <f t="shared" ca="1" si="0"/>
        <v>1360.7719999999999</v>
      </c>
      <c r="I18" s="595">
        <f t="shared" ca="1" si="0"/>
        <v>1360.7719999999999</v>
      </c>
      <c r="J18" s="595">
        <f t="shared" ca="1" si="0"/>
        <v>1360.7719999999999</v>
      </c>
      <c r="K18" s="595">
        <f t="shared" ca="1" si="0"/>
        <v>1360.7719999999999</v>
      </c>
      <c r="L18" s="595">
        <f t="shared" ca="1" si="0"/>
        <v>1360.7719999999999</v>
      </c>
      <c r="M18" s="595">
        <f t="shared" ca="1" si="0"/>
        <v>1360.7719999999999</v>
      </c>
      <c r="N18" s="597">
        <f ca="1">SUM(B18:M18)</f>
        <v>16329.264000000003</v>
      </c>
    </row>
    <row r="19" spans="1:14" s="405" customFormat="1" ht="16.149999999999999" customHeight="1">
      <c r="A19" s="413"/>
      <c r="B19" s="407"/>
      <c r="C19" s="407"/>
      <c r="D19" s="407"/>
      <c r="E19" s="407"/>
      <c r="F19" s="407"/>
      <c r="G19" s="407"/>
      <c r="H19" s="407"/>
      <c r="I19" s="407"/>
      <c r="J19" s="407"/>
      <c r="K19" s="407"/>
      <c r="L19" s="407"/>
      <c r="M19" s="407"/>
      <c r="N19" s="1564"/>
    </row>
    <row r="20" spans="1:14" s="405" customFormat="1" ht="16.149999999999999" customHeight="1">
      <c r="A20" s="413" t="str">
        <f>'Yearly Income St'!A20</f>
        <v>E.B.I.T.D.A.</v>
      </c>
      <c r="B20" s="407">
        <f t="array" aca="1" ref="B20:M20" ca="1">B13:M13-B18:M18</f>
        <v>-433.77199999999993</v>
      </c>
      <c r="C20" s="407">
        <f ca="1"/>
        <v>-433.77199999999993</v>
      </c>
      <c r="D20" s="407">
        <f ca="1"/>
        <v>-433.77199999999993</v>
      </c>
      <c r="E20" s="407">
        <f ca="1"/>
        <v>-433.77199999999993</v>
      </c>
      <c r="F20" s="407">
        <f ca="1"/>
        <v>-433.77199999999993</v>
      </c>
      <c r="G20" s="407">
        <f ca="1"/>
        <v>-433.77199999999993</v>
      </c>
      <c r="H20" s="407">
        <f ca="1"/>
        <v>-433.77199999999993</v>
      </c>
      <c r="I20" s="407">
        <f ca="1"/>
        <v>-433.77199999999993</v>
      </c>
      <c r="J20" s="407">
        <f ca="1"/>
        <v>-433.77199999999993</v>
      </c>
      <c r="K20" s="407">
        <f ca="1"/>
        <v>-433.77199999999993</v>
      </c>
      <c r="L20" s="407">
        <f ca="1"/>
        <v>-433.77199999999993</v>
      </c>
      <c r="M20" s="407">
        <f ca="1"/>
        <v>-433.77199999999993</v>
      </c>
      <c r="N20" s="597">
        <f ca="1">SUM(B20:M20)</f>
        <v>-5205.2639999999992</v>
      </c>
    </row>
    <row r="21" spans="1:14" s="405" customFormat="1" ht="16.149999999999999" customHeight="1">
      <c r="A21" s="413"/>
      <c r="B21" s="407"/>
      <c r="C21" s="407"/>
      <c r="D21" s="407"/>
      <c r="E21" s="407"/>
      <c r="F21" s="407"/>
      <c r="G21" s="407"/>
      <c r="H21" s="407"/>
      <c r="I21" s="407"/>
      <c r="J21" s="407"/>
      <c r="K21" s="407"/>
      <c r="L21" s="407"/>
      <c r="M21" s="407"/>
      <c r="N21" s="1564"/>
    </row>
    <row r="22" spans="1:14" s="403" customFormat="1" ht="16.149999999999999" customHeight="1">
      <c r="A22" s="2416" t="str">
        <f t="array" ref="A22:A23">'Yearly Income St'!A22:A23</f>
        <v>Amoortizations &amp; Depreciations</v>
      </c>
      <c r="B22" s="596">
        <f t="array" ref="B22:M22">Amortizations!$E$41/12</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aca="1" ref="B23:M23" ca="1">B20:M20-B22:M22</f>
        <v>-433.77199999999993</v>
      </c>
      <c r="C23" s="597">
        <f ca="1"/>
        <v>-433.77199999999993</v>
      </c>
      <c r="D23" s="597">
        <f ca="1"/>
        <v>-433.77199999999993</v>
      </c>
      <c r="E23" s="597">
        <f ca="1"/>
        <v>-433.77199999999993</v>
      </c>
      <c r="F23" s="597">
        <f ca="1"/>
        <v>-433.77199999999993</v>
      </c>
      <c r="G23" s="597">
        <f ca="1"/>
        <v>-433.77199999999993</v>
      </c>
      <c r="H23" s="597">
        <f ca="1"/>
        <v>-433.77199999999993</v>
      </c>
      <c r="I23" s="597">
        <f ca="1"/>
        <v>-433.77199999999993</v>
      </c>
      <c r="J23" s="597">
        <f ca="1"/>
        <v>-433.77199999999993</v>
      </c>
      <c r="K23" s="597">
        <f ca="1"/>
        <v>-433.77199999999993</v>
      </c>
      <c r="L23" s="597">
        <f ca="1"/>
        <v>-433.77199999999993</v>
      </c>
      <c r="M23" s="597">
        <f ca="1"/>
        <v>-433.77199999999993</v>
      </c>
      <c r="N23" s="597">
        <f ca="1">SUM(B23:M23)</f>
        <v>-5205.2639999999992</v>
      </c>
    </row>
    <row r="24" spans="1:14" s="405" customFormat="1" ht="16.149999999999999" customHeight="1">
      <c r="A24" s="413"/>
      <c r="B24" s="407"/>
      <c r="C24" s="407"/>
      <c r="D24" s="407"/>
      <c r="E24" s="407"/>
      <c r="F24" s="407"/>
      <c r="G24" s="407"/>
      <c r="H24" s="407"/>
      <c r="I24" s="407"/>
      <c r="J24" s="407"/>
      <c r="K24" s="407"/>
      <c r="L24" s="407"/>
      <c r="M24" s="407"/>
      <c r="N24" s="1564"/>
    </row>
    <row r="25" spans="1:14" s="403" customFormat="1" ht="16.149999999999999" customHeight="1">
      <c r="A25" s="920" t="str">
        <f t="array" ref="A25:A27">'Yearly Income St'!A25:A27</f>
        <v>Financial Income</v>
      </c>
      <c r="B25" s="598">
        <f t="array" ref="B25:M25" ca="1">'Financial Expenses'!C92:N92</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ca="1">SUM(B25:M25)</f>
        <v>0</v>
      </c>
    </row>
    <row r="26" spans="1:14" s="403" customFormat="1" ht="16.149999999999999" customHeight="1">
      <c r="A26" s="920" t="str">
        <v>Financial Expenses</v>
      </c>
      <c r="B26" s="598">
        <f t="array" ref="B26:M26" ca="1">'Financial Expenses'!C34:N34</f>
        <v>12.462999999999999</v>
      </c>
      <c r="C26" s="598">
        <f ca="1"/>
        <v>12.462999999999999</v>
      </c>
      <c r="D26" s="598">
        <f ca="1"/>
        <v>12.462999999999999</v>
      </c>
      <c r="E26" s="598">
        <f ca="1"/>
        <v>12.462999999999999</v>
      </c>
      <c r="F26" s="598">
        <f ca="1"/>
        <v>12.462999999999999</v>
      </c>
      <c r="G26" s="598">
        <f ca="1"/>
        <v>12.462999999999999</v>
      </c>
      <c r="H26" s="598">
        <f ca="1"/>
        <v>12.462999999999999</v>
      </c>
      <c r="I26" s="598">
        <f ca="1"/>
        <v>12.462999999999999</v>
      </c>
      <c r="J26" s="598">
        <f ca="1"/>
        <v>12.462999999999999</v>
      </c>
      <c r="K26" s="598">
        <f ca="1"/>
        <v>12.462999999999999</v>
      </c>
      <c r="L26" s="598">
        <f ca="1"/>
        <v>12.462999999999999</v>
      </c>
      <c r="M26" s="598">
        <f ca="1"/>
        <v>12.462999999999999</v>
      </c>
      <c r="N26" s="599">
        <f ca="1">SUM(B26:M26)</f>
        <v>149.55599999999995</v>
      </c>
    </row>
    <row r="27" spans="1:14" s="405" customFormat="1" ht="16.149999999999999" customHeight="1">
      <c r="A27" s="413" t="str">
        <v>Financial Result</v>
      </c>
      <c r="B27" s="599">
        <f t="array" ref="B27:M27" ca="1">B25:M25-B26:M26</f>
        <v>-12.462999999999999</v>
      </c>
      <c r="C27" s="599">
        <f ca="1"/>
        <v>-12.462999999999999</v>
      </c>
      <c r="D27" s="599">
        <f ca="1"/>
        <v>-12.462999999999999</v>
      </c>
      <c r="E27" s="599">
        <f ca="1"/>
        <v>-12.462999999999999</v>
      </c>
      <c r="F27" s="599">
        <f ca="1"/>
        <v>-12.462999999999999</v>
      </c>
      <c r="G27" s="599">
        <f ca="1"/>
        <v>-12.462999999999999</v>
      </c>
      <c r="H27" s="599">
        <f ca="1"/>
        <v>-12.462999999999999</v>
      </c>
      <c r="I27" s="599">
        <f ca="1"/>
        <v>-12.462999999999999</v>
      </c>
      <c r="J27" s="599">
        <f ca="1"/>
        <v>-12.462999999999999</v>
      </c>
      <c r="K27" s="599">
        <f ca="1"/>
        <v>-12.462999999999999</v>
      </c>
      <c r="L27" s="599">
        <f ca="1"/>
        <v>-12.462999999999999</v>
      </c>
      <c r="M27" s="599">
        <f ca="1"/>
        <v>-12.462999999999999</v>
      </c>
      <c r="N27" s="599">
        <f ca="1">SUM(B27:M27)</f>
        <v>-149.55599999999995</v>
      </c>
    </row>
    <row r="28" spans="1:14" s="405" customFormat="1" ht="16.149999999999999" customHeight="1">
      <c r="A28" s="413"/>
      <c r="B28" s="407"/>
      <c r="C28" s="407"/>
      <c r="D28" s="407"/>
      <c r="E28" s="407"/>
      <c r="F28" s="407"/>
      <c r="G28" s="407"/>
      <c r="H28" s="407"/>
      <c r="I28" s="407"/>
      <c r="J28" s="407"/>
      <c r="K28" s="407"/>
      <c r="L28" s="407"/>
      <c r="M28" s="407"/>
      <c r="N28" s="1564"/>
    </row>
    <row r="29" spans="1:14" s="405" customFormat="1" ht="16.149999999999999" customHeight="1">
      <c r="A29" s="413" t="str">
        <f>'Yearly Income St'!A29</f>
        <v>EBT  Earnings Before Taxation</v>
      </c>
      <c r="B29" s="599">
        <f t="array" ref="B29:M29" ca="1">B23:M23+B27:M27</f>
        <v>-446.23499999999996</v>
      </c>
      <c r="C29" s="599">
        <f ca="1"/>
        <v>-446.23499999999996</v>
      </c>
      <c r="D29" s="599">
        <f ca="1"/>
        <v>-446.23499999999996</v>
      </c>
      <c r="E29" s="599">
        <f ca="1"/>
        <v>-446.23499999999996</v>
      </c>
      <c r="F29" s="599">
        <f ca="1"/>
        <v>-446.23499999999996</v>
      </c>
      <c r="G29" s="599">
        <f ca="1"/>
        <v>-446.23499999999996</v>
      </c>
      <c r="H29" s="599">
        <f ca="1"/>
        <v>-446.23499999999996</v>
      </c>
      <c r="I29" s="599">
        <f ca="1"/>
        <v>-446.23499999999996</v>
      </c>
      <c r="J29" s="599">
        <f ca="1"/>
        <v>-446.23499999999996</v>
      </c>
      <c r="K29" s="599">
        <f ca="1"/>
        <v>-446.23499999999996</v>
      </c>
      <c r="L29" s="599">
        <f ca="1"/>
        <v>-446.23499999999996</v>
      </c>
      <c r="M29" s="599">
        <f ca="1"/>
        <v>-446.23499999999996</v>
      </c>
      <c r="N29" s="599">
        <f ca="1">SUM(B29:M29)</f>
        <v>-5354.82</v>
      </c>
    </row>
    <row r="30" spans="1:14" s="405" customFormat="1" ht="16.149999999999999" customHeight="1" thickBot="1">
      <c r="A30" s="413"/>
      <c r="B30" s="407"/>
      <c r="C30" s="407"/>
      <c r="D30" s="407"/>
      <c r="E30" s="407"/>
      <c r="F30" s="407"/>
      <c r="G30" s="407"/>
      <c r="H30" s="407"/>
      <c r="I30" s="407"/>
      <c r="J30" s="407"/>
      <c r="K30" s="407"/>
      <c r="L30" s="407"/>
      <c r="M30" s="407"/>
      <c r="N30" s="1564"/>
    </row>
    <row r="31" spans="1:14" s="408" customFormat="1" ht="21.75" customHeight="1" thickBot="1">
      <c r="A31" s="414" t="s">
        <v>635</v>
      </c>
      <c r="B31" s="601">
        <f ca="1">B29</f>
        <v>-446.23499999999996</v>
      </c>
      <c r="C31" s="601">
        <f t="shared" ref="C31:M31" ca="1" si="1">B31+C29</f>
        <v>-892.46999999999991</v>
      </c>
      <c r="D31" s="601">
        <f t="shared" ca="1" si="1"/>
        <v>-1338.7049999999999</v>
      </c>
      <c r="E31" s="601">
        <f t="shared" ca="1" si="1"/>
        <v>-1784.9399999999998</v>
      </c>
      <c r="F31" s="601">
        <f t="shared" ca="1" si="1"/>
        <v>-2231.1749999999997</v>
      </c>
      <c r="G31" s="601">
        <f t="shared" ca="1" si="1"/>
        <v>-2677.41</v>
      </c>
      <c r="H31" s="601">
        <f t="shared" ca="1" si="1"/>
        <v>-3123.645</v>
      </c>
      <c r="I31" s="601">
        <f t="shared" ca="1" si="1"/>
        <v>-3569.88</v>
      </c>
      <c r="J31" s="601">
        <f t="shared" ca="1" si="1"/>
        <v>-4016.1150000000002</v>
      </c>
      <c r="K31" s="601">
        <f t="shared" ca="1" si="1"/>
        <v>-4462.3500000000004</v>
      </c>
      <c r="L31" s="601">
        <f t="shared" ca="1" si="1"/>
        <v>-4908.585</v>
      </c>
      <c r="M31" s="601">
        <f t="shared" ca="1" si="1"/>
        <v>-5354.82</v>
      </c>
      <c r="N31" s="415"/>
    </row>
    <row r="32" spans="1:14" s="403" customFormat="1" ht="10.5">
      <c r="N32" s="405"/>
    </row>
    <row r="33" spans="14:14" s="403" customFormat="1" ht="10.5"/>
    <row r="34" spans="14:14">
      <c r="N34" s="61"/>
    </row>
  </sheetData>
  <sheetProtection sheet="1" objects="1" scenarios="1"/>
  <phoneticPr fontId="7" type="noConversion"/>
  <printOptions horizontalCentered="1" verticalCentered="1"/>
  <pageMargins left="0.39370078740157483" right="0.39370078740157483" top="0.59055118110236227"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18">
    <tabColor indexed="42"/>
    <pageSetUpPr fitToPage="1"/>
  </sheetPr>
  <dimension ref="A1:N33"/>
  <sheetViews>
    <sheetView zoomScale="75" workbookViewId="0">
      <selection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626</v>
      </c>
      <c r="E1" s="230"/>
      <c r="F1" s="230"/>
      <c r="I1" s="231" t="str">
        <f>Parameters!D$77</f>
        <v>Year 2:   2028</v>
      </c>
      <c r="L1" s="402"/>
    </row>
    <row r="2" spans="1:14" s="403" customFormat="1" ht="22.5">
      <c r="A2" s="66" t="str">
        <f>'Base Data'!B9</f>
        <v>WWW, Ltd.</v>
      </c>
      <c r="C2" s="404"/>
      <c r="D2" s="273"/>
      <c r="N2" s="405"/>
    </row>
    <row r="3" spans="1:14" s="403" customFormat="1" ht="26.25" thickBot="1">
      <c r="A3" s="59"/>
      <c r="B3" s="2273">
        <v>1</v>
      </c>
      <c r="C3" s="2273">
        <v>2</v>
      </c>
      <c r="D3" s="2273">
        <v>3</v>
      </c>
      <c r="E3" s="2273">
        <v>4</v>
      </c>
      <c r="F3" s="2273">
        <v>5</v>
      </c>
      <c r="G3" s="2273">
        <v>6</v>
      </c>
      <c r="H3" s="2273">
        <v>7</v>
      </c>
      <c r="I3" s="2273">
        <v>8</v>
      </c>
      <c r="J3" s="2273">
        <v>9</v>
      </c>
      <c r="K3" s="2273">
        <v>10</v>
      </c>
      <c r="L3" s="2273">
        <v>11</v>
      </c>
      <c r="M3" s="2273">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2'!B25:M25</f>
        <v>1113.9449999999999</v>
      </c>
      <c r="C5" s="596">
        <f ca="1"/>
        <v>1113.9449999999999</v>
      </c>
      <c r="D5" s="596">
        <f ca="1"/>
        <v>1113.9449999999999</v>
      </c>
      <c r="E5" s="596">
        <f ca="1"/>
        <v>1113.9449999999999</v>
      </c>
      <c r="F5" s="596">
        <f ca="1"/>
        <v>1113.9449999999999</v>
      </c>
      <c r="G5" s="596">
        <f ca="1"/>
        <v>1113.9449999999999</v>
      </c>
      <c r="H5" s="596">
        <f ca="1"/>
        <v>1113.9449999999999</v>
      </c>
      <c r="I5" s="596">
        <f ca="1"/>
        <v>1113.9449999999999</v>
      </c>
      <c r="J5" s="596">
        <f ca="1"/>
        <v>1113.9449999999999</v>
      </c>
      <c r="K5" s="596">
        <f ca="1"/>
        <v>1113.9449999999999</v>
      </c>
      <c r="L5" s="596">
        <f ca="1"/>
        <v>1113.9449999999999</v>
      </c>
      <c r="M5" s="596">
        <f ca="1"/>
        <v>1113.9449999999999</v>
      </c>
      <c r="N5" s="597">
        <f ca="1">SUM(B5:M5)</f>
        <v>13367.339999999998</v>
      </c>
    </row>
    <row r="6" spans="1:14" s="405" customFormat="1" ht="16.149999999999999" customHeight="1">
      <c r="A6" s="1554" t="str">
        <v>Subsidies Imputation</v>
      </c>
      <c r="B6" s="600">
        <f>IF(B$3+24&gt;mes0+Parameters!$B$38*12-1,0,Funding!$C$19/Parameters!$B$38/12)
+IF(Parameters!$C$38&gt;2,Funding!$D$19/Parameters!$C$38/12,0)
+Funding!$E$19/Parameters!$D$38/12
+Funding!$F$19/Parameters!$E$38/12</f>
        <v>0</v>
      </c>
      <c r="C6" s="600">
        <f>IF(C$3+24&gt;mes0+Parameters!$B$38*12-1,0,Funding!$C$19/Parameters!$B$38/12)
+IF(Parameters!$C$38&gt;2,Funding!$D$19/Parameters!$C$38/12,0)
+Funding!$E$19/Parameters!$D$38/12
+Funding!$F$19/Parameters!$E$38/12</f>
        <v>0</v>
      </c>
      <c r="D6" s="600">
        <f>IF(D$3+24&gt;mes0+Parameters!$B$38*12-1,0,Funding!$C$19/Parameters!$B$38/12)
+IF(Parameters!$C$38&gt;2,Funding!$D$19/Parameters!$C$38/12,0)
+Funding!$E$19/Parameters!$D$38/12
+Funding!$F$19/Parameters!$E$38/12</f>
        <v>0</v>
      </c>
      <c r="E6" s="600">
        <f>IF(E$3+24&gt;mes0+Parameters!$B$38*12-1,0,Funding!$C$19/Parameters!$B$38/12)
+IF(Parameters!$C$38&gt;2,Funding!$D$19/Parameters!$C$38/12,0)
+Funding!$E$19/Parameters!$D$38/12
+Funding!$F$19/Parameters!$E$38/12</f>
        <v>0</v>
      </c>
      <c r="F6" s="600">
        <f>IF(F$3+24&gt;mes0+Parameters!$B$38*12-1,0,Funding!$C$19/Parameters!$B$38/12)
+IF(Parameters!$C$38&gt;2,Funding!$D$19/Parameters!$C$38/12,0)
+Funding!$E$19/Parameters!$D$38/12
+Funding!$F$19/Parameters!$E$38/12</f>
        <v>0</v>
      </c>
      <c r="G6" s="600">
        <f>IF(G$3+24&gt;mes0+Parameters!$B$38*12-1,0,Funding!$C$19/Parameters!$B$38/12)
+IF(Parameters!$C$38&gt;2,Funding!$D$19/Parameters!$C$38/12,0)
+Funding!$E$19/Parameters!$D$38/12
+Funding!$F$19/Parameters!$E$38/12</f>
        <v>0</v>
      </c>
      <c r="H6" s="600">
        <f>IF(H$3+24&gt;mes0+Parameters!$B$38*12-1,0,Funding!$C$19/Parameters!$B$38/12)
+IF(Parameters!$C$38&gt;2,Funding!$D$19/Parameters!$C$38/12,0)
+Funding!$E$19/Parameters!$D$38/12
+Funding!$F$19/Parameters!$E$38/12</f>
        <v>0</v>
      </c>
      <c r="I6" s="600">
        <f>IF(I$3+24&gt;mes0+Parameters!$B$38*12-1,0,Funding!$C$19/Parameters!$B$38/12)
+IF(Parameters!$C$38&gt;2,Funding!$D$19/Parameters!$C$38/12,0)
+Funding!$E$19/Parameters!$D$38/12
+Funding!$F$19/Parameters!$E$38/12</f>
        <v>0</v>
      </c>
      <c r="J6" s="600">
        <f>IF(J$3+24&gt;mes0+Parameters!$B$38*12-1,0,Funding!$C$19/Parameters!$B$38/12)
+IF(Parameters!$C$38&gt;2,Funding!$D$19/Parameters!$C$38/12,0)
+Funding!$E$19/Parameters!$D$38/12
+Funding!$F$19/Parameters!$E$38/12</f>
        <v>0</v>
      </c>
      <c r="K6" s="600">
        <f>IF(K$3+24&gt;mes0+Parameters!$B$38*12-1,0,Funding!$C$19/Parameters!$B$38/12)
+IF(Parameters!$C$38&gt;2,Funding!$D$19/Parameters!$C$38/12,0)
+Funding!$E$19/Parameters!$D$38/12
+Funding!$F$19/Parameters!$E$38/12</f>
        <v>0</v>
      </c>
      <c r="L6" s="600">
        <f>IF(L$3+24&gt;mes0+Parameters!$B$38*12-1,0,Funding!$C$19/Parameters!$B$38/12)
+IF(Parameters!$C$38&gt;2,Funding!$D$19/Parameters!$C$38/12,0)
+Funding!$E$19/Parameters!$D$38/12
+Funding!$F$19/Parameters!$E$38/12</f>
        <v>0</v>
      </c>
      <c r="M6" s="600">
        <f>IF(M$3+24&gt;mes0+Parameters!$B$38*12-1,0,Funding!$C$19/Parameters!$B$38/12)
+IF(Parameters!$C$38&gt;2,Funding!$D$19/Parameters!$C$38/12,0)
+Funding!$E$19/Parameters!$D$38/12
+Funding!$F$19/Parameters!$E$38/12</f>
        <v>0</v>
      </c>
      <c r="N6" s="599">
        <f>SUM(B6:M6)</f>
        <v>0</v>
      </c>
    </row>
    <row r="7" spans="1:14" s="405" customFormat="1" ht="16.149999999999999" customHeight="1">
      <c r="A7" s="1555" t="str">
        <v>Total Operations Income</v>
      </c>
      <c r="B7" s="1556">
        <f t="array" aca="1" ref="B7:M7" ca="1">B5:M5+B6:M6</f>
        <v>1113.9449999999999</v>
      </c>
      <c r="C7" s="1556">
        <f ca="1"/>
        <v>1113.9449999999999</v>
      </c>
      <c r="D7" s="1556">
        <f ca="1"/>
        <v>1113.9449999999999</v>
      </c>
      <c r="E7" s="1556">
        <f ca="1"/>
        <v>1113.9449999999999</v>
      </c>
      <c r="F7" s="1556">
        <f ca="1"/>
        <v>1113.9449999999999</v>
      </c>
      <c r="G7" s="1556">
        <f ca="1"/>
        <v>1113.9449999999999</v>
      </c>
      <c r="H7" s="1556">
        <f ca="1"/>
        <v>1113.9449999999999</v>
      </c>
      <c r="I7" s="1556">
        <f ca="1"/>
        <v>1113.9449999999999</v>
      </c>
      <c r="J7" s="1556">
        <f ca="1"/>
        <v>1113.9449999999999</v>
      </c>
      <c r="K7" s="1556">
        <f ca="1"/>
        <v>1113.9449999999999</v>
      </c>
      <c r="L7" s="1556">
        <f ca="1"/>
        <v>1113.9449999999999</v>
      </c>
      <c r="M7" s="1556">
        <f ca="1"/>
        <v>1113.9449999999999</v>
      </c>
      <c r="N7" s="599">
        <f ca="1">SUM(B7:M7)</f>
        <v>13367.339999999998</v>
      </c>
    </row>
    <row r="8" spans="1:14" s="405" customFormat="1" ht="16.149999999999999" customHeight="1">
      <c r="A8" s="1554"/>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2'!B28:M28</f>
        <v>111.39450000000002</v>
      </c>
      <c r="C9" s="596">
        <f ca="1"/>
        <v>111.39450000000002</v>
      </c>
      <c r="D9" s="596">
        <f ca="1"/>
        <v>111.39450000000002</v>
      </c>
      <c r="E9" s="596">
        <f ca="1"/>
        <v>111.39450000000002</v>
      </c>
      <c r="F9" s="596">
        <f ca="1"/>
        <v>111.39450000000002</v>
      </c>
      <c r="G9" s="596">
        <f ca="1"/>
        <v>111.39450000000002</v>
      </c>
      <c r="H9" s="596">
        <f ca="1"/>
        <v>111.39450000000002</v>
      </c>
      <c r="I9" s="596">
        <f ca="1"/>
        <v>111.39450000000002</v>
      </c>
      <c r="J9" s="596">
        <f ca="1"/>
        <v>111.39450000000002</v>
      </c>
      <c r="K9" s="596">
        <f ca="1"/>
        <v>111.39450000000002</v>
      </c>
      <c r="L9" s="596">
        <f ca="1"/>
        <v>111.39450000000002</v>
      </c>
      <c r="M9" s="596">
        <f ca="1"/>
        <v>111.39450000000002</v>
      </c>
      <c r="N9" s="597">
        <f ca="1">SUM(B9:M9)</f>
        <v>1336.7340000000004</v>
      </c>
    </row>
    <row r="10" spans="1:14" s="403" customFormat="1" ht="16.149999999999999" customHeight="1">
      <c r="A10" s="412" t="str">
        <v>Defaulted Sales</v>
      </c>
      <c r="B10" s="600">
        <f ca="1">-(1-recmorosos)*'Collections &amp; Payments 1'!B27</f>
        <v>0</v>
      </c>
      <c r="C10" s="600">
        <f ca="1">-(1-recmorosos)*'Collections &amp; Payments 1'!C27</f>
        <v>0</v>
      </c>
      <c r="D10" s="600">
        <f ca="1">-(1-recmorosos)*'Collections &amp; Payments 1'!D27</f>
        <v>0</v>
      </c>
      <c r="E10" s="600">
        <f ca="1">-(1-recmorosos)*'Collections &amp; Payments 1'!E27</f>
        <v>0</v>
      </c>
      <c r="F10" s="600">
        <f ca="1">-(1-recmorosos)*'Collections &amp; Payments 1'!F27</f>
        <v>0</v>
      </c>
      <c r="G10" s="600">
        <f ca="1">-(1-recmorosos)*'Collections &amp; Payments 1'!G27</f>
        <v>0</v>
      </c>
      <c r="H10" s="600">
        <f ca="1">-(1-recmorosos)*'Collections &amp; Payments 1'!H27</f>
        <v>0</v>
      </c>
      <c r="I10" s="600">
        <f ca="1">-(1-recmorosos)*'Collections &amp; Payments 1'!I27</f>
        <v>0</v>
      </c>
      <c r="J10" s="600">
        <f ca="1">-(1-recmorosos)*'Collections &amp; Payments 1'!J27</f>
        <v>0</v>
      </c>
      <c r="K10" s="600">
        <f ca="1">-(1-recmorosos)*'Collections &amp; Payments 1'!K27</f>
        <v>0</v>
      </c>
      <c r="L10" s="600">
        <f ca="1">-(1-recmorosos)*'Collections &amp; Payments 1'!L27</f>
        <v>0</v>
      </c>
      <c r="M10" s="600">
        <f ca="1">-(1-recmorosos)*'Collections &amp; Payments 1'!M27+'VAT 2'!O15</f>
        <v>0</v>
      </c>
      <c r="N10" s="599">
        <f ca="1">SUM(B10:M10)</f>
        <v>0</v>
      </c>
    </row>
    <row r="11" spans="1:14" s="403" customFormat="1" ht="16.149999999999999" customHeight="1">
      <c r="A11" s="1560" t="str">
        <v>Direct &amp; Commercial Costs</v>
      </c>
      <c r="B11" s="1556">
        <f t="array" aca="1" ref="B11:M11" ca="1">B9:M9+B10:M10</f>
        <v>111.39450000000002</v>
      </c>
      <c r="C11" s="1556">
        <f ca="1"/>
        <v>111.39450000000002</v>
      </c>
      <c r="D11" s="1556">
        <f ca="1"/>
        <v>111.39450000000002</v>
      </c>
      <c r="E11" s="1556">
        <f ca="1"/>
        <v>111.39450000000002</v>
      </c>
      <c r="F11" s="1556">
        <f ca="1"/>
        <v>111.39450000000002</v>
      </c>
      <c r="G11" s="1556">
        <f ca="1"/>
        <v>111.39450000000002</v>
      </c>
      <c r="H11" s="1556">
        <f ca="1"/>
        <v>111.39450000000002</v>
      </c>
      <c r="I11" s="1556">
        <f ca="1"/>
        <v>111.39450000000002</v>
      </c>
      <c r="J11" s="1556">
        <f ca="1"/>
        <v>111.39450000000002</v>
      </c>
      <c r="K11" s="1556">
        <f ca="1"/>
        <v>111.39450000000002</v>
      </c>
      <c r="L11" s="1556">
        <f ca="1"/>
        <v>111.39450000000002</v>
      </c>
      <c r="M11" s="1556">
        <f ca="1"/>
        <v>111.39450000000002</v>
      </c>
      <c r="N11" s="599">
        <f ca="1">SUM(B11:M11)</f>
        <v>1336.7340000000004</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1002.5504999999999</v>
      </c>
      <c r="C13" s="595">
        <f ca="1"/>
        <v>1002.5504999999999</v>
      </c>
      <c r="D13" s="595">
        <f ca="1"/>
        <v>1002.5504999999999</v>
      </c>
      <c r="E13" s="595">
        <f ca="1"/>
        <v>1002.5504999999999</v>
      </c>
      <c r="F13" s="595">
        <f ca="1"/>
        <v>1002.5504999999999</v>
      </c>
      <c r="G13" s="595">
        <f ca="1"/>
        <v>1002.5504999999999</v>
      </c>
      <c r="H13" s="595">
        <f ca="1"/>
        <v>1002.5504999999999</v>
      </c>
      <c r="I13" s="595">
        <f ca="1"/>
        <v>1002.5504999999999</v>
      </c>
      <c r="J13" s="595">
        <f ca="1"/>
        <v>1002.5504999999999</v>
      </c>
      <c r="K13" s="595">
        <f ca="1"/>
        <v>1002.5504999999999</v>
      </c>
      <c r="L13" s="595">
        <f ca="1"/>
        <v>1002.5504999999999</v>
      </c>
      <c r="M13" s="595">
        <f ca="1"/>
        <v>1002.5504999999999</v>
      </c>
      <c r="N13" s="597">
        <f ca="1">SUM(B13:M13)</f>
        <v>12030.605999999998</v>
      </c>
    </row>
    <row r="14" spans="1:14" s="405" customFormat="1" ht="16.149999999999999" customHeight="1">
      <c r="A14" s="413"/>
      <c r="B14" s="407"/>
      <c r="C14" s="407"/>
      <c r="D14" s="407"/>
      <c r="E14" s="407"/>
      <c r="F14" s="407"/>
      <c r="G14" s="407"/>
      <c r="H14" s="407"/>
      <c r="I14" s="407"/>
      <c r="J14" s="407"/>
      <c r="K14" s="407"/>
      <c r="L14" s="407"/>
      <c r="M14" s="407"/>
      <c r="N14" s="1564"/>
    </row>
    <row r="15" spans="1:14" s="403" customFormat="1" ht="16.149999999999999" customHeight="1">
      <c r="A15" s="920" t="str">
        <f t="array" ref="A15:A18">'Yearly Income St'!A15:A18</f>
        <v>Labour Expenses</v>
      </c>
      <c r="B15" s="596">
        <f t="array" ref="B15:M15">'Fixed Expenses 2'!B27:M27-'Fixed Expenses 2'!B20:M20</f>
        <v>1297.92</v>
      </c>
      <c r="C15" s="596">
        <v>1297.92</v>
      </c>
      <c r="D15" s="596">
        <v>1297.92</v>
      </c>
      <c r="E15" s="596">
        <v>1297.92</v>
      </c>
      <c r="F15" s="596">
        <v>1297.92</v>
      </c>
      <c r="G15" s="596">
        <f ca="1"/>
        <v>1297.92</v>
      </c>
      <c r="H15" s="596">
        <v>1297.92</v>
      </c>
      <c r="I15" s="596">
        <v>1297.92</v>
      </c>
      <c r="J15" s="596">
        <v>1297.92</v>
      </c>
      <c r="K15" s="596">
        <v>1297.92</v>
      </c>
      <c r="L15" s="596">
        <v>1297.92</v>
      </c>
      <c r="M15" s="596">
        <v>1297.92</v>
      </c>
      <c r="N15" s="597">
        <f ca="1">SUM(B15:M15)</f>
        <v>15575.04</v>
      </c>
    </row>
    <row r="16" spans="1:14" s="403" customFormat="1" ht="16.149999999999999" customHeight="1">
      <c r="A16" s="920" t="str">
        <v>Social Security Expenses</v>
      </c>
      <c r="B16" s="596">
        <f t="array" ref="B16:M16">+'Fixed Expenses 2'!B20:M20</f>
        <v>80</v>
      </c>
      <c r="C16" s="596">
        <v>80</v>
      </c>
      <c r="D16" s="596">
        <v>80</v>
      </c>
      <c r="E16" s="596">
        <v>80</v>
      </c>
      <c r="F16" s="596">
        <v>80</v>
      </c>
      <c r="G16" s="596">
        <f ca="1"/>
        <v>80</v>
      </c>
      <c r="H16" s="596">
        <v>80</v>
      </c>
      <c r="I16" s="596">
        <v>80</v>
      </c>
      <c r="J16" s="596">
        <v>80</v>
      </c>
      <c r="K16" s="596">
        <v>80</v>
      </c>
      <c r="L16" s="596">
        <v>80</v>
      </c>
      <c r="M16" s="596">
        <v>80</v>
      </c>
      <c r="N16" s="597">
        <f ca="1">SUM(B16:M16)</f>
        <v>960</v>
      </c>
    </row>
    <row r="17" spans="1:14" s="403" customFormat="1" ht="16.149999999999999" customHeight="1">
      <c r="A17" s="920" t="str">
        <v>Other Fixed Expenses</v>
      </c>
      <c r="B17" s="596">
        <f t="array" aca="1" ref="B17:M17" ca="1">'Fixed Expenses 2'!B55:M55+'VAT 2'!C13:N13</f>
        <v>35.365230000000004</v>
      </c>
      <c r="C17" s="596">
        <f ca="1"/>
        <v>35.365230000000004</v>
      </c>
      <c r="D17" s="596">
        <f ca="1"/>
        <v>35.365230000000004</v>
      </c>
      <c r="E17" s="596">
        <f ca="1"/>
        <v>35.365230000000004</v>
      </c>
      <c r="F17" s="596">
        <f ca="1"/>
        <v>35.365230000000004</v>
      </c>
      <c r="G17" s="596">
        <f ca="1"/>
        <v>35.365230000000004</v>
      </c>
      <c r="H17" s="596">
        <f ca="1"/>
        <v>35.365230000000004</v>
      </c>
      <c r="I17" s="596">
        <f ca="1"/>
        <v>35.365230000000004</v>
      </c>
      <c r="J17" s="596">
        <f ca="1"/>
        <v>35.365230000000004</v>
      </c>
      <c r="K17" s="596">
        <f ca="1"/>
        <v>35.365230000000004</v>
      </c>
      <c r="L17" s="596">
        <f ca="1"/>
        <v>35.365230000000004</v>
      </c>
      <c r="M17" s="596">
        <f ca="1"/>
        <v>35.365230000000004</v>
      </c>
      <c r="N17" s="597">
        <f ca="1">SUM(B17:M17)</f>
        <v>424.38276000000002</v>
      </c>
    </row>
    <row r="18" spans="1:14" s="405" customFormat="1" ht="16.149999999999999" customHeight="1">
      <c r="A18" s="413" t="str">
        <v>Total Operation Expenses</v>
      </c>
      <c r="B18" s="595">
        <f t="shared" ref="B18:M18" ca="1" si="0">SUM(B15:B17)</f>
        <v>1413.2852300000002</v>
      </c>
      <c r="C18" s="595">
        <f t="shared" ca="1" si="0"/>
        <v>1413.2852300000002</v>
      </c>
      <c r="D18" s="595">
        <f t="shared" ca="1" si="0"/>
        <v>1413.2852300000002</v>
      </c>
      <c r="E18" s="595">
        <f t="shared" ca="1" si="0"/>
        <v>1413.2852300000002</v>
      </c>
      <c r="F18" s="595">
        <f t="shared" ca="1" si="0"/>
        <v>1413.2852300000002</v>
      </c>
      <c r="G18" s="595">
        <f t="shared" ca="1" si="0"/>
        <v>1413.2852300000002</v>
      </c>
      <c r="H18" s="595">
        <f t="shared" ca="1" si="0"/>
        <v>1413.2852300000002</v>
      </c>
      <c r="I18" s="595">
        <f t="shared" ca="1" si="0"/>
        <v>1413.2852300000002</v>
      </c>
      <c r="J18" s="595">
        <f t="shared" ca="1" si="0"/>
        <v>1413.2852300000002</v>
      </c>
      <c r="K18" s="595">
        <f t="shared" ca="1" si="0"/>
        <v>1413.2852300000002</v>
      </c>
      <c r="L18" s="595">
        <f t="shared" ca="1" si="0"/>
        <v>1413.2852300000002</v>
      </c>
      <c r="M18" s="595">
        <f t="shared" ca="1" si="0"/>
        <v>1413.2852300000002</v>
      </c>
      <c r="N18" s="597">
        <f ca="1">SUM(B18:M18)</f>
        <v>16959.422759999998</v>
      </c>
    </row>
    <row r="19" spans="1:14" s="405" customFormat="1" ht="16.149999999999999" customHeight="1">
      <c r="A19" s="413"/>
      <c r="B19" s="407"/>
      <c r="C19" s="407"/>
      <c r="D19" s="407"/>
      <c r="E19" s="407"/>
      <c r="F19" s="407"/>
      <c r="G19" s="407"/>
      <c r="H19" s="407"/>
      <c r="I19" s="407"/>
      <c r="J19" s="407"/>
      <c r="K19" s="407"/>
      <c r="L19" s="407"/>
      <c r="M19" s="407"/>
      <c r="N19" s="1564"/>
    </row>
    <row r="20" spans="1:14" s="405" customFormat="1" ht="16.149999999999999" customHeight="1">
      <c r="A20" s="413" t="str">
        <f>'Yearly Income St'!A20</f>
        <v>E.B.I.T.D.A.</v>
      </c>
      <c r="B20" s="407">
        <f t="array" ref="B20:M20" ca="1">B13:M13-B18:M18</f>
        <v>-410.73473000000024</v>
      </c>
      <c r="C20" s="407">
        <f ca="1"/>
        <v>-410.73473000000024</v>
      </c>
      <c r="D20" s="407">
        <f ca="1"/>
        <v>-410.73473000000024</v>
      </c>
      <c r="E20" s="407">
        <f ca="1"/>
        <v>-410.73473000000024</v>
      </c>
      <c r="F20" s="407">
        <f ca="1"/>
        <v>-410.73473000000024</v>
      </c>
      <c r="G20" s="407">
        <f ca="1"/>
        <v>-410.73473000000024</v>
      </c>
      <c r="H20" s="407">
        <f ca="1"/>
        <v>-410.73473000000024</v>
      </c>
      <c r="I20" s="407">
        <f ca="1"/>
        <v>-410.73473000000024</v>
      </c>
      <c r="J20" s="407">
        <f ca="1"/>
        <v>-410.73473000000024</v>
      </c>
      <c r="K20" s="407">
        <f ca="1"/>
        <v>-410.73473000000024</v>
      </c>
      <c r="L20" s="407">
        <f ca="1"/>
        <v>-410.73473000000024</v>
      </c>
      <c r="M20" s="407">
        <f ca="1"/>
        <v>-410.73473000000024</v>
      </c>
      <c r="N20" s="597">
        <f ca="1">SUM(B20:M20)</f>
        <v>-4928.8167600000024</v>
      </c>
    </row>
    <row r="21" spans="1:14" s="405" customFormat="1" ht="16.149999999999999" customHeight="1">
      <c r="A21" s="413"/>
      <c r="B21" s="407"/>
      <c r="C21" s="407"/>
      <c r="D21" s="407"/>
      <c r="E21" s="407"/>
      <c r="F21" s="407"/>
      <c r="G21" s="407"/>
      <c r="H21" s="407"/>
      <c r="I21" s="407"/>
      <c r="J21" s="407"/>
      <c r="K21" s="407"/>
      <c r="L21" s="407"/>
      <c r="M21" s="407"/>
      <c r="N21" s="1564"/>
    </row>
    <row r="22" spans="1:14" s="403" customFormat="1" ht="16.149999999999999" customHeight="1">
      <c r="A22" s="2416" t="str">
        <f t="array" ref="A22:A23">'Yearly Income St'!A22:A23</f>
        <v>Amoortizations &amp; Depreciations</v>
      </c>
      <c r="B22" s="596">
        <f t="array" ref="B22:M22">Amortizations!$F$41/12</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ref="B23:M23" ca="1">B20:M20-B22:M22</f>
        <v>-410.73473000000024</v>
      </c>
      <c r="C23" s="597">
        <f ca="1"/>
        <v>-410.73473000000024</v>
      </c>
      <c r="D23" s="597">
        <f ca="1"/>
        <v>-410.73473000000024</v>
      </c>
      <c r="E23" s="597">
        <f ca="1"/>
        <v>-410.73473000000024</v>
      </c>
      <c r="F23" s="597">
        <f ca="1"/>
        <v>-410.73473000000024</v>
      </c>
      <c r="G23" s="597">
        <f ca="1"/>
        <v>-410.73473000000024</v>
      </c>
      <c r="H23" s="597">
        <f ca="1"/>
        <v>-410.73473000000024</v>
      </c>
      <c r="I23" s="597">
        <f ca="1"/>
        <v>-410.73473000000024</v>
      </c>
      <c r="J23" s="597">
        <f ca="1"/>
        <v>-410.73473000000024</v>
      </c>
      <c r="K23" s="597">
        <f ca="1"/>
        <v>-410.73473000000024</v>
      </c>
      <c r="L23" s="597">
        <f ca="1"/>
        <v>-410.73473000000024</v>
      </c>
      <c r="M23" s="597">
        <f ca="1"/>
        <v>-410.73473000000024</v>
      </c>
      <c r="N23" s="597">
        <f ca="1">SUM(B23:M23)</f>
        <v>-4928.8167600000024</v>
      </c>
    </row>
    <row r="24" spans="1:14" s="405" customFormat="1" ht="16.149999999999999" customHeight="1">
      <c r="A24" s="413"/>
      <c r="B24" s="407"/>
      <c r="C24" s="407"/>
      <c r="D24" s="407"/>
      <c r="E24" s="407"/>
      <c r="F24" s="407"/>
      <c r="G24" s="407"/>
      <c r="H24" s="407"/>
      <c r="I24" s="407"/>
      <c r="J24" s="407"/>
      <c r="K24" s="407"/>
      <c r="L24" s="407"/>
      <c r="M24" s="407"/>
      <c r="N24" s="1564"/>
    </row>
    <row r="25" spans="1:14" s="403" customFormat="1" ht="16.149999999999999" customHeight="1">
      <c r="A25" s="920" t="str">
        <f t="array" ref="A25:A27">'Yearly Income St'!A25:A27</f>
        <v>Financial Income</v>
      </c>
      <c r="B25" s="598">
        <f t="array" ref="B25:M25" ca="1">'Financial Expenses'!C97:N97</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ca="1">SUM(B25:M25)</f>
        <v>0</v>
      </c>
    </row>
    <row r="26" spans="1:14" s="403" customFormat="1" ht="16.149999999999999" customHeight="1">
      <c r="A26" s="920" t="str">
        <v>Financial Expenses</v>
      </c>
      <c r="B26" s="598">
        <f t="array" ref="B26:M26" ca="1">'Financial Expenses'!C49:N49</f>
        <v>13.478734499999998</v>
      </c>
      <c r="C26" s="598">
        <f ca="1"/>
        <v>13.478734499999998</v>
      </c>
      <c r="D26" s="598">
        <f ca="1"/>
        <v>13.478734499999998</v>
      </c>
      <c r="E26" s="598">
        <f ca="1"/>
        <v>13.478734499999998</v>
      </c>
      <c r="F26" s="598">
        <f ca="1"/>
        <v>13.478734499999998</v>
      </c>
      <c r="G26" s="598">
        <f ca="1"/>
        <v>13.478734499999998</v>
      </c>
      <c r="H26" s="598">
        <f ca="1"/>
        <v>13.478734499999998</v>
      </c>
      <c r="I26" s="598">
        <f ca="1"/>
        <v>13.478734499999998</v>
      </c>
      <c r="J26" s="598">
        <f ca="1"/>
        <v>13.478734499999998</v>
      </c>
      <c r="K26" s="598">
        <f ca="1"/>
        <v>13.478734499999998</v>
      </c>
      <c r="L26" s="598">
        <f ca="1"/>
        <v>13.478734499999998</v>
      </c>
      <c r="M26" s="598">
        <f ca="1"/>
        <v>13.478734499999998</v>
      </c>
      <c r="N26" s="599">
        <f ca="1">SUM(B26:M26)</f>
        <v>161.74481399999999</v>
      </c>
    </row>
    <row r="27" spans="1:14" s="405" customFormat="1" ht="16.149999999999999" customHeight="1">
      <c r="A27" s="413" t="str">
        <v>Financial Result</v>
      </c>
      <c r="B27" s="599">
        <f t="array" ref="B27:M27" ca="1">B25:M25-B26:M26</f>
        <v>-13.478734499999998</v>
      </c>
      <c r="C27" s="599">
        <f ca="1"/>
        <v>-13.478734499999998</v>
      </c>
      <c r="D27" s="599">
        <f ca="1"/>
        <v>-13.478734499999998</v>
      </c>
      <c r="E27" s="599">
        <f ca="1"/>
        <v>-13.478734499999998</v>
      </c>
      <c r="F27" s="599">
        <f ca="1"/>
        <v>-13.478734499999998</v>
      </c>
      <c r="G27" s="599">
        <f ca="1"/>
        <v>-13.478734499999998</v>
      </c>
      <c r="H27" s="599">
        <f ca="1"/>
        <v>-13.478734499999998</v>
      </c>
      <c r="I27" s="599">
        <f ca="1"/>
        <v>-13.478734499999998</v>
      </c>
      <c r="J27" s="599">
        <f ca="1"/>
        <v>-13.478734499999998</v>
      </c>
      <c r="K27" s="599">
        <f ca="1"/>
        <v>-13.478734499999998</v>
      </c>
      <c r="L27" s="599">
        <f ca="1"/>
        <v>-13.478734499999998</v>
      </c>
      <c r="M27" s="599">
        <f ca="1"/>
        <v>-13.478734499999998</v>
      </c>
      <c r="N27" s="599">
        <f ca="1">SUM(B27:M27)</f>
        <v>-161.74481399999999</v>
      </c>
    </row>
    <row r="28" spans="1:14" s="405" customFormat="1" ht="16.149999999999999" customHeight="1">
      <c r="A28" s="413"/>
      <c r="B28" s="407"/>
      <c r="C28" s="407"/>
      <c r="D28" s="407"/>
      <c r="E28" s="407"/>
      <c r="F28" s="407"/>
      <c r="G28" s="407"/>
      <c r="H28" s="407"/>
      <c r="I28" s="407"/>
      <c r="J28" s="407"/>
      <c r="K28" s="407"/>
      <c r="L28" s="407"/>
      <c r="M28" s="407"/>
      <c r="N28" s="1564"/>
    </row>
    <row r="29" spans="1:14" s="405" customFormat="1" ht="16.149999999999999" customHeight="1">
      <c r="A29" s="413" t="str">
        <f>'Yearly Income St'!A29</f>
        <v>EBT  Earnings Before Taxation</v>
      </c>
      <c r="B29" s="599">
        <f t="array" ref="B29:M29" ca="1">B23:M23+B27:M27</f>
        <v>-424.21346450000021</v>
      </c>
      <c r="C29" s="599">
        <f ca="1"/>
        <v>-424.21346450000021</v>
      </c>
      <c r="D29" s="599">
        <f ca="1"/>
        <v>-424.21346450000021</v>
      </c>
      <c r="E29" s="599">
        <f ca="1"/>
        <v>-424.21346450000021</v>
      </c>
      <c r="F29" s="599">
        <f ca="1"/>
        <v>-424.21346450000021</v>
      </c>
      <c r="G29" s="599">
        <f ca="1"/>
        <v>-424.21346450000021</v>
      </c>
      <c r="H29" s="599">
        <f ca="1"/>
        <v>-424.21346450000021</v>
      </c>
      <c r="I29" s="599">
        <f ca="1"/>
        <v>-424.21346450000021</v>
      </c>
      <c r="J29" s="599">
        <f ca="1"/>
        <v>-424.21346450000021</v>
      </c>
      <c r="K29" s="599">
        <f ca="1"/>
        <v>-424.21346450000021</v>
      </c>
      <c r="L29" s="599">
        <f ca="1"/>
        <v>-424.21346450000021</v>
      </c>
      <c r="M29" s="599">
        <f ca="1"/>
        <v>-424.21346450000021</v>
      </c>
      <c r="N29" s="599">
        <f ca="1">SUM(B29:M29)</f>
        <v>-5090.561574000003</v>
      </c>
    </row>
    <row r="30" spans="1:14" s="405" customFormat="1" ht="16.149999999999999" customHeight="1" thickBot="1">
      <c r="A30" s="413"/>
      <c r="B30" s="407"/>
      <c r="C30" s="407"/>
      <c r="D30" s="407"/>
      <c r="E30" s="407"/>
      <c r="F30" s="407"/>
      <c r="G30" s="407"/>
      <c r="H30" s="407"/>
      <c r="I30" s="407"/>
      <c r="J30" s="407"/>
      <c r="K30" s="407"/>
      <c r="L30" s="407"/>
      <c r="M30" s="407"/>
      <c r="N30" s="1564"/>
    </row>
    <row r="31" spans="1:14" s="408" customFormat="1" ht="21.75" customHeight="1" thickBot="1">
      <c r="A31" s="414" t="s">
        <v>635</v>
      </c>
      <c r="B31" s="601">
        <f ca="1">B29</f>
        <v>-424.21346450000021</v>
      </c>
      <c r="C31" s="601">
        <f t="shared" ref="C31:M31" ca="1" si="1">B31+C29</f>
        <v>-848.42692900000043</v>
      </c>
      <c r="D31" s="601">
        <f t="shared" ca="1" si="1"/>
        <v>-1272.6403935000008</v>
      </c>
      <c r="E31" s="601">
        <f t="shared" ca="1" si="1"/>
        <v>-1696.8538580000009</v>
      </c>
      <c r="F31" s="601">
        <f t="shared" ca="1" si="1"/>
        <v>-2121.067322500001</v>
      </c>
      <c r="G31" s="601">
        <f t="shared" ca="1" si="1"/>
        <v>-2545.2807870000011</v>
      </c>
      <c r="H31" s="601">
        <f t="shared" ca="1" si="1"/>
        <v>-2969.4942515000012</v>
      </c>
      <c r="I31" s="601">
        <f t="shared" ca="1" si="1"/>
        <v>-3393.7077160000013</v>
      </c>
      <c r="J31" s="601">
        <f t="shared" ca="1" si="1"/>
        <v>-3817.9211805000014</v>
      </c>
      <c r="K31" s="601">
        <f t="shared" ca="1" si="1"/>
        <v>-4242.1346450000019</v>
      </c>
      <c r="L31" s="601">
        <f t="shared" ca="1" si="1"/>
        <v>-4666.3481095000025</v>
      </c>
      <c r="M31" s="601">
        <f t="shared" ca="1" si="1"/>
        <v>-5090.561574000003</v>
      </c>
      <c r="N31" s="415"/>
    </row>
    <row r="32" spans="1:14" s="403" customFormat="1" ht="10.5">
      <c r="N32" s="405"/>
    </row>
    <row r="33" spans="12:14" s="403" customFormat="1">
      <c r="L33" s="61"/>
      <c r="M33" s="61"/>
      <c r="N33" s="230"/>
    </row>
  </sheetData>
  <sheetProtection sheet="1" objects="1" scenarios="1"/>
  <phoneticPr fontId="7"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43">
    <tabColor indexed="61"/>
    <pageSetUpPr fitToPage="1"/>
  </sheetPr>
  <dimension ref="A1:N33"/>
  <sheetViews>
    <sheetView zoomScale="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626</v>
      </c>
      <c r="E1" s="230"/>
      <c r="F1" s="230"/>
      <c r="I1" s="231" t="str">
        <f>Parameters!E$77</f>
        <v>Year 3:   2029</v>
      </c>
      <c r="L1" s="402"/>
    </row>
    <row r="2" spans="1:14" s="403" customFormat="1" ht="22.5">
      <c r="A2" s="66" t="str">
        <f>'Base Data'!B9</f>
        <v>WWW, Ltd.</v>
      </c>
      <c r="C2" s="404"/>
      <c r="D2" s="273"/>
      <c r="N2" s="405"/>
    </row>
    <row r="3" spans="1:14" s="403" customFormat="1" ht="26.25" thickBot="1">
      <c r="A3" s="59"/>
      <c r="B3" s="2273">
        <v>1</v>
      </c>
      <c r="C3" s="2273">
        <v>2</v>
      </c>
      <c r="D3" s="2273">
        <v>3</v>
      </c>
      <c r="E3" s="2273">
        <v>4</v>
      </c>
      <c r="F3" s="2273">
        <v>5</v>
      </c>
      <c r="G3" s="2273">
        <v>6</v>
      </c>
      <c r="H3" s="2273">
        <v>7</v>
      </c>
      <c r="I3" s="2273">
        <v>8</v>
      </c>
      <c r="J3" s="2273">
        <v>9</v>
      </c>
      <c r="K3" s="2273">
        <v>10</v>
      </c>
      <c r="L3" s="2273">
        <v>11</v>
      </c>
      <c r="M3" s="2273">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3'!B25:M25</f>
        <v>1205.277881</v>
      </c>
      <c r="C5" s="596">
        <f ca="1"/>
        <v>1205.277881</v>
      </c>
      <c r="D5" s="596">
        <f ca="1"/>
        <v>1205.277881</v>
      </c>
      <c r="E5" s="596">
        <f ca="1"/>
        <v>1205.277881</v>
      </c>
      <c r="F5" s="596">
        <f ca="1"/>
        <v>1205.277881</v>
      </c>
      <c r="G5" s="596">
        <f ca="1"/>
        <v>1205.277881</v>
      </c>
      <c r="H5" s="596">
        <f ca="1"/>
        <v>1205.277881</v>
      </c>
      <c r="I5" s="596">
        <f ca="1"/>
        <v>1205.277881</v>
      </c>
      <c r="J5" s="596">
        <f ca="1"/>
        <v>1205.277881</v>
      </c>
      <c r="K5" s="596">
        <f ca="1"/>
        <v>1205.277881</v>
      </c>
      <c r="L5" s="596">
        <f ca="1"/>
        <v>1205.277881</v>
      </c>
      <c r="M5" s="596">
        <f ca="1"/>
        <v>1205.277881</v>
      </c>
      <c r="N5" s="597">
        <f ca="1">SUM(B5:M5)</f>
        <v>14463.334572</v>
      </c>
    </row>
    <row r="6" spans="1:14" s="405" customFormat="1" ht="16.149999999999999" customHeight="1">
      <c r="A6" s="1554" t="str">
        <v>Subsidies Imputation</v>
      </c>
      <c r="B6" s="600">
        <f>IF(B$3+36&gt;mes0+Parameters!$B$38*12-1,0,Funding!$C$19/Parameters!$B$38/12)
+IF(Parameters!$C$38&gt;3,Funding!$D$19/Parameters!$C$38/12,0)
+IF(Parameters!$D$38&gt;2,Funding!$E$19/Parameters!$D$38/12,0)
+Funding!$F$19/Parameters!$E$38/12
+Funding!$G$19/Parameters!$F$38/12</f>
        <v>0</v>
      </c>
      <c r="C6" s="600">
        <f>IF(C$3+36&gt;mes0+Parameters!$B$38*12-1,0,Funding!$C$19/Parameters!$B$38/12)
+IF(Parameters!$C$38&gt;3,Funding!$D$19/Parameters!$C$38/12,0)
+IF(Parameters!$D$38&gt;2,Funding!$E$19/Parameters!$D$38/12,0)
+Funding!$F$19/Parameters!$E$38/12
+Funding!$G$19/Parameters!$F$38/12</f>
        <v>0</v>
      </c>
      <c r="D6" s="600">
        <f>IF(D$3+36&gt;mes0+Parameters!$B$38*12-1,0,Funding!$C$19/Parameters!$B$38/12)
+IF(Parameters!$C$38&gt;3,Funding!$D$19/Parameters!$C$38/12,0)
+IF(Parameters!$D$38&gt;2,Funding!$E$19/Parameters!$D$38/12,0)
+Funding!$F$19/Parameters!$E$38/12
+Funding!$G$19/Parameters!$F$38/12</f>
        <v>0</v>
      </c>
      <c r="E6" s="600">
        <f>IF(E$3+36&gt;mes0+Parameters!$B$38*12-1,0,Funding!$C$19/Parameters!$B$38/12)
+IF(Parameters!$C$38&gt;3,Funding!$D$19/Parameters!$C$38/12,0)
+IF(Parameters!$D$38&gt;2,Funding!$E$19/Parameters!$D$38/12,0)
+Funding!$F$19/Parameters!$E$38/12
+Funding!$G$19/Parameters!$F$38/12</f>
        <v>0</v>
      </c>
      <c r="F6" s="600">
        <f>IF(F$3+36&gt;mes0+Parameters!$B$38*12-1,0,Funding!$C$19/Parameters!$B$38/12)
+IF(Parameters!$C$38&gt;3,Funding!$D$19/Parameters!$C$38/12,0)
+IF(Parameters!$D$38&gt;2,Funding!$E$19/Parameters!$D$38/12,0)
+Funding!$F$19/Parameters!$E$38/12
+Funding!$G$19/Parameters!$F$38/12</f>
        <v>0</v>
      </c>
      <c r="G6" s="600">
        <f>IF(G$3+36&gt;mes0+Parameters!$B$38*12-1,0,Funding!$C$19/Parameters!$B$38/12)
+IF(Parameters!$C$38&gt;3,Funding!$D$19/Parameters!$C$38/12,0)
+IF(Parameters!$D$38&gt;2,Funding!$E$19/Parameters!$D$38/12,0)
+Funding!$F$19/Parameters!$E$38/12
+Funding!$G$19/Parameters!$F$38/12</f>
        <v>0</v>
      </c>
      <c r="H6" s="600">
        <f>IF(H$3+36&gt;mes0+Parameters!$B$38*12-1,0,Funding!$C$19/Parameters!$B$38/12)
+IF(Parameters!$C$38&gt;3,Funding!$D$19/Parameters!$C$38/12,0)
+IF(Parameters!$D$38&gt;2,Funding!$E$19/Parameters!$D$38/12,0)
+Funding!$F$19/Parameters!$E$38/12
+Funding!$G$19/Parameters!$F$38/12</f>
        <v>0</v>
      </c>
      <c r="I6" s="600">
        <f>IF(I$3+36&gt;mes0+Parameters!$B$38*12-1,0,Funding!$C$19/Parameters!$B$38/12)
+IF(Parameters!$C$38&gt;3,Funding!$D$19/Parameters!$C$38/12,0)
+IF(Parameters!$D$38&gt;2,Funding!$E$19/Parameters!$D$38/12,0)
+Funding!$F$19/Parameters!$E$38/12
+Funding!$G$19/Parameters!$F$38/12</f>
        <v>0</v>
      </c>
      <c r="J6" s="600">
        <f>IF(J$3+36&gt;mes0+Parameters!$B$38*12-1,0,Funding!$C$19/Parameters!$B$38/12)
+IF(Parameters!$C$38&gt;3,Funding!$D$19/Parameters!$C$38/12,0)
+IF(Parameters!$D$38&gt;2,Funding!$E$19/Parameters!$D$38/12,0)
+Funding!$F$19/Parameters!$E$38/12
+Funding!$G$19/Parameters!$F$38/12</f>
        <v>0</v>
      </c>
      <c r="K6" s="600">
        <f>IF(K$3+36&gt;mes0+Parameters!$B$38*12-1,0,Funding!$C$19/Parameters!$B$38/12)
+IF(Parameters!$C$38&gt;3,Funding!$D$19/Parameters!$C$38/12,0)
+IF(Parameters!$D$38&gt;2,Funding!$E$19/Parameters!$D$38/12,0)
+Funding!$F$19/Parameters!$E$38/12
+Funding!$G$19/Parameters!$F$38/12</f>
        <v>0</v>
      </c>
      <c r="L6" s="600">
        <f>IF(L$3+36&gt;mes0+Parameters!$B$38*12-1,0,Funding!$C$19/Parameters!$B$38/12)
+IF(Parameters!$C$38&gt;3,Funding!$D$19/Parameters!$C$38/12,0)
+IF(Parameters!$D$38&gt;2,Funding!$E$19/Parameters!$D$38/12,0)
+Funding!$F$19/Parameters!$E$38/12
+Funding!$G$19/Parameters!$F$38/12</f>
        <v>0</v>
      </c>
      <c r="M6" s="600">
        <f>IF(M$3+36&gt;mes0+Parameters!$B$38*12-1,0,Funding!$C$19/Parameters!$B$38/12)
+IF(Parameters!$C$38&gt;3,Funding!$D$19/Parameters!$C$38/12,0)
+IF(Parameters!$D$38&gt;2,Funding!$E$19/Parameters!$D$38/12,0)
+Funding!$F$19/Parameters!$E$38/12
+Funding!$G$19/Parameters!$F$38/12</f>
        <v>0</v>
      </c>
      <c r="N6" s="599">
        <f>SUM(B6:M6)</f>
        <v>0</v>
      </c>
    </row>
    <row r="7" spans="1:14" s="405" customFormat="1" ht="16.149999999999999" customHeight="1">
      <c r="A7" s="1555" t="str">
        <v>Total Operations Income</v>
      </c>
      <c r="B7" s="1556">
        <f t="array" aca="1" ref="B7:M7" ca="1">B5:M5+B6:M6</f>
        <v>1205.277881</v>
      </c>
      <c r="C7" s="1556">
        <f ca="1"/>
        <v>1205.277881</v>
      </c>
      <c r="D7" s="1556">
        <f ca="1"/>
        <v>1205.277881</v>
      </c>
      <c r="E7" s="1556">
        <f ca="1"/>
        <v>1205.277881</v>
      </c>
      <c r="F7" s="1556">
        <f ca="1"/>
        <v>1205.277881</v>
      </c>
      <c r="G7" s="1556">
        <f ca="1"/>
        <v>1205.277881</v>
      </c>
      <c r="H7" s="1556">
        <f ca="1"/>
        <v>1205.277881</v>
      </c>
      <c r="I7" s="1556">
        <f ca="1"/>
        <v>1205.277881</v>
      </c>
      <c r="J7" s="1556">
        <f ca="1"/>
        <v>1205.277881</v>
      </c>
      <c r="K7" s="1556">
        <f ca="1"/>
        <v>1205.277881</v>
      </c>
      <c r="L7" s="1556">
        <f ca="1"/>
        <v>1205.277881</v>
      </c>
      <c r="M7" s="1556">
        <f ca="1"/>
        <v>1205.277881</v>
      </c>
      <c r="N7" s="599">
        <f ca="1">SUM(B7:M7)</f>
        <v>14463.334572</v>
      </c>
    </row>
    <row r="8" spans="1:14" s="405" customFormat="1" ht="16.149999999999999" customHeight="1">
      <c r="A8" s="1554"/>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3'!B28:M28</f>
        <v>120.52778810000001</v>
      </c>
      <c r="C9" s="596">
        <f ca="1"/>
        <v>120.52778810000001</v>
      </c>
      <c r="D9" s="596">
        <f ca="1"/>
        <v>120.52778810000001</v>
      </c>
      <c r="E9" s="596">
        <f ca="1"/>
        <v>120.52778810000001</v>
      </c>
      <c r="F9" s="596">
        <f ca="1"/>
        <v>120.52778810000001</v>
      </c>
      <c r="G9" s="596">
        <f ca="1"/>
        <v>120.52778810000001</v>
      </c>
      <c r="H9" s="596">
        <f ca="1"/>
        <v>120.52778810000001</v>
      </c>
      <c r="I9" s="596">
        <f ca="1"/>
        <v>120.52778810000001</v>
      </c>
      <c r="J9" s="596">
        <f ca="1"/>
        <v>120.52778810000001</v>
      </c>
      <c r="K9" s="596">
        <f ca="1"/>
        <v>120.52778810000001</v>
      </c>
      <c r="L9" s="596">
        <f ca="1"/>
        <v>120.52778810000001</v>
      </c>
      <c r="M9" s="596">
        <f ca="1"/>
        <v>120.52778810000001</v>
      </c>
      <c r="N9" s="597">
        <f ca="1">SUM(B9:M9)</f>
        <v>1446.3334571999997</v>
      </c>
    </row>
    <row r="10" spans="1:14" s="403" customFormat="1" ht="16.149999999999999" customHeight="1">
      <c r="A10" s="412" t="str">
        <v>Defaulted Sales</v>
      </c>
      <c r="B10" s="600">
        <f ca="1">-(1-recmorosos)*'Collections &amp; Payments 2'!B27</f>
        <v>0</v>
      </c>
      <c r="C10" s="600">
        <f ca="1">-(1-recmorosos)*'Collections &amp; Payments 2'!C27</f>
        <v>0</v>
      </c>
      <c r="D10" s="600">
        <f ca="1">-(1-recmorosos)*'Collections &amp; Payments 2'!D27</f>
        <v>0</v>
      </c>
      <c r="E10" s="600">
        <f ca="1">-(1-recmorosos)*'Collections &amp; Payments 2'!E27</f>
        <v>0</v>
      </c>
      <c r="F10" s="600">
        <f ca="1">-(1-recmorosos)*'Collections &amp; Payments 2'!F27</f>
        <v>0</v>
      </c>
      <c r="G10" s="600">
        <f ca="1">-(1-recmorosos)*'Collections &amp; Payments 2'!G27</f>
        <v>0</v>
      </c>
      <c r="H10" s="600">
        <f ca="1">-(1-recmorosos)*'Collections &amp; Payments 2'!H27</f>
        <v>0</v>
      </c>
      <c r="I10" s="600">
        <f ca="1">-(1-recmorosos)*'Collections &amp; Payments 2'!I27</f>
        <v>0</v>
      </c>
      <c r="J10" s="600">
        <f ca="1">-(1-recmorosos)*'Collections &amp; Payments 2'!J27</f>
        <v>0</v>
      </c>
      <c r="K10" s="600">
        <f ca="1">-(1-recmorosos)*'Collections &amp; Payments 2'!K27</f>
        <v>0</v>
      </c>
      <c r="L10" s="600">
        <f ca="1">-(1-recmorosos)*'Collections &amp; Payments 2'!L27</f>
        <v>0</v>
      </c>
      <c r="M10" s="600">
        <f ca="1">-(1-recmorosos)*'Collections &amp; Payments 2'!M27+'VAT 3'!O15</f>
        <v>0</v>
      </c>
      <c r="N10" s="599">
        <f ca="1">SUM(B10:M10)</f>
        <v>0</v>
      </c>
    </row>
    <row r="11" spans="1:14" s="403" customFormat="1" ht="16.149999999999999" customHeight="1">
      <c r="A11" s="1560" t="str">
        <v>Direct &amp; Commercial Costs</v>
      </c>
      <c r="B11" s="1556">
        <f t="array" aca="1" ref="B11:M11" ca="1">B9:M9+B10:M10</f>
        <v>120.52778810000001</v>
      </c>
      <c r="C11" s="1556">
        <f ca="1"/>
        <v>120.52778810000001</v>
      </c>
      <c r="D11" s="1556">
        <f ca="1"/>
        <v>120.52778810000001</v>
      </c>
      <c r="E11" s="1556">
        <f ca="1"/>
        <v>120.52778810000001</v>
      </c>
      <c r="F11" s="1556">
        <f ca="1"/>
        <v>120.52778810000001</v>
      </c>
      <c r="G11" s="1556">
        <f ca="1"/>
        <v>120.52778810000001</v>
      </c>
      <c r="H11" s="1556">
        <f ca="1"/>
        <v>120.52778810000001</v>
      </c>
      <c r="I11" s="1556">
        <f ca="1"/>
        <v>120.52778810000001</v>
      </c>
      <c r="J11" s="1556">
        <f ca="1"/>
        <v>120.52778810000001</v>
      </c>
      <c r="K11" s="1556">
        <f ca="1"/>
        <v>120.52778810000001</v>
      </c>
      <c r="L11" s="1556">
        <f ca="1"/>
        <v>120.52778810000001</v>
      </c>
      <c r="M11" s="1556">
        <f ca="1"/>
        <v>120.52778810000001</v>
      </c>
      <c r="N11" s="599">
        <f ca="1">SUM(B11:M11)</f>
        <v>1446.3334571999997</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1084.7500929</v>
      </c>
      <c r="C13" s="595">
        <f ca="1"/>
        <v>1084.7500929</v>
      </c>
      <c r="D13" s="595">
        <f ca="1"/>
        <v>1084.7500929</v>
      </c>
      <c r="E13" s="595">
        <f ca="1"/>
        <v>1084.7500929</v>
      </c>
      <c r="F13" s="595">
        <f ca="1"/>
        <v>1084.7500929</v>
      </c>
      <c r="G13" s="595">
        <f ca="1"/>
        <v>1084.7500929</v>
      </c>
      <c r="H13" s="595">
        <f ca="1"/>
        <v>1084.7500929</v>
      </c>
      <c r="I13" s="595">
        <f ca="1"/>
        <v>1084.7500929</v>
      </c>
      <c r="J13" s="595">
        <f ca="1"/>
        <v>1084.7500929</v>
      </c>
      <c r="K13" s="595">
        <f ca="1"/>
        <v>1084.7500929</v>
      </c>
      <c r="L13" s="595">
        <f ca="1"/>
        <v>1084.7500929</v>
      </c>
      <c r="M13" s="595">
        <f ca="1"/>
        <v>1084.7500929</v>
      </c>
      <c r="N13" s="597">
        <f ca="1">SUM(B13:M13)</f>
        <v>13017.001114799999</v>
      </c>
    </row>
    <row r="14" spans="1:14" s="405" customFormat="1" ht="16.149999999999999" customHeight="1">
      <c r="A14" s="413"/>
      <c r="B14" s="407"/>
      <c r="C14" s="407"/>
      <c r="D14" s="407"/>
      <c r="E14" s="407"/>
      <c r="F14" s="407"/>
      <c r="G14" s="407"/>
      <c r="H14" s="407"/>
      <c r="I14" s="407"/>
      <c r="J14" s="407"/>
      <c r="K14" s="407"/>
      <c r="L14" s="407"/>
      <c r="M14" s="407"/>
      <c r="N14" s="1564"/>
    </row>
    <row r="15" spans="1:14" s="403" customFormat="1" ht="16.149999999999999" customHeight="1">
      <c r="A15" s="920" t="str">
        <f t="array" ref="A15:A18">'Yearly Income St'!A15:A18</f>
        <v>Labour Expenses</v>
      </c>
      <c r="B15" s="596">
        <f t="array" ref="B15:M15">'Fixed Expenses 3'!B27:M27-'Fixed Expenses 3'!B20:M20</f>
        <v>1349.8368</v>
      </c>
      <c r="C15" s="596">
        <v>1349.8368</v>
      </c>
      <c r="D15" s="596">
        <v>1349.8368</v>
      </c>
      <c r="E15" s="596">
        <v>1349.8368</v>
      </c>
      <c r="F15" s="596">
        <v>1349.8368</v>
      </c>
      <c r="G15" s="596">
        <f ca="1"/>
        <v>1349.8368</v>
      </c>
      <c r="H15" s="596">
        <v>1349.8368</v>
      </c>
      <c r="I15" s="596">
        <v>1349.8368</v>
      </c>
      <c r="J15" s="596">
        <v>1349.8368</v>
      </c>
      <c r="K15" s="596">
        <v>1349.8368</v>
      </c>
      <c r="L15" s="596">
        <v>1349.8368</v>
      </c>
      <c r="M15" s="596">
        <v>1349.8368</v>
      </c>
      <c r="N15" s="597">
        <f ca="1">SUM(B15:M15)</f>
        <v>16198.041600000004</v>
      </c>
    </row>
    <row r="16" spans="1:14" s="403" customFormat="1" ht="16.149999999999999" customHeight="1">
      <c r="A16" s="920" t="str">
        <v>Social Security Expenses</v>
      </c>
      <c r="B16" s="596">
        <f t="array" ref="B16:M16">+'Fixed Expenses 3'!B20:M20</f>
        <v>80</v>
      </c>
      <c r="C16" s="596">
        <v>80</v>
      </c>
      <c r="D16" s="596">
        <v>80</v>
      </c>
      <c r="E16" s="596">
        <v>80</v>
      </c>
      <c r="F16" s="596">
        <v>80</v>
      </c>
      <c r="G16" s="596">
        <f ca="1"/>
        <v>80</v>
      </c>
      <c r="H16" s="596">
        <v>80</v>
      </c>
      <c r="I16" s="596">
        <v>80</v>
      </c>
      <c r="J16" s="596">
        <v>80</v>
      </c>
      <c r="K16" s="596">
        <v>80</v>
      </c>
      <c r="L16" s="596">
        <v>80</v>
      </c>
      <c r="M16" s="596">
        <v>80</v>
      </c>
      <c r="N16" s="597">
        <f ca="1">SUM(B16:M16)</f>
        <v>960</v>
      </c>
    </row>
    <row r="17" spans="1:14" s="403" customFormat="1" ht="16.149999999999999" customHeight="1">
      <c r="A17" s="920" t="str">
        <v>Other Fixed Expenses</v>
      </c>
      <c r="B17" s="596">
        <f t="array" aca="1" ref="B17:M17" ca="1">'Fixed Expenses 3'!B55:M55+'VAT 3'!C13:N13</f>
        <v>38.183091630000007</v>
      </c>
      <c r="C17" s="596">
        <f ca="1"/>
        <v>38.183091630000007</v>
      </c>
      <c r="D17" s="596">
        <f ca="1"/>
        <v>38.183091630000007</v>
      </c>
      <c r="E17" s="596">
        <f ca="1"/>
        <v>38.183091630000007</v>
      </c>
      <c r="F17" s="596">
        <f ca="1"/>
        <v>38.183091630000007</v>
      </c>
      <c r="G17" s="596">
        <f ca="1"/>
        <v>38.183091630000007</v>
      </c>
      <c r="H17" s="596">
        <f ca="1"/>
        <v>38.183091630000007</v>
      </c>
      <c r="I17" s="596">
        <f ca="1"/>
        <v>38.183091630000007</v>
      </c>
      <c r="J17" s="596">
        <f ca="1"/>
        <v>38.183091630000007</v>
      </c>
      <c r="K17" s="596">
        <f ca="1"/>
        <v>38.183091630000007</v>
      </c>
      <c r="L17" s="596">
        <f ca="1"/>
        <v>38.183091630000007</v>
      </c>
      <c r="M17" s="596">
        <f ca="1"/>
        <v>38.183091630000007</v>
      </c>
      <c r="N17" s="597">
        <f ca="1">SUM(B17:M17)</f>
        <v>458.1970995600002</v>
      </c>
    </row>
    <row r="18" spans="1:14" s="405" customFormat="1" ht="16.149999999999999" customHeight="1">
      <c r="A18" s="413" t="str">
        <v>Total Operation Expenses</v>
      </c>
      <c r="B18" s="595">
        <f t="shared" ref="B18:M18" ca="1" si="0">SUM(B15:B17)</f>
        <v>1468.0198916300001</v>
      </c>
      <c r="C18" s="595">
        <f t="shared" ca="1" si="0"/>
        <v>1468.0198916300001</v>
      </c>
      <c r="D18" s="595">
        <f t="shared" ca="1" si="0"/>
        <v>1468.0198916300001</v>
      </c>
      <c r="E18" s="595">
        <f t="shared" ca="1" si="0"/>
        <v>1468.0198916300001</v>
      </c>
      <c r="F18" s="595">
        <f t="shared" ca="1" si="0"/>
        <v>1468.0198916300001</v>
      </c>
      <c r="G18" s="595">
        <f t="shared" ca="1" si="0"/>
        <v>1468.0198916300001</v>
      </c>
      <c r="H18" s="595">
        <f t="shared" ca="1" si="0"/>
        <v>1468.0198916300001</v>
      </c>
      <c r="I18" s="595">
        <f t="shared" ca="1" si="0"/>
        <v>1468.0198916300001</v>
      </c>
      <c r="J18" s="595">
        <f t="shared" ca="1" si="0"/>
        <v>1468.0198916300001</v>
      </c>
      <c r="K18" s="595">
        <f t="shared" ca="1" si="0"/>
        <v>1468.0198916300001</v>
      </c>
      <c r="L18" s="595">
        <f t="shared" ca="1" si="0"/>
        <v>1468.0198916300001</v>
      </c>
      <c r="M18" s="595">
        <f t="shared" ca="1" si="0"/>
        <v>1468.0198916300001</v>
      </c>
      <c r="N18" s="597">
        <f ca="1">SUM(B18:M18)</f>
        <v>17616.238699559999</v>
      </c>
    </row>
    <row r="19" spans="1:14" s="405" customFormat="1" ht="16.149999999999999" customHeight="1">
      <c r="A19" s="413"/>
      <c r="B19" s="407"/>
      <c r="C19" s="407"/>
      <c r="D19" s="407"/>
      <c r="E19" s="407"/>
      <c r="F19" s="407"/>
      <c r="G19" s="407"/>
      <c r="H19" s="407"/>
      <c r="I19" s="407"/>
      <c r="J19" s="407"/>
      <c r="K19" s="407"/>
      <c r="L19" s="407"/>
      <c r="M19" s="407"/>
      <c r="N19" s="1564"/>
    </row>
    <row r="20" spans="1:14" s="405" customFormat="1" ht="16.149999999999999" customHeight="1">
      <c r="A20" s="413" t="str">
        <f>'Yearly Income St'!A20</f>
        <v>E.B.I.T.D.A.</v>
      </c>
      <c r="B20" s="407">
        <f t="array" ref="B20:M20" ca="1">B13:M13-B18:M18</f>
        <v>-383.26979873000005</v>
      </c>
      <c r="C20" s="407">
        <f ca="1"/>
        <v>-383.26979873000005</v>
      </c>
      <c r="D20" s="407">
        <f ca="1"/>
        <v>-383.26979873000005</v>
      </c>
      <c r="E20" s="407">
        <f ca="1"/>
        <v>-383.26979873000005</v>
      </c>
      <c r="F20" s="407">
        <f ca="1"/>
        <v>-383.26979873000005</v>
      </c>
      <c r="G20" s="407">
        <f ca="1"/>
        <v>-383.26979873000005</v>
      </c>
      <c r="H20" s="407">
        <f ca="1"/>
        <v>-383.26979873000005</v>
      </c>
      <c r="I20" s="407">
        <f ca="1"/>
        <v>-383.26979873000005</v>
      </c>
      <c r="J20" s="407">
        <f ca="1"/>
        <v>-383.26979873000005</v>
      </c>
      <c r="K20" s="407">
        <f ca="1"/>
        <v>-383.26979873000005</v>
      </c>
      <c r="L20" s="407">
        <f ca="1"/>
        <v>-383.26979873000005</v>
      </c>
      <c r="M20" s="407">
        <f ca="1"/>
        <v>-383.26979873000005</v>
      </c>
      <c r="N20" s="597">
        <f ca="1">SUM(B20:M20)</f>
        <v>-4599.2375847599997</v>
      </c>
    </row>
    <row r="21" spans="1:14" s="405" customFormat="1" ht="16.149999999999999" customHeight="1">
      <c r="A21" s="413"/>
      <c r="B21" s="407"/>
      <c r="C21" s="407"/>
      <c r="D21" s="407"/>
      <c r="E21" s="407"/>
      <c r="F21" s="407"/>
      <c r="G21" s="407"/>
      <c r="H21" s="407"/>
      <c r="I21" s="407"/>
      <c r="J21" s="407"/>
      <c r="K21" s="407"/>
      <c r="L21" s="407"/>
      <c r="M21" s="407"/>
      <c r="N21" s="1564"/>
    </row>
    <row r="22" spans="1:14" s="403" customFormat="1" ht="16.149999999999999" customHeight="1">
      <c r="A22" s="2416" t="str">
        <f t="array" ref="A22:A23">'Yearly Income St'!A22:A23</f>
        <v>Amoortizations &amp; Depreciations</v>
      </c>
      <c r="B22" s="596">
        <f t="array" ref="B22:M22">Amortizations!$G$41/12</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ref="B23:M23" ca="1">B20:M20-B22:M22</f>
        <v>-383.26979873000005</v>
      </c>
      <c r="C23" s="597">
        <f ca="1"/>
        <v>-383.26979873000005</v>
      </c>
      <c r="D23" s="597">
        <f ca="1"/>
        <v>-383.26979873000005</v>
      </c>
      <c r="E23" s="597">
        <f ca="1"/>
        <v>-383.26979873000005</v>
      </c>
      <c r="F23" s="597">
        <f ca="1"/>
        <v>-383.26979873000005</v>
      </c>
      <c r="G23" s="597">
        <f ca="1"/>
        <v>-383.26979873000005</v>
      </c>
      <c r="H23" s="597">
        <f ca="1"/>
        <v>-383.26979873000005</v>
      </c>
      <c r="I23" s="597">
        <f ca="1"/>
        <v>-383.26979873000005</v>
      </c>
      <c r="J23" s="597">
        <f ca="1"/>
        <v>-383.26979873000005</v>
      </c>
      <c r="K23" s="597">
        <f ca="1"/>
        <v>-383.26979873000005</v>
      </c>
      <c r="L23" s="597">
        <f ca="1"/>
        <v>-383.26979873000005</v>
      </c>
      <c r="M23" s="597">
        <f ca="1"/>
        <v>-383.26979873000005</v>
      </c>
      <c r="N23" s="597">
        <f ca="1">SUM(B23:M23)</f>
        <v>-4599.2375847599997</v>
      </c>
    </row>
    <row r="24" spans="1:14" s="405" customFormat="1" ht="16.149999999999999" customHeight="1">
      <c r="A24" s="413"/>
      <c r="B24" s="407"/>
      <c r="C24" s="407"/>
      <c r="D24" s="407"/>
      <c r="E24" s="407"/>
      <c r="F24" s="407"/>
      <c r="G24" s="407"/>
      <c r="H24" s="407"/>
      <c r="I24" s="407"/>
      <c r="J24" s="407"/>
      <c r="K24" s="407"/>
      <c r="L24" s="407"/>
      <c r="M24" s="407"/>
      <c r="N24" s="1564"/>
    </row>
    <row r="25" spans="1:14" s="403" customFormat="1" ht="16.149999999999999" customHeight="1">
      <c r="A25" s="920" t="str">
        <f t="array" ref="A25:A27">'Yearly Income St'!A25:A27</f>
        <v>Financial Income</v>
      </c>
      <c r="B25" s="598">
        <f t="array" ref="B25:M25" ca="1">'Financial Expenses'!C102:N102</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ca="1">SUM(B25:M25)</f>
        <v>0</v>
      </c>
    </row>
    <row r="26" spans="1:14" s="403" customFormat="1" ht="16.149999999999999" customHeight="1">
      <c r="A26" s="920" t="str">
        <v>Financial Expenses</v>
      </c>
      <c r="B26" s="598">
        <f t="array" ref="B26:M26" ca="1">'Financial Expenses'!C64:N64</f>
        <v>14.583862360099999</v>
      </c>
      <c r="C26" s="598">
        <f ca="1"/>
        <v>14.583862360099999</v>
      </c>
      <c r="D26" s="598">
        <f ca="1"/>
        <v>14.583862360099999</v>
      </c>
      <c r="E26" s="598">
        <f ca="1"/>
        <v>14.583862360099999</v>
      </c>
      <c r="F26" s="598">
        <f ca="1"/>
        <v>14.583862360099999</v>
      </c>
      <c r="G26" s="598">
        <f ca="1"/>
        <v>14.583862360099999</v>
      </c>
      <c r="H26" s="598">
        <f ca="1"/>
        <v>14.583862360099999</v>
      </c>
      <c r="I26" s="598">
        <f ca="1"/>
        <v>14.583862360099999</v>
      </c>
      <c r="J26" s="598">
        <f ca="1"/>
        <v>14.583862360099999</v>
      </c>
      <c r="K26" s="598">
        <f ca="1"/>
        <v>14.583862360099999</v>
      </c>
      <c r="L26" s="598">
        <f ca="1"/>
        <v>14.583862360099999</v>
      </c>
      <c r="M26" s="598">
        <f ca="1"/>
        <v>14.583862360099999</v>
      </c>
      <c r="N26" s="599">
        <f ca="1">SUM(B26:M26)</f>
        <v>175.00634832119999</v>
      </c>
    </row>
    <row r="27" spans="1:14" s="405" customFormat="1" ht="16.149999999999999" customHeight="1">
      <c r="A27" s="413" t="str">
        <v>Financial Result</v>
      </c>
      <c r="B27" s="599">
        <f t="array" ref="B27:M27" ca="1">B25:M25-B26:M26</f>
        <v>-14.583862360099999</v>
      </c>
      <c r="C27" s="599">
        <f ca="1"/>
        <v>-14.583862360099999</v>
      </c>
      <c r="D27" s="599">
        <f ca="1"/>
        <v>-14.583862360099999</v>
      </c>
      <c r="E27" s="599">
        <f ca="1"/>
        <v>-14.583862360099999</v>
      </c>
      <c r="F27" s="599">
        <f ca="1"/>
        <v>-14.583862360099999</v>
      </c>
      <c r="G27" s="599">
        <f ca="1"/>
        <v>-14.583862360099999</v>
      </c>
      <c r="H27" s="599">
        <f ca="1"/>
        <v>-14.583862360099999</v>
      </c>
      <c r="I27" s="599">
        <f ca="1"/>
        <v>-14.583862360099999</v>
      </c>
      <c r="J27" s="599">
        <f ca="1"/>
        <v>-14.583862360099999</v>
      </c>
      <c r="K27" s="599">
        <f ca="1"/>
        <v>-14.583862360099999</v>
      </c>
      <c r="L27" s="599">
        <f ca="1"/>
        <v>-14.583862360099999</v>
      </c>
      <c r="M27" s="599">
        <f ca="1"/>
        <v>-14.583862360099999</v>
      </c>
      <c r="N27" s="599">
        <f ca="1">SUM(B27:M27)</f>
        <v>-175.00634832119999</v>
      </c>
    </row>
    <row r="28" spans="1:14" s="405" customFormat="1" ht="16.149999999999999" customHeight="1">
      <c r="A28" s="413"/>
      <c r="B28" s="407"/>
      <c r="C28" s="407"/>
      <c r="D28" s="407"/>
      <c r="E28" s="407"/>
      <c r="F28" s="407"/>
      <c r="G28" s="407"/>
      <c r="H28" s="407"/>
      <c r="I28" s="407"/>
      <c r="J28" s="407"/>
      <c r="K28" s="407"/>
      <c r="L28" s="407"/>
      <c r="M28" s="407"/>
      <c r="N28" s="1564"/>
    </row>
    <row r="29" spans="1:14" s="405" customFormat="1" ht="16.149999999999999" customHeight="1">
      <c r="A29" s="413" t="str">
        <f>'Yearly Income St'!A29</f>
        <v>EBT  Earnings Before Taxation</v>
      </c>
      <c r="B29" s="599">
        <f t="array" ref="B29:M29" ca="1">B23:M23+B27:M27</f>
        <v>-397.85366109010005</v>
      </c>
      <c r="C29" s="599">
        <f ca="1"/>
        <v>-397.85366109010005</v>
      </c>
      <c r="D29" s="599">
        <f ca="1"/>
        <v>-397.85366109010005</v>
      </c>
      <c r="E29" s="599">
        <f ca="1"/>
        <v>-397.85366109010005</v>
      </c>
      <c r="F29" s="599">
        <f ca="1"/>
        <v>-397.85366109010005</v>
      </c>
      <c r="G29" s="599">
        <f ca="1"/>
        <v>-397.85366109010005</v>
      </c>
      <c r="H29" s="599">
        <f ca="1"/>
        <v>-397.85366109010005</v>
      </c>
      <c r="I29" s="599">
        <f ca="1"/>
        <v>-397.85366109010005</v>
      </c>
      <c r="J29" s="599">
        <f ca="1"/>
        <v>-397.85366109010005</v>
      </c>
      <c r="K29" s="599">
        <f ca="1"/>
        <v>-397.85366109010005</v>
      </c>
      <c r="L29" s="599">
        <f ca="1"/>
        <v>-397.85366109010005</v>
      </c>
      <c r="M29" s="599">
        <f ca="1"/>
        <v>-397.85366109010005</v>
      </c>
      <c r="N29" s="599">
        <f ca="1">SUM(B29:M29)</f>
        <v>-4774.2439330812003</v>
      </c>
    </row>
    <row r="30" spans="1:14" s="405" customFormat="1" ht="16.149999999999999" customHeight="1" thickBot="1">
      <c r="A30" s="413"/>
      <c r="B30" s="407"/>
      <c r="C30" s="407"/>
      <c r="D30" s="407"/>
      <c r="E30" s="407"/>
      <c r="F30" s="407"/>
      <c r="G30" s="407"/>
      <c r="H30" s="407"/>
      <c r="I30" s="407"/>
      <c r="J30" s="407"/>
      <c r="K30" s="407"/>
      <c r="L30" s="407"/>
      <c r="M30" s="407"/>
      <c r="N30" s="1564"/>
    </row>
    <row r="31" spans="1:14" s="408" customFormat="1" ht="21.75" customHeight="1" thickBot="1">
      <c r="A31" s="414" t="s">
        <v>635</v>
      </c>
      <c r="B31" s="601">
        <f ca="1">B29</f>
        <v>-397.85366109010005</v>
      </c>
      <c r="C31" s="601">
        <f t="shared" ref="C31:M31" ca="1" si="1">B31+C29</f>
        <v>-795.70732218020009</v>
      </c>
      <c r="D31" s="601">
        <f t="shared" ca="1" si="1"/>
        <v>-1193.5609832703001</v>
      </c>
      <c r="E31" s="601">
        <f t="shared" ca="1" si="1"/>
        <v>-1591.4146443604002</v>
      </c>
      <c r="F31" s="601">
        <f t="shared" ca="1" si="1"/>
        <v>-1989.2683054505003</v>
      </c>
      <c r="G31" s="601">
        <f t="shared" ca="1" si="1"/>
        <v>-2387.1219665406002</v>
      </c>
      <c r="H31" s="601">
        <f t="shared" ca="1" si="1"/>
        <v>-2784.9756276307003</v>
      </c>
      <c r="I31" s="601">
        <f t="shared" ca="1" si="1"/>
        <v>-3182.8292887208004</v>
      </c>
      <c r="J31" s="601">
        <f t="shared" ca="1" si="1"/>
        <v>-3580.6829498109005</v>
      </c>
      <c r="K31" s="601">
        <f t="shared" ca="1" si="1"/>
        <v>-3978.5366109010006</v>
      </c>
      <c r="L31" s="601">
        <f t="shared" ca="1" si="1"/>
        <v>-4376.3902719911002</v>
      </c>
      <c r="M31" s="601">
        <f t="shared" ca="1" si="1"/>
        <v>-4774.2439330812003</v>
      </c>
      <c r="N31" s="415"/>
    </row>
    <row r="32" spans="1:14" s="403" customFormat="1" ht="10.5">
      <c r="N32" s="405"/>
    </row>
    <row r="33" spans="12:14" s="403" customFormat="1">
      <c r="L33" s="61"/>
      <c r="M33" s="61"/>
      <c r="N33" s="230"/>
    </row>
  </sheetData>
  <sheetProtection sheet="1" objects="1" scenarios="1"/>
  <phoneticPr fontId="7"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8">
    <tabColor indexed="44"/>
    <pageSetUpPr fitToPage="1"/>
  </sheetPr>
  <dimension ref="A1:N109"/>
  <sheetViews>
    <sheetView showGridLines="0" zoomScale="85" zoomScaleNormal="85" workbookViewId="0">
      <selection activeCell="D13" sqref="D13"/>
    </sheetView>
  </sheetViews>
  <sheetFormatPr baseColWidth="10" defaultColWidth="11" defaultRowHeight="18"/>
  <cols>
    <col min="1" max="1" width="25.75" style="626" customWidth="1"/>
    <col min="2" max="2" width="13.125" style="697" customWidth="1"/>
    <col min="3" max="3" width="11.375" style="697" customWidth="1"/>
    <col min="4" max="4" width="10.125" style="697" customWidth="1"/>
    <col min="5" max="5" width="11.5" style="697" customWidth="1"/>
    <col min="6" max="6" width="10.75" style="697" customWidth="1"/>
    <col min="7" max="7" width="11.25" style="697" customWidth="1"/>
    <col min="8" max="8" width="11.125" style="697" customWidth="1"/>
    <col min="9" max="12" width="10.125" style="697" customWidth="1"/>
    <col min="13" max="13" width="10.25" style="697" customWidth="1"/>
    <col min="14" max="14" width="8" style="697" bestFit="1" customWidth="1"/>
    <col min="15" max="16384" width="11" style="674"/>
  </cols>
  <sheetData>
    <row r="1" spans="1:13" ht="25.5">
      <c r="A1" s="401" t="s">
        <v>211</v>
      </c>
      <c r="J1" s="17" t="s">
        <v>226</v>
      </c>
    </row>
    <row r="2" spans="1:13" ht="22.5">
      <c r="A2" s="401" t="str">
        <f>'Base Data'!B9</f>
        <v>WWW, Ltd.</v>
      </c>
      <c r="J2" s="2368" t="s">
        <v>227</v>
      </c>
    </row>
    <row r="3" spans="1:13">
      <c r="G3" s="674"/>
      <c r="H3" s="674"/>
    </row>
    <row r="4" spans="1:13" ht="18.75" thickBot="1">
      <c r="E4" s="253"/>
      <c r="F4" s="699"/>
      <c r="G4" s="699"/>
    </row>
    <row r="5" spans="1:13" ht="15.75" thickBot="1">
      <c r="A5" s="718" t="s">
        <v>229</v>
      </c>
      <c r="B5" s="715"/>
      <c r="C5" s="714"/>
      <c r="E5" s="717" t="s">
        <v>232</v>
      </c>
      <c r="F5" s="711"/>
      <c r="G5" s="712"/>
      <c r="H5" s="713"/>
    </row>
    <row r="6" spans="1:13" ht="20.25" customHeight="1" thickBot="1">
      <c r="A6" s="1490"/>
      <c r="B6" s="1491" t="s">
        <v>230</v>
      </c>
      <c r="C6" s="1492">
        <v>0</v>
      </c>
      <c r="E6" s="700"/>
      <c r="F6" s="701"/>
      <c r="G6" s="2496" t="s">
        <v>231</v>
      </c>
      <c r="H6" s="1324">
        <v>0</v>
      </c>
      <c r="I6" s="1759">
        <f ca="1">(H6-H6*H7/2)+RAND()*H6*H7</f>
        <v>0</v>
      </c>
      <c r="L6" s="1990" t="s">
        <v>131</v>
      </c>
    </row>
    <row r="7" spans="1:13" ht="21" customHeight="1" thickBot="1">
      <c r="A7" s="1493"/>
      <c r="B7" s="1494" t="s">
        <v>1074</v>
      </c>
      <c r="C7" s="1495">
        <v>0</v>
      </c>
      <c r="E7" s="700"/>
      <c r="F7" s="701"/>
      <c r="G7" s="2496" t="s">
        <v>233</v>
      </c>
      <c r="H7" s="1324">
        <v>0</v>
      </c>
      <c r="I7" s="674"/>
      <c r="L7" s="1967" t="s">
        <v>308</v>
      </c>
      <c r="M7" s="1967" t="s">
        <v>309</v>
      </c>
    </row>
    <row r="8" spans="1:13" ht="21.75" customHeight="1" thickBot="1">
      <c r="E8" s="702"/>
      <c r="F8" s="703"/>
      <c r="G8" s="2497" t="s">
        <v>234</v>
      </c>
      <c r="H8" s="1335">
        <v>0.5</v>
      </c>
      <c r="I8" s="1759">
        <f ca="1">(H8+H8*H7/2)+RAND()*H8*H7</f>
        <v>0.5</v>
      </c>
      <c r="L8" s="1968" t="s">
        <v>17</v>
      </c>
      <c r="M8" s="1969" t="s">
        <v>129</v>
      </c>
    </row>
    <row r="9" spans="1:13" ht="21.75" customHeight="1" thickBot="1">
      <c r="A9" s="1436"/>
      <c r="B9" s="1437" t="str">
        <f>"Minimum cash allowance: ( "&amp;H11&amp;" )"</f>
        <v>Minimum cash allowance: ( € )</v>
      </c>
      <c r="C9" s="1546">
        <v>1000</v>
      </c>
      <c r="L9" s="1968" t="s">
        <v>127</v>
      </c>
      <c r="M9" s="1969" t="s">
        <v>128</v>
      </c>
    </row>
    <row r="10" spans="1:13" ht="18.75" thickBot="1">
      <c r="L10" s="1968" t="s">
        <v>1044</v>
      </c>
      <c r="M10" s="1969" t="s">
        <v>1044</v>
      </c>
    </row>
    <row r="11" spans="1:13" ht="21" customHeight="1" thickBot="1">
      <c r="A11" s="1436"/>
      <c r="B11" s="1437" t="s">
        <v>228</v>
      </c>
      <c r="C11" s="1459">
        <v>0.04</v>
      </c>
      <c r="E11" s="2493"/>
      <c r="F11" s="2495" t="s">
        <v>207</v>
      </c>
      <c r="G11" s="1454" t="s">
        <v>17</v>
      </c>
      <c r="H11" s="2494" t="str">
        <f>VLOOKUP(Moneda,$L$8:$M$14,2,0)</f>
        <v>€</v>
      </c>
      <c r="L11" s="1968" t="s">
        <v>1045</v>
      </c>
      <c r="M11" s="1969" t="s">
        <v>130</v>
      </c>
    </row>
    <row r="12" spans="1:13" ht="18.75" thickBot="1">
      <c r="F12" s="733" t="s">
        <v>307</v>
      </c>
      <c r="G12" s="733"/>
      <c r="H12" s="733"/>
      <c r="L12" s="1968" t="s">
        <v>1037</v>
      </c>
      <c r="M12" s="1969" t="s">
        <v>1036</v>
      </c>
    </row>
    <row r="13" spans="1:13" ht="19.5" thickBot="1">
      <c r="A13" s="2366" t="s">
        <v>210</v>
      </c>
      <c r="B13" s="2367" t="s">
        <v>208</v>
      </c>
      <c r="C13" s="790" t="s">
        <v>209</v>
      </c>
      <c r="E13" s="1963" t="str">
        <f>IF(finTemporada&lt;=inicioTemporada,"ERROR EN MESES DE TEMPORADA","")</f>
        <v/>
      </c>
      <c r="F13" s="734" t="s">
        <v>14</v>
      </c>
      <c r="G13" s="735">
        <v>166.386</v>
      </c>
      <c r="H13" s="736" t="s">
        <v>13</v>
      </c>
      <c r="L13" s="1968" t="s">
        <v>1075</v>
      </c>
      <c r="M13" s="1969" t="s">
        <v>1076</v>
      </c>
    </row>
    <row r="14" spans="1:13" ht="18.75" thickBot="1">
      <c r="A14" s="1962" t="s">
        <v>939</v>
      </c>
      <c r="B14" s="2491">
        <v>1</v>
      </c>
      <c r="C14" s="2492">
        <v>12</v>
      </c>
      <c r="D14" s="674"/>
      <c r="E14" s="2854"/>
      <c r="F14" s="2855"/>
      <c r="G14" s="2856" t="s">
        <v>1120</v>
      </c>
      <c r="H14" s="2857">
        <v>0.01</v>
      </c>
      <c r="L14" s="1968" t="s">
        <v>1049</v>
      </c>
      <c r="M14" s="1969" t="s">
        <v>1048</v>
      </c>
    </row>
    <row r="15" spans="1:13" ht="18.75" thickBot="1">
      <c r="A15" s="1964"/>
      <c r="B15" s="1965" t="str">
        <f>INDEX($B$61:$B$72,inicioTemporada)</f>
        <v>January</v>
      </c>
      <c r="C15" s="1966" t="str">
        <f>INDEX($B$61:$B$72,finTemporada)</f>
        <v>December</v>
      </c>
      <c r="D15" s="674"/>
      <c r="E15" s="1963"/>
      <c r="L15" s="674"/>
      <c r="M15" s="674"/>
    </row>
    <row r="16" spans="1:13">
      <c r="A16" s="1963"/>
      <c r="B16" s="1963"/>
      <c r="C16" s="1963"/>
      <c r="D16" s="1963"/>
      <c r="E16" s="1963"/>
      <c r="L16" s="674"/>
      <c r="M16" s="674"/>
    </row>
    <row r="17" spans="1:6" ht="30" hidden="1">
      <c r="A17" s="2707" t="s">
        <v>1066</v>
      </c>
      <c r="B17" s="2708" t="str">
        <f t="array" ref="B17:F17">anni</f>
        <v>Year 0:   2026</v>
      </c>
      <c r="C17" s="2708" t="str">
        <v>Year 1:   2027</v>
      </c>
      <c r="D17" s="2709" t="str">
        <v>Year 2:   2028</v>
      </c>
      <c r="E17" s="2708" t="str">
        <v>Year 3:   2029</v>
      </c>
      <c r="F17" s="2710" t="str">
        <v>Year 4:   2030</v>
      </c>
    </row>
    <row r="18" spans="1:6" ht="25.5" hidden="1" customHeight="1" thickBot="1">
      <c r="A18" s="1435" t="s">
        <v>941</v>
      </c>
      <c r="B18" s="1373"/>
      <c r="C18" s="1374">
        <v>0.04</v>
      </c>
      <c r="D18" s="1375">
        <f>C18</f>
        <v>0.04</v>
      </c>
      <c r="E18" s="1374">
        <f>D18</f>
        <v>0.04</v>
      </c>
      <c r="F18" s="1376">
        <f>E18</f>
        <v>0.04</v>
      </c>
    </row>
    <row r="19" spans="1:6" ht="18.75" thickBot="1"/>
    <row r="20" spans="1:6" ht="20.25" customHeight="1" thickBot="1">
      <c r="A20" s="3284" t="s">
        <v>235</v>
      </c>
      <c r="B20" s="3285"/>
      <c r="C20" s="3285"/>
      <c r="D20" s="3286"/>
      <c r="E20" s="1459">
        <v>0</v>
      </c>
    </row>
    <row r="21" spans="1:6" ht="18.75" thickBot="1"/>
    <row r="22" spans="1:6" ht="30" customHeight="1" thickBot="1">
      <c r="A22" s="719" t="str">
        <f>CONCATENATE(" ",'Base Data'!$A$28," rates detailed by products or products families")</f>
        <v xml:space="preserve"> VAT rates detailed by products or products families</v>
      </c>
      <c r="B22" s="711"/>
      <c r="C22" s="711"/>
      <c r="D22" s="711"/>
      <c r="E22" s="711"/>
      <c r="F22" s="712"/>
    </row>
    <row r="23" spans="1:6" ht="30.75" thickBot="1">
      <c r="A23" s="383" t="s">
        <v>225</v>
      </c>
      <c r="B23" s="698"/>
      <c r="C23" s="698"/>
      <c r="D23" s="62"/>
      <c r="E23" s="16" t="str">
        <f>CONCATENATE('Base Data'!$A$28," rate Sales")</f>
        <v>VAT rate Sales</v>
      </c>
      <c r="F23" s="548" t="str">
        <f>CONCATENATE('Base Data'!$A$28," rate D.C.")</f>
        <v>VAT rate D.C.</v>
      </c>
    </row>
    <row r="24" spans="1:6">
      <c r="A24" s="3287" t="str">
        <f>IF('Prices - DC'!A7="","",'Prices - DC'!A7)</f>
        <v>product 1</v>
      </c>
      <c r="B24" s="3288"/>
      <c r="C24" s="3288"/>
      <c r="D24" s="3289"/>
      <c r="E24" s="708">
        <f>'Base Data'!C28</f>
        <v>0.21</v>
      </c>
      <c r="F24" s="708">
        <f>'Base Data'!C29</f>
        <v>0.21</v>
      </c>
    </row>
    <row r="25" spans="1:6">
      <c r="A25" s="3287" t="str">
        <f>IF('Prices - DC'!A8="","",'Prices - DC'!A8)</f>
        <v/>
      </c>
      <c r="B25" s="3288"/>
      <c r="C25" s="3288"/>
      <c r="D25" s="3289"/>
      <c r="E25" s="709">
        <f t="shared" ref="E25:E31" si="0">$E$24</f>
        <v>0.21</v>
      </c>
      <c r="F25" s="709">
        <f t="shared" ref="F25:F31" si="1">$F$24</f>
        <v>0.21</v>
      </c>
    </row>
    <row r="26" spans="1:6">
      <c r="A26" s="3287" t="str">
        <f>IF('Prices - DC'!A9="","",'Prices - DC'!A9)</f>
        <v/>
      </c>
      <c r="B26" s="3288"/>
      <c r="C26" s="3288"/>
      <c r="D26" s="3289"/>
      <c r="E26" s="709">
        <f t="shared" si="0"/>
        <v>0.21</v>
      </c>
      <c r="F26" s="709">
        <f t="shared" si="1"/>
        <v>0.21</v>
      </c>
    </row>
    <row r="27" spans="1:6">
      <c r="A27" s="3287" t="str">
        <f>IF('Prices - DC'!A10="","",'Prices - DC'!A10)</f>
        <v/>
      </c>
      <c r="B27" s="3288"/>
      <c r="C27" s="3288"/>
      <c r="D27" s="3289"/>
      <c r="E27" s="709">
        <f t="shared" si="0"/>
        <v>0.21</v>
      </c>
      <c r="F27" s="709">
        <f t="shared" si="1"/>
        <v>0.21</v>
      </c>
    </row>
    <row r="28" spans="1:6">
      <c r="A28" s="3287" t="str">
        <f>IF('Prices - DC'!A11="","",'Prices - DC'!A11)</f>
        <v/>
      </c>
      <c r="B28" s="3288"/>
      <c r="C28" s="3288"/>
      <c r="D28" s="3289"/>
      <c r="E28" s="709">
        <f t="shared" si="0"/>
        <v>0.21</v>
      </c>
      <c r="F28" s="709">
        <f t="shared" si="1"/>
        <v>0.21</v>
      </c>
    </row>
    <row r="29" spans="1:6">
      <c r="A29" s="3287" t="str">
        <f>IF('Prices - DC'!A12="","",'Prices - DC'!A12)</f>
        <v/>
      </c>
      <c r="B29" s="3288"/>
      <c r="C29" s="3288"/>
      <c r="D29" s="3289"/>
      <c r="E29" s="709">
        <f t="shared" si="0"/>
        <v>0.21</v>
      </c>
      <c r="F29" s="709">
        <f t="shared" si="1"/>
        <v>0.21</v>
      </c>
    </row>
    <row r="30" spans="1:6">
      <c r="A30" s="3287" t="str">
        <f>IF('Prices - DC'!A13="","",'Prices - DC'!A13)</f>
        <v/>
      </c>
      <c r="B30" s="3288"/>
      <c r="C30" s="3288"/>
      <c r="D30" s="3289"/>
      <c r="E30" s="709">
        <f t="shared" si="0"/>
        <v>0.21</v>
      </c>
      <c r="F30" s="709">
        <f t="shared" si="1"/>
        <v>0.21</v>
      </c>
    </row>
    <row r="31" spans="1:6" ht="18.75" thickBot="1">
      <c r="A31" s="3290" t="str">
        <f>IF('Prices - DC'!A14="","",'Prices - DC'!A14)</f>
        <v/>
      </c>
      <c r="B31" s="3291"/>
      <c r="C31" s="3291"/>
      <c r="D31" s="3292"/>
      <c r="E31" s="710">
        <f t="shared" si="0"/>
        <v>0.21</v>
      </c>
      <c r="F31" s="710">
        <f t="shared" si="1"/>
        <v>0.21</v>
      </c>
    </row>
    <row r="32" spans="1:6">
      <c r="D32" s="35"/>
    </row>
    <row r="33" spans="1:7">
      <c r="E33" s="1131" t="str">
        <f>CONCATENATE(" ",'Base Data'!$A$28," input rate for Fixed Expenses &amp; Investments")</f>
        <v xml:space="preserve"> VAT input rate for Fixed Expenses &amp; Investments</v>
      </c>
      <c r="F33" s="2369">
        <f>'Base Data'!C28</f>
        <v>0.21</v>
      </c>
    </row>
    <row r="36" spans="1:7" ht="18.75" thickBot="1">
      <c r="A36" s="649" t="s">
        <v>325</v>
      </c>
      <c r="B36" s="720"/>
      <c r="C36" s="720"/>
      <c r="D36" s="720"/>
      <c r="E36" s="720"/>
      <c r="F36" s="720"/>
    </row>
    <row r="37" spans="1:7" ht="30.75" customHeight="1">
      <c r="A37" s="721"/>
      <c r="B37" s="2053" t="s">
        <v>153</v>
      </c>
      <c r="C37" s="2053" t="str">
        <f t="array" ref="C37:G37">anni</f>
        <v>Year 0:   2026</v>
      </c>
      <c r="D37" s="2053" t="str">
        <v>Year 1:   2027</v>
      </c>
      <c r="E37" s="2274" t="str">
        <v>Year 2:   2028</v>
      </c>
      <c r="F37" s="2053" t="str">
        <v>Year 3:   2029</v>
      </c>
      <c r="G37" s="2275" t="str">
        <v>Year 4:   2030</v>
      </c>
    </row>
    <row r="38" spans="1:7" ht="22.5" customHeight="1" thickBot="1">
      <c r="A38" s="2283" t="s">
        <v>224</v>
      </c>
      <c r="B38" s="2284">
        <f>+'Prev. Initial Balance'!D42/12</f>
        <v>4.333333333333333</v>
      </c>
      <c r="C38" s="2285">
        <v>5</v>
      </c>
      <c r="D38" s="2285">
        <f>C38</f>
        <v>5</v>
      </c>
      <c r="E38" s="2285">
        <f>D38</f>
        <v>5</v>
      </c>
      <c r="F38" s="2285">
        <f>E38</f>
        <v>5</v>
      </c>
      <c r="G38" s="2286">
        <f>F38</f>
        <v>5</v>
      </c>
    </row>
    <row r="39" spans="1:7" ht="18.75" thickBot="1"/>
    <row r="40" spans="1:7" ht="20.25" thickBot="1">
      <c r="A40" s="704" t="s">
        <v>1050</v>
      </c>
      <c r="B40" s="705"/>
      <c r="C40" s="705"/>
      <c r="D40" s="705"/>
      <c r="E40" s="706"/>
      <c r="F40" s="706"/>
      <c r="G40" s="706"/>
    </row>
    <row r="41" spans="1:7" ht="36.75" customHeight="1">
      <c r="A41" s="716" t="s">
        <v>220</v>
      </c>
      <c r="B41" s="2053" t="s">
        <v>223</v>
      </c>
      <c r="C41" s="2053" t="str">
        <f t="array" ref="C41:G41">anni</f>
        <v>Year 0:   2026</v>
      </c>
      <c r="D41" s="2053" t="str">
        <v>Year 1:   2027</v>
      </c>
      <c r="E41" s="2274" t="str">
        <v>Year 2:   2028</v>
      </c>
      <c r="F41" s="2053" t="str">
        <v>Year 3:   2029</v>
      </c>
      <c r="G41" s="2275" t="str">
        <v>Year 4:   2030</v>
      </c>
    </row>
    <row r="42" spans="1:7" ht="15.75" customHeight="1">
      <c r="A42" s="1364" t="s">
        <v>221</v>
      </c>
      <c r="B42" s="2318">
        <v>1</v>
      </c>
      <c r="C42" s="1365">
        <v>1</v>
      </c>
      <c r="D42" s="1365">
        <f>C42</f>
        <v>1</v>
      </c>
      <c r="E42" s="1366">
        <f>D42</f>
        <v>1</v>
      </c>
      <c r="F42" s="1365">
        <f>E42</f>
        <v>1</v>
      </c>
      <c r="G42" s="1367">
        <f>F42</f>
        <v>1</v>
      </c>
    </row>
    <row r="43" spans="1:7" ht="15.75" customHeight="1" thickBot="1">
      <c r="A43" s="1368" t="s">
        <v>222</v>
      </c>
      <c r="B43" s="2317">
        <f t="array" ref="B43:G43">1-B42:G42</f>
        <v>0</v>
      </c>
      <c r="C43" s="1369">
        <v>0</v>
      </c>
      <c r="D43" s="1369">
        <v>0</v>
      </c>
      <c r="E43" s="1370">
        <v>0</v>
      </c>
      <c r="F43" s="1371">
        <v>0</v>
      </c>
      <c r="G43" s="1372">
        <v>0</v>
      </c>
    </row>
    <row r="45" spans="1:7" ht="18.75" thickBot="1"/>
    <row r="46" spans="1:7" ht="24" customHeight="1" thickBot="1">
      <c r="A46" s="867"/>
      <c r="B46" s="2365" t="s">
        <v>940</v>
      </c>
      <c r="C46" s="868">
        <f>IF(consolidacion=0,0,3)</f>
        <v>0</v>
      </c>
    </row>
    <row r="47" spans="1:7" ht="18.75" thickBot="1">
      <c r="F47" s="674"/>
      <c r="G47" s="674"/>
    </row>
    <row r="48" spans="1:7" ht="21.75" customHeight="1" thickBot="1">
      <c r="A48" s="867"/>
      <c r="B48" s="2751" t="s">
        <v>1071</v>
      </c>
      <c r="C48" s="868" t="s">
        <v>236</v>
      </c>
      <c r="D48" s="2752">
        <f>IF(C48="Yes",1,0)</f>
        <v>1</v>
      </c>
    </row>
    <row r="49" spans="1:14" ht="15">
      <c r="A49" s="697"/>
    </row>
    <row r="50" spans="1:14" ht="15">
      <c r="A50" s="697"/>
    </row>
    <row r="51" spans="1:14" ht="15.75" thickBot="1">
      <c r="A51" s="2629" t="s">
        <v>1063</v>
      </c>
    </row>
    <row r="52" spans="1:14" ht="15.75" thickBot="1">
      <c r="A52" s="165" t="s">
        <v>1064</v>
      </c>
      <c r="B52" s="2630" t="str">
        <f t="array" ref="B52:M52">meses</f>
        <v>January</v>
      </c>
      <c r="C52" s="2630" t="str">
        <v>February</v>
      </c>
      <c r="D52" s="2630" t="str">
        <v>March</v>
      </c>
      <c r="E52" s="2630" t="str">
        <v>April</v>
      </c>
      <c r="F52" s="2630" t="str">
        <v>May</v>
      </c>
      <c r="G52" s="2630" t="str">
        <v>June</v>
      </c>
      <c r="H52" s="2630" t="str">
        <v>July</v>
      </c>
      <c r="I52" s="2630" t="str">
        <v>August</v>
      </c>
      <c r="J52" s="2630" t="str">
        <v>September</v>
      </c>
      <c r="K52" s="2630" t="str">
        <v>October</v>
      </c>
      <c r="L52" s="2630" t="str">
        <v>November</v>
      </c>
      <c r="M52" s="2630" t="str">
        <v>December</v>
      </c>
    </row>
    <row r="53" spans="1:14" ht="15">
      <c r="A53" s="2631" t="str">
        <f>C37</f>
        <v>Year 0:   2026</v>
      </c>
      <c r="B53" s="2640">
        <f>IF(SUM(C53:M53)&gt;1,"ERROR",1-SUM(C53:M53))</f>
        <v>1</v>
      </c>
      <c r="C53" s="2641">
        <v>0</v>
      </c>
      <c r="D53" s="2641">
        <v>0</v>
      </c>
      <c r="E53" s="2641">
        <v>0</v>
      </c>
      <c r="F53" s="2641">
        <v>0</v>
      </c>
      <c r="G53" s="2641">
        <v>0</v>
      </c>
      <c r="H53" s="2641">
        <v>0</v>
      </c>
      <c r="I53" s="2641">
        <v>0</v>
      </c>
      <c r="J53" s="2641">
        <v>0</v>
      </c>
      <c r="K53" s="2641">
        <v>0</v>
      </c>
      <c r="L53" s="2641">
        <v>0</v>
      </c>
      <c r="M53" s="2642">
        <v>0</v>
      </c>
    </row>
    <row r="54" spans="1:14" ht="15">
      <c r="A54" s="2632" t="str">
        <f>+D37</f>
        <v>Year 1:   2027</v>
      </c>
      <c r="B54" s="2643">
        <f>IF(SUM(C54:M54)&gt;1,"ERROR",1-SUM(C54:M54))</f>
        <v>1</v>
      </c>
      <c r="C54" s="2644">
        <f t="shared" ref="C54:M57" si="2">C53</f>
        <v>0</v>
      </c>
      <c r="D54" s="2644">
        <f t="shared" si="2"/>
        <v>0</v>
      </c>
      <c r="E54" s="2644">
        <f t="shared" si="2"/>
        <v>0</v>
      </c>
      <c r="F54" s="2644">
        <f t="shared" si="2"/>
        <v>0</v>
      </c>
      <c r="G54" s="2644">
        <f t="shared" si="2"/>
        <v>0</v>
      </c>
      <c r="H54" s="2644">
        <f t="shared" si="2"/>
        <v>0</v>
      </c>
      <c r="I54" s="2644">
        <f t="shared" si="2"/>
        <v>0</v>
      </c>
      <c r="J54" s="2644">
        <f t="shared" si="2"/>
        <v>0</v>
      </c>
      <c r="K54" s="2644">
        <f t="shared" si="2"/>
        <v>0</v>
      </c>
      <c r="L54" s="2644">
        <f t="shared" si="2"/>
        <v>0</v>
      </c>
      <c r="M54" s="2645">
        <f t="shared" si="2"/>
        <v>0</v>
      </c>
    </row>
    <row r="55" spans="1:14" ht="15">
      <c r="A55" s="2632" t="str">
        <f>+E37</f>
        <v>Year 2:   2028</v>
      </c>
      <c r="B55" s="2643">
        <f>IF(SUM(C55:M55)&gt;1,"ERROR",1-SUM(C55:M55))</f>
        <v>1</v>
      </c>
      <c r="C55" s="2644">
        <f t="shared" si="2"/>
        <v>0</v>
      </c>
      <c r="D55" s="2644">
        <f t="shared" si="2"/>
        <v>0</v>
      </c>
      <c r="E55" s="2644">
        <f t="shared" si="2"/>
        <v>0</v>
      </c>
      <c r="F55" s="2644">
        <f t="shared" si="2"/>
        <v>0</v>
      </c>
      <c r="G55" s="2644">
        <f t="shared" si="2"/>
        <v>0</v>
      </c>
      <c r="H55" s="2644">
        <f t="shared" si="2"/>
        <v>0</v>
      </c>
      <c r="I55" s="2644">
        <f t="shared" si="2"/>
        <v>0</v>
      </c>
      <c r="J55" s="2644">
        <f t="shared" si="2"/>
        <v>0</v>
      </c>
      <c r="K55" s="2644">
        <f t="shared" si="2"/>
        <v>0</v>
      </c>
      <c r="L55" s="2644">
        <f t="shared" si="2"/>
        <v>0</v>
      </c>
      <c r="M55" s="2645">
        <f t="shared" si="2"/>
        <v>0</v>
      </c>
    </row>
    <row r="56" spans="1:14" ht="15">
      <c r="A56" s="2632" t="str">
        <f>+F37</f>
        <v>Year 3:   2029</v>
      </c>
      <c r="B56" s="2643">
        <f>IF(SUM(C56:M56)&gt;1,"ERROR",1-SUM(C56:M56))</f>
        <v>1</v>
      </c>
      <c r="C56" s="2644">
        <f t="shared" si="2"/>
        <v>0</v>
      </c>
      <c r="D56" s="2644">
        <f t="shared" si="2"/>
        <v>0</v>
      </c>
      <c r="E56" s="2644">
        <f t="shared" si="2"/>
        <v>0</v>
      </c>
      <c r="F56" s="2644">
        <f t="shared" si="2"/>
        <v>0</v>
      </c>
      <c r="G56" s="2644">
        <f t="shared" si="2"/>
        <v>0</v>
      </c>
      <c r="H56" s="2644">
        <f t="shared" si="2"/>
        <v>0</v>
      </c>
      <c r="I56" s="2644">
        <f t="shared" si="2"/>
        <v>0</v>
      </c>
      <c r="J56" s="2644">
        <f t="shared" si="2"/>
        <v>0</v>
      </c>
      <c r="K56" s="2644">
        <f t="shared" si="2"/>
        <v>0</v>
      </c>
      <c r="L56" s="2644">
        <f t="shared" si="2"/>
        <v>0</v>
      </c>
      <c r="M56" s="2645">
        <f t="shared" si="2"/>
        <v>0</v>
      </c>
    </row>
    <row r="57" spans="1:14" ht="15.75" thickBot="1">
      <c r="A57" s="2633" t="str">
        <f>+G37</f>
        <v>Year 4:   2030</v>
      </c>
      <c r="B57" s="2646">
        <f>IF(SUM(C57:M57)&gt;1,"ERROR",1-SUM(C57:M57))</f>
        <v>1</v>
      </c>
      <c r="C57" s="2647">
        <f t="shared" si="2"/>
        <v>0</v>
      </c>
      <c r="D57" s="2647">
        <f t="shared" si="2"/>
        <v>0</v>
      </c>
      <c r="E57" s="2647">
        <f t="shared" si="2"/>
        <v>0</v>
      </c>
      <c r="F57" s="2647">
        <f t="shared" si="2"/>
        <v>0</v>
      </c>
      <c r="G57" s="2647">
        <f t="shared" si="2"/>
        <v>0</v>
      </c>
      <c r="H57" s="2647">
        <f t="shared" si="2"/>
        <v>0</v>
      </c>
      <c r="I57" s="2647">
        <f t="shared" si="2"/>
        <v>0</v>
      </c>
      <c r="J57" s="2647">
        <f t="shared" si="2"/>
        <v>0</v>
      </c>
      <c r="K57" s="2647">
        <f t="shared" si="2"/>
        <v>0</v>
      </c>
      <c r="L57" s="2647">
        <f t="shared" si="2"/>
        <v>0</v>
      </c>
      <c r="M57" s="2648">
        <f t="shared" si="2"/>
        <v>0</v>
      </c>
    </row>
    <row r="58" spans="1:14" ht="15">
      <c r="A58" s="697"/>
    </row>
    <row r="59" spans="1:14" ht="15">
      <c r="A59" s="697"/>
    </row>
    <row r="60" spans="1:14" ht="15">
      <c r="A60" s="697"/>
    </row>
    <row r="61" spans="1:14" s="707" customFormat="1">
      <c r="A61" s="3011">
        <f>DATE('Base Data'!B15,'Base Data'!B16,1)</f>
        <v>46023</v>
      </c>
      <c r="B61" s="2520" t="str">
        <f t="array" ref="B61:B72">TEXT(A61:A72,"[$-409]mmmm")</f>
        <v>January</v>
      </c>
      <c r="C61" s="763"/>
      <c r="D61" s="763" t="s">
        <v>1110</v>
      </c>
      <c r="E61" s="763"/>
      <c r="F61" s="763"/>
      <c r="G61" s="763"/>
      <c r="H61" s="763"/>
      <c r="I61" s="763"/>
      <c r="J61" s="763"/>
      <c r="K61" s="763"/>
      <c r="L61" s="763"/>
      <c r="M61" s="763"/>
      <c r="N61" s="763"/>
    </row>
    <row r="62" spans="1:14" s="707" customFormat="1">
      <c r="A62" s="3011">
        <f>EOMONTH(A61,0)+1</f>
        <v>46054</v>
      </c>
      <c r="B62" s="2520" t="str">
        <v>February</v>
      </c>
      <c r="C62" s="763"/>
      <c r="D62" s="3012" t="str">
        <f>'Base Data'!B18</f>
        <v>Year 0</v>
      </c>
      <c r="E62" s="3013">
        <f>'Base Data'!C18</f>
        <v>1</v>
      </c>
      <c r="F62" s="3013">
        <f>'Base Data'!D18</f>
        <v>2</v>
      </c>
      <c r="G62" s="3013">
        <f>'Base Data'!E18</f>
        <v>3</v>
      </c>
      <c r="H62" s="3013">
        <f>'Base Data'!F18</f>
        <v>4</v>
      </c>
      <c r="I62" s="3013">
        <f>'Base Data'!G18</f>
        <v>0</v>
      </c>
      <c r="J62" s="763"/>
      <c r="K62" s="763"/>
      <c r="L62" s="763"/>
      <c r="M62" s="763"/>
      <c r="N62" s="763"/>
    </row>
    <row r="63" spans="1:14" s="707" customFormat="1">
      <c r="A63" s="3011">
        <f t="shared" ref="A63:A72" si="3">EOMONTH(A62,0)+1</f>
        <v>46082</v>
      </c>
      <c r="B63" s="2520" t="str">
        <v>March</v>
      </c>
      <c r="C63" s="763"/>
      <c r="D63" s="3014">
        <f>A61</f>
        <v>46023</v>
      </c>
      <c r="E63" s="3014">
        <f>DATE(YEAR(D63)+1,MONTH(D63),1)</f>
        <v>46388</v>
      </c>
      <c r="F63" s="3014">
        <f t="shared" ref="F63:I63" si="4">DATE(YEAR(E63)+1,MONTH(E63),1)</f>
        <v>46753</v>
      </c>
      <c r="G63" s="3014">
        <f t="shared" si="4"/>
        <v>47119</v>
      </c>
      <c r="H63" s="3014">
        <f t="shared" si="4"/>
        <v>47484</v>
      </c>
      <c r="I63" s="3014">
        <f t="shared" si="4"/>
        <v>47849</v>
      </c>
      <c r="J63" s="763"/>
      <c r="K63" s="763"/>
      <c r="L63" s="763"/>
      <c r="M63" s="763"/>
      <c r="N63" s="763"/>
    </row>
    <row r="64" spans="1:14" s="707" customFormat="1">
      <c r="A64" s="3011">
        <f t="shared" si="3"/>
        <v>46113</v>
      </c>
      <c r="B64" s="2520" t="str">
        <v>April</v>
      </c>
      <c r="C64" s="763"/>
      <c r="D64" s="3014">
        <f>A72</f>
        <v>46357</v>
      </c>
      <c r="E64" s="3014">
        <f>DATE(YEAR(D64)+1,MONTH(D64),1)</f>
        <v>46722</v>
      </c>
      <c r="F64" s="3014">
        <f t="shared" ref="F64:I64" si="5">DATE(YEAR(E64)+1,MONTH(E64),1)</f>
        <v>47088</v>
      </c>
      <c r="G64" s="3014">
        <f t="shared" si="5"/>
        <v>47453</v>
      </c>
      <c r="H64" s="3014">
        <f t="shared" si="5"/>
        <v>47818</v>
      </c>
      <c r="I64" s="3014">
        <f t="shared" si="5"/>
        <v>48183</v>
      </c>
      <c r="J64" s="763"/>
      <c r="K64" s="763"/>
      <c r="L64" s="763"/>
      <c r="M64" s="763"/>
      <c r="N64" s="763"/>
    </row>
    <row r="65" spans="1:14" s="707" customFormat="1">
      <c r="A65" s="3011">
        <f t="shared" si="3"/>
        <v>46143</v>
      </c>
      <c r="B65" s="2520" t="str">
        <v>May</v>
      </c>
      <c r="C65" s="763"/>
      <c r="D65" s="766" t="str">
        <f>IF('Base Data'!$B$16=1,TEXT(D64,"[$-409]"&amp;aa&amp;aa),CONCATENATE(TEXT($A$61,"[$-409]"&amp;aa&amp;aa&amp;"-"),TEXT($A$72,"[$-409]"&amp;aa)))</f>
        <v>2026</v>
      </c>
      <c r="E65" s="766" t="str">
        <f t="array" ref="E65:I65">IF('Base Data'!$B$16=1,TEXT(E63:I63,aa&amp;aa),CONCATENATE(TEXT(E63:I63,aa&amp;aa&amp;"-"),TEXT(E64:I64,aa)))</f>
        <v>2027</v>
      </c>
      <c r="F65" s="766" t="str">
        <v>2028</v>
      </c>
      <c r="G65" s="766" t="str">
        <v>2029</v>
      </c>
      <c r="H65" s="766" t="str">
        <v>2030</v>
      </c>
      <c r="I65" s="766" t="str">
        <v>2031</v>
      </c>
      <c r="J65" s="763"/>
      <c r="K65" s="763"/>
      <c r="L65" s="763"/>
      <c r="M65" s="763"/>
      <c r="N65" s="763"/>
    </row>
    <row r="66" spans="1:14" s="707" customFormat="1">
      <c r="A66" s="3011">
        <f t="shared" si="3"/>
        <v>46174</v>
      </c>
      <c r="B66" s="2520" t="str">
        <v>June</v>
      </c>
      <c r="C66" s="763"/>
      <c r="D66" s="766" t="str">
        <f>IF('Base Data'!$B$16=1,TEXT(D64-365,"[$-409]"&amp;aa&amp;aa),CONCATENATE(TEXT($A$61-365,"[$-409]"&amp;aa&amp;aa&amp;"-"),TEXT($A$72-365,"[$-409]"&amp;aa)))</f>
        <v>2025</v>
      </c>
      <c r="E66" s="763"/>
      <c r="F66" s="763"/>
      <c r="G66" s="763"/>
      <c r="H66" s="763"/>
      <c r="I66" s="763"/>
      <c r="J66" s="763"/>
      <c r="K66" s="763"/>
      <c r="L66" s="763"/>
      <c r="M66" s="763"/>
      <c r="N66" s="763"/>
    </row>
    <row r="67" spans="1:14" s="707" customFormat="1">
      <c r="A67" s="3011">
        <f t="shared" si="3"/>
        <v>46204</v>
      </c>
      <c r="B67" s="2520" t="str">
        <v>July</v>
      </c>
      <c r="C67" s="763"/>
      <c r="D67" s="763"/>
      <c r="E67" s="763"/>
      <c r="F67" s="763"/>
      <c r="G67" s="763"/>
      <c r="H67" s="763"/>
      <c r="I67" s="763"/>
      <c r="J67" s="763"/>
      <c r="K67" s="763"/>
      <c r="L67" s="763"/>
      <c r="M67" s="763"/>
      <c r="N67" s="763"/>
    </row>
    <row r="68" spans="1:14" s="707" customFormat="1">
      <c r="A68" s="3011">
        <f t="shared" si="3"/>
        <v>46235</v>
      </c>
      <c r="B68" s="2520" t="str">
        <v>August</v>
      </c>
      <c r="C68" s="763"/>
      <c r="D68" s="763"/>
      <c r="E68" s="763"/>
      <c r="F68" s="763"/>
      <c r="G68" s="763"/>
      <c r="H68" s="763"/>
      <c r="I68" s="763"/>
      <c r="J68" s="763"/>
      <c r="K68" s="763"/>
      <c r="L68" s="763"/>
      <c r="M68" s="763"/>
      <c r="N68" s="763"/>
    </row>
    <row r="69" spans="1:14" s="707" customFormat="1">
      <c r="A69" s="3011">
        <f t="shared" si="3"/>
        <v>46266</v>
      </c>
      <c r="B69" s="2520" t="str">
        <v>September</v>
      </c>
      <c r="C69" s="763"/>
      <c r="D69" s="763"/>
      <c r="E69" s="763"/>
      <c r="F69" s="763"/>
      <c r="G69" s="763"/>
      <c r="H69" s="763"/>
      <c r="I69" s="763"/>
      <c r="J69" s="763"/>
      <c r="K69" s="763"/>
      <c r="L69" s="763"/>
      <c r="M69" s="763"/>
      <c r="N69" s="763"/>
    </row>
    <row r="70" spans="1:14" s="707" customFormat="1">
      <c r="A70" s="3011">
        <f t="shared" si="3"/>
        <v>46296</v>
      </c>
      <c r="B70" s="2520" t="str">
        <v>October</v>
      </c>
      <c r="C70" s="763"/>
      <c r="D70" s="763"/>
      <c r="E70" s="763"/>
      <c r="F70" s="763"/>
      <c r="G70" s="763"/>
      <c r="H70" s="763"/>
      <c r="I70" s="763"/>
      <c r="J70" s="763"/>
      <c r="K70" s="763"/>
      <c r="L70" s="763"/>
      <c r="M70" s="763"/>
      <c r="N70" s="763"/>
    </row>
    <row r="71" spans="1:14" s="707" customFormat="1">
      <c r="A71" s="3011">
        <f t="shared" si="3"/>
        <v>46327</v>
      </c>
      <c r="B71" s="2520" t="str">
        <v>November</v>
      </c>
      <c r="C71" s="763"/>
      <c r="D71" s="763"/>
      <c r="E71" s="763"/>
      <c r="F71" s="763"/>
      <c r="G71" s="763"/>
      <c r="H71" s="763"/>
      <c r="I71" s="763"/>
      <c r="J71" s="763"/>
      <c r="K71" s="763"/>
      <c r="L71" s="763"/>
      <c r="M71" s="763"/>
      <c r="N71" s="763"/>
    </row>
    <row r="72" spans="1:14" s="707" customFormat="1">
      <c r="A72" s="3011">
        <f t="shared" si="3"/>
        <v>46357</v>
      </c>
      <c r="B72" s="2520" t="str">
        <v>December</v>
      </c>
      <c r="C72" s="763"/>
      <c r="D72" s="763"/>
      <c r="E72" s="763"/>
      <c r="F72" s="763"/>
      <c r="G72" s="763"/>
      <c r="H72" s="763"/>
      <c r="I72" s="763"/>
      <c r="J72" s="763"/>
      <c r="K72" s="763"/>
      <c r="L72" s="763"/>
      <c r="M72" s="763"/>
      <c r="N72" s="763"/>
    </row>
    <row r="73" spans="1:14">
      <c r="A73" s="2520"/>
      <c r="B73" s="2520"/>
      <c r="C73" s="2520"/>
      <c r="D73" s="2520"/>
      <c r="E73" s="2520"/>
      <c r="F73" s="2520"/>
      <c r="G73" s="2520"/>
      <c r="H73" s="2520"/>
      <c r="I73" s="2520"/>
      <c r="J73" s="2520"/>
      <c r="K73" s="2520"/>
      <c r="L73" s="2520"/>
      <c r="M73" s="2520"/>
    </row>
    <row r="74" spans="1:14" ht="39.75" customHeight="1">
      <c r="A74" s="2520"/>
      <c r="B74" s="3015" t="s">
        <v>237</v>
      </c>
      <c r="C74" s="3016"/>
      <c r="D74" s="3016"/>
      <c r="E74" s="3016"/>
      <c r="F74" s="3016"/>
      <c r="G74" s="3016"/>
      <c r="H74" s="3016"/>
      <c r="I74" s="3016"/>
      <c r="J74" s="3016"/>
      <c r="K74" s="3016"/>
      <c r="L74" s="3016"/>
      <c r="M74" s="3016"/>
    </row>
    <row r="75" spans="1:14">
      <c r="A75" s="2520"/>
      <c r="B75" s="2520" t="str">
        <f>B61</f>
        <v>January</v>
      </c>
      <c r="C75" s="3017" t="str">
        <f>B62</f>
        <v>February</v>
      </c>
      <c r="D75" s="3017" t="str">
        <f>B63</f>
        <v>March</v>
      </c>
      <c r="E75" s="3017" t="str">
        <f>B64</f>
        <v>April</v>
      </c>
      <c r="F75" s="3017" t="str">
        <f>B65</f>
        <v>May</v>
      </c>
      <c r="G75" s="3017" t="str">
        <f>B66</f>
        <v>June</v>
      </c>
      <c r="H75" s="3017" t="str">
        <f>B67</f>
        <v>July</v>
      </c>
      <c r="I75" s="3017" t="str">
        <f>B68</f>
        <v>August</v>
      </c>
      <c r="J75" s="3017" t="str">
        <f>B69</f>
        <v>September</v>
      </c>
      <c r="K75" s="3017" t="str">
        <f>B70</f>
        <v>October</v>
      </c>
      <c r="L75" s="3017" t="str">
        <f>B71</f>
        <v>November</v>
      </c>
      <c r="M75" s="3017" t="str">
        <f>B72</f>
        <v>December</v>
      </c>
    </row>
    <row r="76" spans="1:14">
      <c r="A76" s="2520"/>
      <c r="B76" s="3018" t="str">
        <f>TEXT(A61,"[$-409]"&amp;aa&amp;aa)</f>
        <v>2026</v>
      </c>
      <c r="C76" s="3018" t="str">
        <f>TEXT($A62,"[$-409]"&amp;aa&amp;aa)</f>
        <v>2026</v>
      </c>
      <c r="D76" s="3018" t="str">
        <f>TEXT($A63,"[$-409]"&amp;aa&amp;aa)</f>
        <v>2026</v>
      </c>
      <c r="E76" s="3018" t="str">
        <f>TEXT($A64,"[$-409]"&amp;aa&amp;aa)</f>
        <v>2026</v>
      </c>
      <c r="F76" s="3018" t="str">
        <f>TEXT($A65,"[$-409]"&amp;aa&amp;aa)</f>
        <v>2026</v>
      </c>
      <c r="G76" s="3018" t="str">
        <f>TEXT($A66,"[$-409]"&amp;aa&amp;aa)</f>
        <v>2026</v>
      </c>
      <c r="H76" s="3018" t="str">
        <f>TEXT($A67,"[$-409]"&amp;aa&amp;aa)</f>
        <v>2026</v>
      </c>
      <c r="I76" s="3018" t="str">
        <f>TEXT($A68,"[$-409]"&amp;aa&amp;aa)</f>
        <v>2026</v>
      </c>
      <c r="J76" s="3018" t="str">
        <f>TEXT($A69,"[$-409]"&amp;aa&amp;aa)</f>
        <v>2026</v>
      </c>
      <c r="K76" s="3018" t="str">
        <f>TEXT($A70,"[$-409]"&amp;aa&amp;aa)</f>
        <v>2026</v>
      </c>
      <c r="L76" s="3018" t="str">
        <f>TEXT($A71,"[$-409]"&amp;aa&amp;aa)</f>
        <v>2026</v>
      </c>
      <c r="M76" s="3018" t="str">
        <f>TEXT($A72,"[$-409]"&amp;aa&amp;aa)</f>
        <v>2026</v>
      </c>
    </row>
    <row r="77" spans="1:14" ht="32.25" customHeight="1">
      <c r="A77" s="3019" t="s">
        <v>213</v>
      </c>
      <c r="B77" s="3020" t="str">
        <f>CONCATENATE('Base Data'!B18,":   ",D65)</f>
        <v>Year 0:   2026</v>
      </c>
      <c r="C77" s="3020" t="str">
        <f t="array" ref="C77:F77">CONCATENATE("Year ",'Base Data'!C18:F18,":   ",E65:H65)</f>
        <v>Year 1:   2027</v>
      </c>
      <c r="D77" s="3020" t="str">
        <v>Year 2:   2028</v>
      </c>
      <c r="E77" s="3020" t="str">
        <v>Year 3:   2029</v>
      </c>
      <c r="F77" s="3020" t="str">
        <v>Year 4:   2030</v>
      </c>
      <c r="G77" s="3020" t="str">
        <f>IF('Base Data'!$B$16=1,CONCATENATE("Year 5 :   ",I65),
                          CONCATENATE("Year 5:  
",I65))</f>
        <v>Year 5 :   2031</v>
      </c>
      <c r="H77" s="3017"/>
      <c r="I77" s="3017"/>
      <c r="J77" s="3017"/>
      <c r="K77" s="3017"/>
      <c r="L77" s="3017"/>
      <c r="M77" s="3017"/>
    </row>
    <row r="78" spans="1:14">
      <c r="A78" s="2520"/>
      <c r="B78" s="2520" t="str">
        <f>+C77</f>
        <v>Year 1:   2027</v>
      </c>
      <c r="C78" s="3017"/>
      <c r="D78" s="3017"/>
      <c r="E78" s="3017"/>
      <c r="F78" s="3017"/>
      <c r="G78" s="3017"/>
      <c r="H78" s="3017"/>
      <c r="I78" s="3017"/>
      <c r="J78" s="3017"/>
      <c r="K78" s="3017"/>
      <c r="L78" s="3017"/>
      <c r="M78" s="3017"/>
    </row>
    <row r="79" spans="1:14">
      <c r="A79" s="2520"/>
      <c r="B79" s="2520" t="str">
        <f>+D77</f>
        <v>Year 2:   2028</v>
      </c>
      <c r="C79" s="3017"/>
      <c r="D79" s="3017"/>
      <c r="E79" s="3017"/>
      <c r="F79" s="3017"/>
      <c r="G79" s="3017"/>
      <c r="H79" s="3017"/>
      <c r="I79" s="3017"/>
      <c r="J79" s="3017"/>
      <c r="K79" s="3017"/>
      <c r="L79" s="3017"/>
      <c r="M79" s="3017"/>
    </row>
    <row r="80" spans="1:14">
      <c r="A80" s="2520"/>
      <c r="B80" s="2520" t="str">
        <f>+E77</f>
        <v>Year 3:   2029</v>
      </c>
      <c r="C80" s="3017"/>
      <c r="D80" s="3017"/>
      <c r="E80" s="3017"/>
      <c r="F80" s="3017"/>
      <c r="G80" s="3017"/>
      <c r="H80" s="3017"/>
      <c r="I80" s="3017"/>
      <c r="J80" s="3017"/>
      <c r="K80" s="3017"/>
      <c r="L80" s="3017"/>
      <c r="M80" s="3017"/>
    </row>
    <row r="81" spans="1:14">
      <c r="A81" s="2520"/>
      <c r="B81" s="2520" t="str">
        <f>+F77</f>
        <v>Year 4:   2030</v>
      </c>
      <c r="C81" s="3017"/>
      <c r="D81" s="3017"/>
      <c r="E81" s="3017"/>
      <c r="F81" s="3017"/>
      <c r="G81" s="3017"/>
      <c r="H81" s="3017"/>
      <c r="I81" s="3017"/>
      <c r="J81" s="3017"/>
      <c r="K81" s="3017"/>
      <c r="L81" s="3017"/>
      <c r="M81" s="3017"/>
    </row>
    <row r="82" spans="1:14">
      <c r="A82" s="2520"/>
      <c r="B82" s="2520"/>
      <c r="C82" s="3017"/>
      <c r="D82" s="3017"/>
      <c r="E82" s="3017"/>
      <c r="F82" s="3017"/>
      <c r="G82" s="3017"/>
      <c r="H82" s="3017"/>
      <c r="I82" s="3017"/>
      <c r="J82" s="3017"/>
      <c r="K82" s="3017"/>
      <c r="L82" s="3017"/>
      <c r="M82" s="3017"/>
    </row>
    <row r="83" spans="1:14">
      <c r="A83" s="2520"/>
      <c r="B83" s="2520"/>
      <c r="C83" s="3017"/>
      <c r="D83" s="3017"/>
      <c r="E83" s="3017"/>
      <c r="F83" s="3017"/>
      <c r="G83" s="3017"/>
      <c r="H83" s="3017"/>
      <c r="I83" s="3017"/>
      <c r="J83" s="3017"/>
      <c r="K83" s="3017"/>
      <c r="L83" s="3017"/>
      <c r="M83" s="3017"/>
    </row>
    <row r="84" spans="1:14" ht="15">
      <c r="A84" s="2521" t="s">
        <v>217</v>
      </c>
    </row>
    <row r="85" spans="1:14" ht="15">
      <c r="A85" s="2522" t="s">
        <v>214</v>
      </c>
      <c r="B85" s="766">
        <f>1-$E$20/2</f>
        <v>1</v>
      </c>
    </row>
    <row r="86" spans="1:14" ht="15">
      <c r="A86" s="2522" t="s">
        <v>215</v>
      </c>
      <c r="B86" s="766">
        <f>1+$E$20/2</f>
        <v>1</v>
      </c>
    </row>
    <row r="87" spans="1:14" ht="15">
      <c r="A87" s="2522"/>
      <c r="B87" s="766"/>
    </row>
    <row r="88" spans="1:14" s="1756" customFormat="1" ht="25.5">
      <c r="A88" s="2523" t="s">
        <v>216</v>
      </c>
      <c r="B88" s="2524">
        <f t="shared" ref="B88:M88" ca="1" si="6">+$B$86+RAND()*($B$85-$B$86)</f>
        <v>1</v>
      </c>
      <c r="C88" s="2524">
        <f t="shared" ca="1" si="6"/>
        <v>1</v>
      </c>
      <c r="D88" s="2524">
        <f t="shared" ca="1" si="6"/>
        <v>1</v>
      </c>
      <c r="E88" s="2524">
        <f t="shared" ca="1" si="6"/>
        <v>1</v>
      </c>
      <c r="F88" s="2524">
        <f t="shared" ca="1" si="6"/>
        <v>1</v>
      </c>
      <c r="G88" s="2524">
        <f t="shared" ca="1" si="6"/>
        <v>1</v>
      </c>
      <c r="H88" s="2524">
        <f t="shared" ca="1" si="6"/>
        <v>1</v>
      </c>
      <c r="I88" s="2524">
        <f t="shared" ca="1" si="6"/>
        <v>1</v>
      </c>
      <c r="J88" s="2524">
        <f t="shared" ca="1" si="6"/>
        <v>1</v>
      </c>
      <c r="K88" s="2524">
        <f t="shared" ca="1" si="6"/>
        <v>1</v>
      </c>
      <c r="L88" s="2524">
        <f t="shared" ca="1" si="6"/>
        <v>1</v>
      </c>
      <c r="M88" s="2524">
        <f t="shared" ca="1" si="6"/>
        <v>1</v>
      </c>
      <c r="N88" s="2525"/>
    </row>
    <row r="90" spans="1:14">
      <c r="B90" s="674"/>
      <c r="C90" s="674"/>
      <c r="D90" s="674"/>
      <c r="E90" s="674"/>
    </row>
    <row r="91" spans="1:14">
      <c r="B91" s="2520" t="s">
        <v>218</v>
      </c>
    </row>
    <row r="92" spans="1:14">
      <c r="B92" s="1757"/>
      <c r="C92" s="1687" t="str">
        <f>" "&amp;Parameters!H11&amp;"/"</f>
        <v xml:space="preserve"> €/</v>
      </c>
    </row>
    <row r="93" spans="1:14">
      <c r="B93" s="1687">
        <v>1</v>
      </c>
      <c r="C93" s="1687" t="str">
        <f>$C$92&amp;"Year"</f>
        <v xml:space="preserve"> €/Year</v>
      </c>
    </row>
    <row r="94" spans="1:14">
      <c r="B94" s="1687">
        <v>2</v>
      </c>
      <c r="C94" s="1687" t="str">
        <f>$C$92&amp;12/B94&amp;" months"</f>
        <v xml:space="preserve"> €/6 months</v>
      </c>
    </row>
    <row r="95" spans="1:14">
      <c r="B95" s="1687">
        <v>3</v>
      </c>
      <c r="C95" s="1687" t="str">
        <f>$C$92&amp;12/B95&amp;" months"</f>
        <v xml:space="preserve"> €/4 months</v>
      </c>
    </row>
    <row r="96" spans="1:14">
      <c r="B96" s="1757">
        <v>4</v>
      </c>
      <c r="C96" s="1757" t="str">
        <f>$C$92&amp;12/B96&amp;" months"</f>
        <v xml:space="preserve"> €/3 months</v>
      </c>
    </row>
    <row r="97" spans="1:3">
      <c r="B97" s="1757">
        <v>6</v>
      </c>
      <c r="C97" s="1757" t="str">
        <f>$C$92&amp;12/B97&amp;" months"</f>
        <v xml:space="preserve"> €/2 months</v>
      </c>
    </row>
    <row r="98" spans="1:3">
      <c r="B98" s="1757">
        <v>12</v>
      </c>
      <c r="C98" s="1757" t="str">
        <f>$C$92&amp;"month"</f>
        <v xml:space="preserve"> €/month</v>
      </c>
    </row>
    <row r="99" spans="1:3">
      <c r="B99" s="2526"/>
    </row>
    <row r="101" spans="1:3">
      <c r="A101" s="2511" t="s">
        <v>219</v>
      </c>
    </row>
    <row r="102" spans="1:3">
      <c r="A102" s="2527">
        <f>'Base Data'!B50</f>
        <v>0.21</v>
      </c>
    </row>
    <row r="103" spans="1:3">
      <c r="A103" s="2527">
        <v>0</v>
      </c>
    </row>
    <row r="106" spans="1:3">
      <c r="A106" s="2511" t="str">
        <f>'Base Data'!A50</f>
        <v>Normal rate</v>
      </c>
      <c r="B106" s="2512">
        <f>'Base Data'!B50</f>
        <v>0.21</v>
      </c>
    </row>
    <row r="107" spans="1:3">
      <c r="A107" s="2511" t="str">
        <f>'Base Data'!A51</f>
        <v>reduced rate</v>
      </c>
      <c r="B107" s="2512">
        <f>'Base Data'!B51</f>
        <v>0.1</v>
      </c>
    </row>
    <row r="108" spans="1:3">
      <c r="A108" s="2511" t="str">
        <f>'Base Data'!A52</f>
        <v>superreduced rate</v>
      </c>
      <c r="B108" s="2512">
        <f>'Base Data'!B52</f>
        <v>0.04</v>
      </c>
    </row>
    <row r="109" spans="1:3">
      <c r="A109" s="2511" t="str">
        <f>'Base Data'!A53</f>
        <v>special rate</v>
      </c>
      <c r="B109" s="2512">
        <f>'Base Data'!B53</f>
        <v>0</v>
      </c>
    </row>
  </sheetData>
  <sheetProtection sheet="1" objects="1" scenarios="1"/>
  <dataConsolidate/>
  <mergeCells count="9">
    <mergeCell ref="A20:D20"/>
    <mergeCell ref="A30:D30"/>
    <mergeCell ref="A31:D31"/>
    <mergeCell ref="A29:D29"/>
    <mergeCell ref="A24:D24"/>
    <mergeCell ref="A26:D26"/>
    <mergeCell ref="A27:D27"/>
    <mergeCell ref="A28:D28"/>
    <mergeCell ref="A25:D25"/>
  </mergeCells>
  <phoneticPr fontId="7" type="noConversion"/>
  <conditionalFormatting sqref="B52:M52">
    <cfRule type="cellIs" dxfId="46" priority="1" stopIfTrue="1" operator="equal">
      <formula>"ERROR"</formula>
    </cfRule>
  </conditionalFormatting>
  <dataValidations xWindow="360" yWindow="451" count="14">
    <dataValidation type="decimal" allowBlank="1" showInputMessage="1" showErrorMessage="1" error="Como máximo un 10% de morosidad" sqref="I6" xr:uid="{00000000-0002-0000-0300-000000000000}">
      <formula1>0</formula1>
      <formula2>0.1</formula2>
    </dataValidation>
    <dataValidation type="decimal" allowBlank="1" showInputMessage="1" showErrorMessage="1" sqref="H8:I8 C53:H57 J53:M57" xr:uid="{00000000-0002-0000-0300-000001000000}">
      <formula1>0</formula1>
      <formula2>1</formula2>
    </dataValidation>
    <dataValidation type="whole" allowBlank="1" showInputMessage="1" showErrorMessage="1" sqref="C38" xr:uid="{00000000-0002-0000-0300-000002000000}">
      <formula1>3</formula1>
      <formula2>20</formula2>
    </dataValidation>
    <dataValidation type="decimal" allowBlank="1" showInputMessage="1" showErrorMessage="1" error="Es obligatorio destinar un mínimo del 10% de los beneficios a reservas." sqref="C42:G42" xr:uid="{00000000-0002-0000-0300-000003000000}">
      <formula1>0.1</formula1>
      <formula2>1</formula2>
    </dataValidation>
    <dataValidation type="whole" operator="greaterThanOrEqual" allowBlank="1" showInputMessage="1" showErrorMessage="1" sqref="C46" xr:uid="{00000000-0002-0000-0300-000004000000}">
      <formula1>0</formula1>
    </dataValidation>
    <dataValidation allowBlank="1" showInputMessage="1" showErrorMessage="1" prompt="Los nombres de las familias de productos o servicios se introducen en la hoja de &lt;Precios-C.V.&gt;" sqref="A24:D31" xr:uid="{00000000-0002-0000-0300-000005000000}"/>
    <dataValidation type="list" allowBlank="1" showInputMessage="1" showErrorMessage="1" prompt="Usually 21%, except for exempted activities, VAT modules scheme or VAT surplus charged._x000a_In these cases VAT should be considered as a expenditure or income included in the prices (selling or purchasing)._x000a_Or if a VAT free simulation is needed." sqref="F33" xr:uid="{00000000-0002-0000-0300-000006000000}">
      <formula1>$A$102:$A$103</formula1>
    </dataValidation>
    <dataValidation type="list" allowBlank="1" showInputMessage="1" showErrorMessage="1" prompt="VAT rate: 21%, 10%, 4% or 0% for exempted products or activities or certain taxation schemes such as modules and alike." sqref="E24:F31" xr:uid="{00000000-0002-0000-0300-000007000000}">
      <formula1>$B$106:$B$109</formula1>
    </dataValidation>
    <dataValidation type="decimal" allowBlank="1" showInputMessage="1" showErrorMessage="1" prompt="Tipo de IPC o inflacción anual prevista (entre el 0% y el 8%)" sqref="C18:F18" xr:uid="{00000000-0002-0000-0300-000008000000}">
      <formula1>0</formula1>
      <formula2>1</formula2>
    </dataValidation>
    <dataValidation type="whole" operator="greaterThanOrEqual" allowBlank="1" showInputMessage="1" showErrorMessage="1" sqref="D38:G38" xr:uid="{00000000-0002-0000-0300-000009000000}">
      <formula1>1</formula1>
    </dataValidation>
    <dataValidation type="decimal" allowBlank="1" showInputMessage="1" showErrorMessage="1" sqref="H7 H14" xr:uid="{00000000-0002-0000-0300-00000A000000}">
      <formula1>0</formula1>
      <formula2>0.5</formula2>
    </dataValidation>
    <dataValidation type="list" allowBlank="1" showInputMessage="1" showErrorMessage="1" sqref="B14:C14" xr:uid="{00000000-0002-0000-0300-00000B000000}">
      <formula1>"1,2,3,4,5,6,7,8,9,10,11,12"</formula1>
    </dataValidation>
    <dataValidation type="list" operator="greaterThanOrEqual" allowBlank="1" showInputMessage="1" showErrorMessage="1" sqref="C48" xr:uid="{00000000-0002-0000-0300-00000C000000}">
      <formula1>"Yes,No"</formula1>
    </dataValidation>
    <dataValidation type="list" allowBlank="1" showInputMessage="1" showErrorMessage="1" sqref="G11" xr:uid="{00000000-0002-0000-0300-00000D000000}">
      <formula1>$L$8:$L$14</formula1>
    </dataValidation>
  </dataValidations>
  <hyperlinks>
    <hyperlink ref="M14" r:id="rId1" display="¥¥" xr:uid="{00000000-0004-0000-0300-000000000000}"/>
  </hyperlinks>
  <printOptions horizontalCentered="1"/>
  <pageMargins left="0.59055118110236227" right="0.59055118110236227" top="0.78740157480314965" bottom="0.94488188976377963" header="0" footer="0.19685039370078741"/>
  <pageSetup paperSize="9" scale="77" orientation="portrait" horizontalDpi="300" verticalDpi="300" r:id="rId2"/>
  <headerFooter alignWithMargins="0">
    <oddFooter>&amp;C&amp;"Tahoma,Normal"&amp;10&amp;A</oddFooter>
  </headerFooter>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4">
    <tabColor indexed="61"/>
    <pageSetUpPr fitToPage="1"/>
  </sheetPr>
  <dimension ref="A1:N33"/>
  <sheetViews>
    <sheetView zoomScale="75" workbookViewId="0">
      <pane xSplit="1" topLeftCell="B1" activePane="topRight" state="frozenSplit"/>
      <selection activeCell="E23" sqref="E23"/>
      <selection pane="topRight" activeCell="E23" sqref="E23"/>
    </sheetView>
  </sheetViews>
  <sheetFormatPr baseColWidth="10" defaultColWidth="11" defaultRowHeight="12.75"/>
  <cols>
    <col min="1" max="1" width="30" style="61" customWidth="1"/>
    <col min="2" max="13" width="10.875" style="61" customWidth="1"/>
    <col min="14" max="14" width="12.25" style="230" customWidth="1"/>
    <col min="15" max="16384" width="11" style="61"/>
  </cols>
  <sheetData>
    <row r="1" spans="1:14" ht="22.5">
      <c r="A1" s="317" t="s">
        <v>626</v>
      </c>
      <c r="E1" s="230"/>
      <c r="F1" s="230"/>
      <c r="I1" s="231" t="str">
        <f>Parameters!F$77</f>
        <v>Year 4:   2030</v>
      </c>
      <c r="L1" s="402"/>
    </row>
    <row r="2" spans="1:14" s="403" customFormat="1" ht="22.5">
      <c r="A2" s="66" t="str">
        <f>'Base Data'!B9</f>
        <v>WWW, Ltd.</v>
      </c>
      <c r="C2" s="404"/>
      <c r="D2" s="273"/>
      <c r="N2" s="405"/>
    </row>
    <row r="3" spans="1:14" s="403" customFormat="1" ht="26.25" thickBot="1">
      <c r="A3" s="59"/>
      <c r="B3" s="2273">
        <v>1</v>
      </c>
      <c r="C3" s="2273">
        <v>2</v>
      </c>
      <c r="D3" s="2273">
        <v>3</v>
      </c>
      <c r="E3" s="2273">
        <v>4</v>
      </c>
      <c r="F3" s="2273">
        <v>5</v>
      </c>
      <c r="G3" s="2273">
        <v>6</v>
      </c>
      <c r="H3" s="2273">
        <v>7</v>
      </c>
      <c r="I3" s="2273">
        <v>8</v>
      </c>
      <c r="J3" s="2273">
        <v>9</v>
      </c>
      <c r="K3" s="2273">
        <v>10</v>
      </c>
      <c r="L3" s="2273">
        <v>11</v>
      </c>
      <c r="M3" s="2273">
        <v>12</v>
      </c>
      <c r="N3" s="405"/>
    </row>
    <row r="4" spans="1:14" s="406" customFormat="1" ht="21.75" customHeight="1" thickBot="1">
      <c r="A4" s="409" t="str">
        <f t="array" ref="A4:A7">'Yearly Income St'!A4:A7</f>
        <v>Items</v>
      </c>
      <c r="B4" s="410" t="str">
        <f t="array" ref="B4:M4">meses</f>
        <v>January</v>
      </c>
      <c r="C4" s="410" t="str">
        <v>February</v>
      </c>
      <c r="D4" s="410" t="str">
        <v>March</v>
      </c>
      <c r="E4" s="410" t="str">
        <v>April</v>
      </c>
      <c r="F4" s="410" t="str">
        <v>May</v>
      </c>
      <c r="G4" s="410" t="str">
        <v>June</v>
      </c>
      <c r="H4" s="410" t="str">
        <v>July</v>
      </c>
      <c r="I4" s="410" t="str">
        <v>August</v>
      </c>
      <c r="J4" s="410" t="str">
        <v>September</v>
      </c>
      <c r="K4" s="410" t="str">
        <v>October</v>
      </c>
      <c r="L4" s="410" t="str">
        <v>November</v>
      </c>
      <c r="M4" s="410" t="str">
        <v>December</v>
      </c>
      <c r="N4" s="410" t="s">
        <v>0</v>
      </c>
    </row>
    <row r="5" spans="1:14" s="405" customFormat="1" ht="16.149999999999999" customHeight="1">
      <c r="A5" s="411" t="str">
        <v>Sales Income</v>
      </c>
      <c r="B5" s="596">
        <f t="array" aca="1" ref="B5:M5" ca="1">'Sales Forecast 4'!B25:M25</f>
        <v>1303.3392019800001</v>
      </c>
      <c r="C5" s="596">
        <f ca="1"/>
        <v>1303.3392019800001</v>
      </c>
      <c r="D5" s="596">
        <f ca="1"/>
        <v>1303.3392019800001</v>
      </c>
      <c r="E5" s="596">
        <f ca="1"/>
        <v>1303.3392019800001</v>
      </c>
      <c r="F5" s="596">
        <f ca="1"/>
        <v>1303.3392019800001</v>
      </c>
      <c r="G5" s="596">
        <f ca="1"/>
        <v>1303.3392019800001</v>
      </c>
      <c r="H5" s="596">
        <f ca="1"/>
        <v>1303.3392019800001</v>
      </c>
      <c r="I5" s="596">
        <f ca="1"/>
        <v>1303.3392019800001</v>
      </c>
      <c r="J5" s="596">
        <f ca="1"/>
        <v>1303.3392019800001</v>
      </c>
      <c r="K5" s="596">
        <f ca="1"/>
        <v>1303.3392019800001</v>
      </c>
      <c r="L5" s="596">
        <f ca="1"/>
        <v>1303.3392019800001</v>
      </c>
      <c r="M5" s="596">
        <f ca="1"/>
        <v>1303.3392019800001</v>
      </c>
      <c r="N5" s="597">
        <f ca="1">SUM(B5:M5)</f>
        <v>15640.070423759998</v>
      </c>
    </row>
    <row r="6" spans="1:14" s="405" customFormat="1" ht="16.149999999999999" customHeight="1">
      <c r="A6" s="1554" t="str">
        <v>Subsidies Imputation</v>
      </c>
      <c r="B6" s="600">
        <f>IF(B$3+48&gt;mes0+Parameters!$B$38*12-1,0,Funding!$C$19/Parameters!$B$38/12)
+IF(Parameters!$C$38&gt;4,Funding!$D$19/Parameters!$C$38/12,0)
+IF(Parameters!$D$38&gt;3,Funding!$E$19/Parameters!$D$38/12,0)
+IF(Parameters!$E$38&gt;2,Funding!$F$19/Parameters!$E$38/12,0)
+Funding!$G$19/Parameters!$F$38/12
+Funding!$H$19/Parameters!$G$38/12</f>
        <v>0</v>
      </c>
      <c r="C6" s="600">
        <f>IF(C$3+48&gt;mes0+Parameters!$B$38*12-1,0,Funding!$C$19/Parameters!$B$38/12)
+IF(Parameters!$C$38&gt;4,Funding!$D$19/Parameters!$C$38/12,0)
+IF(Parameters!$D$38&gt;3,Funding!$E$19/Parameters!$D$38/12,0)
+IF(Parameters!$E$38&gt;2,Funding!$F$19/Parameters!$E$38/12,0)
+Funding!$G$19/Parameters!$F$38/12
+Funding!$H$19/Parameters!$G$38/12</f>
        <v>0</v>
      </c>
      <c r="D6" s="600">
        <f>IF(D$3+48&gt;mes0+Parameters!$B$38*12-1,0,Funding!$C$19/Parameters!$B$38/12)
+IF(Parameters!$C$38&gt;4,Funding!$D$19/Parameters!$C$38/12,0)
+IF(Parameters!$D$38&gt;3,Funding!$E$19/Parameters!$D$38/12,0)
+IF(Parameters!$E$38&gt;2,Funding!$F$19/Parameters!$E$38/12,0)
+Funding!$G$19/Parameters!$F$38/12
+Funding!$H$19/Parameters!$G$38/12</f>
        <v>0</v>
      </c>
      <c r="E6" s="600">
        <f>IF(E$3+48&gt;mes0+Parameters!$B$38*12-1,0,Funding!$C$19/Parameters!$B$38/12)
+IF(Parameters!$C$38&gt;4,Funding!$D$19/Parameters!$C$38/12,0)
+IF(Parameters!$D$38&gt;3,Funding!$E$19/Parameters!$D$38/12,0)
+IF(Parameters!$E$38&gt;2,Funding!$F$19/Parameters!$E$38/12,0)
+Funding!$G$19/Parameters!$F$38/12
+Funding!$H$19/Parameters!$G$38/12</f>
        <v>0</v>
      </c>
      <c r="F6" s="600">
        <f>IF(F$3+48&gt;mes0+Parameters!$B$38*12-1,0,Funding!$C$19/Parameters!$B$38/12)
+IF(Parameters!$C$38&gt;4,Funding!$D$19/Parameters!$C$38/12,0)
+IF(Parameters!$D$38&gt;3,Funding!$E$19/Parameters!$D$38/12,0)
+IF(Parameters!$E$38&gt;2,Funding!$F$19/Parameters!$E$38/12,0)
+Funding!$G$19/Parameters!$F$38/12
+Funding!$H$19/Parameters!$G$38/12</f>
        <v>0</v>
      </c>
      <c r="G6" s="600">
        <f>IF(G$3+48&gt;mes0+Parameters!$B$38*12-1,0,Funding!$C$19/Parameters!$B$38/12)
+IF(Parameters!$C$38&gt;4,Funding!$D$19/Parameters!$C$38/12,0)
+IF(Parameters!$D$38&gt;3,Funding!$E$19/Parameters!$D$38/12,0)
+IF(Parameters!$E$38&gt;2,Funding!$F$19/Parameters!$E$38/12,0)
+Funding!$G$19/Parameters!$F$38/12
+Funding!$H$19/Parameters!$G$38/12</f>
        <v>0</v>
      </c>
      <c r="H6" s="600">
        <f>IF(H$3+48&gt;mes0+Parameters!$B$38*12-1,0,Funding!$C$19/Parameters!$B$38/12)
+IF(Parameters!$C$38&gt;4,Funding!$D$19/Parameters!$C$38/12,0)
+IF(Parameters!$D$38&gt;3,Funding!$E$19/Parameters!$D$38/12,0)
+IF(Parameters!$E$38&gt;2,Funding!$F$19/Parameters!$E$38/12,0)
+Funding!$G$19/Parameters!$F$38/12
+Funding!$H$19/Parameters!$G$38/12</f>
        <v>0</v>
      </c>
      <c r="I6" s="600">
        <f>IF(I$3+48&gt;mes0+Parameters!$B$38*12-1,0,Funding!$C$19/Parameters!$B$38/12)
+IF(Parameters!$C$38&gt;4,Funding!$D$19/Parameters!$C$38/12,0)
+IF(Parameters!$D$38&gt;3,Funding!$E$19/Parameters!$D$38/12,0)
+IF(Parameters!$E$38&gt;2,Funding!$F$19/Parameters!$E$38/12,0)
+Funding!$G$19/Parameters!$F$38/12
+Funding!$H$19/Parameters!$G$38/12</f>
        <v>0</v>
      </c>
      <c r="J6" s="600">
        <f>IF(J$3+48&gt;mes0+Parameters!$B$38*12-1,0,Funding!$C$19/Parameters!$B$38/12)
+IF(Parameters!$C$38&gt;4,Funding!$D$19/Parameters!$C$38/12,0)
+IF(Parameters!$D$38&gt;3,Funding!$E$19/Parameters!$D$38/12,0)
+IF(Parameters!$E$38&gt;2,Funding!$F$19/Parameters!$E$38/12,0)
+Funding!$G$19/Parameters!$F$38/12
+Funding!$H$19/Parameters!$G$38/12</f>
        <v>0</v>
      </c>
      <c r="K6" s="600">
        <f>IF(K$3+48&gt;mes0+Parameters!$B$38*12-1,0,Funding!$C$19/Parameters!$B$38/12)
+IF(Parameters!$C$38&gt;4,Funding!$D$19/Parameters!$C$38/12,0)
+IF(Parameters!$D$38&gt;3,Funding!$E$19/Parameters!$D$38/12,0)
+IF(Parameters!$E$38&gt;2,Funding!$F$19/Parameters!$E$38/12,0)
+Funding!$G$19/Parameters!$F$38/12
+Funding!$H$19/Parameters!$G$38/12</f>
        <v>0</v>
      </c>
      <c r="L6" s="600">
        <f>IF(L$3+48&gt;mes0+Parameters!$B$38*12-1,0,Funding!$C$19/Parameters!$B$38/12)
+IF(Parameters!$C$38&gt;4,Funding!$D$19/Parameters!$C$38/12,0)
+IF(Parameters!$D$38&gt;3,Funding!$E$19/Parameters!$D$38/12,0)
+IF(Parameters!$E$38&gt;2,Funding!$F$19/Parameters!$E$38/12,0)
+Funding!$G$19/Parameters!$F$38/12
+Funding!$H$19/Parameters!$G$38/12</f>
        <v>0</v>
      </c>
      <c r="M6" s="600">
        <f>IF(M$3+48&gt;mes0+Parameters!$B$38*12-1,0,Funding!$C$19/Parameters!$B$38/12)
+IF(Parameters!$C$38&gt;4,Funding!$D$19/Parameters!$C$38/12,0)
+IF(Parameters!$D$38&gt;3,Funding!$E$19/Parameters!$D$38/12,0)
+IF(Parameters!$E$38&gt;2,Funding!$F$19/Parameters!$E$38/12,0)
+Funding!$G$19/Parameters!$F$38/12
+Funding!$H$19/Parameters!$G$38/12</f>
        <v>0</v>
      </c>
      <c r="N6" s="599">
        <f>SUM(B6:M6)</f>
        <v>0</v>
      </c>
    </row>
    <row r="7" spans="1:14" s="405" customFormat="1" ht="16.149999999999999" customHeight="1">
      <c r="A7" s="1555" t="str">
        <v>Total Operations Income</v>
      </c>
      <c r="B7" s="1556">
        <f t="array" aca="1" ref="B7:M7" ca="1">B5:M5+B6:M6</f>
        <v>1303.3392019800001</v>
      </c>
      <c r="C7" s="1556">
        <f ca="1"/>
        <v>1303.3392019800001</v>
      </c>
      <c r="D7" s="1556">
        <f ca="1"/>
        <v>1303.3392019800001</v>
      </c>
      <c r="E7" s="1556">
        <f ca="1"/>
        <v>1303.3392019800001</v>
      </c>
      <c r="F7" s="1556">
        <f ca="1"/>
        <v>1303.3392019800001</v>
      </c>
      <c r="G7" s="1556">
        <f ca="1"/>
        <v>1303.3392019800001</v>
      </c>
      <c r="H7" s="1556">
        <f ca="1"/>
        <v>1303.3392019800001</v>
      </c>
      <c r="I7" s="1556">
        <f ca="1"/>
        <v>1303.3392019800001</v>
      </c>
      <c r="J7" s="1556">
        <f ca="1"/>
        <v>1303.3392019800001</v>
      </c>
      <c r="K7" s="1556">
        <f ca="1"/>
        <v>1303.3392019800001</v>
      </c>
      <c r="L7" s="1556">
        <f ca="1"/>
        <v>1303.3392019800001</v>
      </c>
      <c r="M7" s="1556">
        <f ca="1"/>
        <v>1303.3392019800001</v>
      </c>
      <c r="N7" s="599">
        <f ca="1">SUM(B7:M7)</f>
        <v>15640.070423759998</v>
      </c>
    </row>
    <row r="8" spans="1:14" s="405" customFormat="1" ht="16.149999999999999" customHeight="1">
      <c r="A8" s="1554"/>
      <c r="B8" s="600"/>
      <c r="C8" s="600"/>
      <c r="D8" s="600"/>
      <c r="E8" s="600"/>
      <c r="F8" s="600"/>
      <c r="G8" s="600"/>
      <c r="H8" s="600"/>
      <c r="I8" s="600"/>
      <c r="J8" s="600"/>
      <c r="K8" s="600"/>
      <c r="L8" s="600"/>
      <c r="M8" s="600"/>
      <c r="N8" s="599"/>
    </row>
    <row r="9" spans="1:14" s="403" customFormat="1" ht="16.149999999999999" customHeight="1">
      <c r="A9" s="412" t="str">
        <f t="array" ref="A9:A11">'Yearly Income St'!A9:A11</f>
        <v>Direct Costs</v>
      </c>
      <c r="B9" s="596">
        <f t="array" aca="1" ref="B9:M9" ca="1">'DC Distr 4'!B28:M28</f>
        <v>130.33392019800002</v>
      </c>
      <c r="C9" s="596">
        <f ca="1"/>
        <v>130.33392019800002</v>
      </c>
      <c r="D9" s="596">
        <f ca="1"/>
        <v>130.33392019800002</v>
      </c>
      <c r="E9" s="596">
        <f ca="1"/>
        <v>130.33392019800002</v>
      </c>
      <c r="F9" s="596">
        <f ca="1"/>
        <v>130.33392019800002</v>
      </c>
      <c r="G9" s="596">
        <f ca="1"/>
        <v>130.33392019800002</v>
      </c>
      <c r="H9" s="596">
        <f ca="1"/>
        <v>130.33392019800002</v>
      </c>
      <c r="I9" s="596">
        <f ca="1"/>
        <v>130.33392019800002</v>
      </c>
      <c r="J9" s="596">
        <f ca="1"/>
        <v>130.33392019800002</v>
      </c>
      <c r="K9" s="596">
        <f ca="1"/>
        <v>130.33392019800002</v>
      </c>
      <c r="L9" s="596">
        <f ca="1"/>
        <v>130.33392019800002</v>
      </c>
      <c r="M9" s="596">
        <f ca="1"/>
        <v>130.33392019800002</v>
      </c>
      <c r="N9" s="597">
        <f ca="1">SUM(B9:M9)</f>
        <v>1564.0070423760001</v>
      </c>
    </row>
    <row r="10" spans="1:14" s="403" customFormat="1" ht="16.149999999999999" customHeight="1">
      <c r="A10" s="412" t="str">
        <v>Defaulted Sales</v>
      </c>
      <c r="B10" s="600">
        <f ca="1">-(1-recmorosos)*'Collections &amp; Payments 3'!B27</f>
        <v>0</v>
      </c>
      <c r="C10" s="600">
        <f ca="1">-(1-recmorosos)*'Collections &amp; Payments 3'!C27</f>
        <v>0</v>
      </c>
      <c r="D10" s="600">
        <f ca="1">-(1-recmorosos)*'Collections &amp; Payments 3'!D27</f>
        <v>0</v>
      </c>
      <c r="E10" s="600">
        <f ca="1">-(1-recmorosos)*'Collections &amp; Payments 3'!E27</f>
        <v>0</v>
      </c>
      <c r="F10" s="600">
        <f ca="1">-(1-recmorosos)*'Collections &amp; Payments 3'!F27</f>
        <v>0</v>
      </c>
      <c r="G10" s="600">
        <f ca="1">-(1-recmorosos)*'Collections &amp; Payments 3'!G27</f>
        <v>0</v>
      </c>
      <c r="H10" s="600">
        <f ca="1">-(1-recmorosos)*'Collections &amp; Payments 3'!H27</f>
        <v>0</v>
      </c>
      <c r="I10" s="600">
        <f ca="1">-(1-recmorosos)*'Collections &amp; Payments 3'!I27</f>
        <v>0</v>
      </c>
      <c r="J10" s="600">
        <f ca="1">-(1-recmorosos)*'Collections &amp; Payments 3'!J27</f>
        <v>0</v>
      </c>
      <c r="K10" s="600">
        <f ca="1">-(1-recmorosos)*'Collections &amp; Payments 3'!K27</f>
        <v>0</v>
      </c>
      <c r="L10" s="600">
        <f ca="1">-(1-recmorosos)*'Collections &amp; Payments 3'!L27</f>
        <v>0</v>
      </c>
      <c r="M10" s="600">
        <f ca="1">-(1-recmorosos)*'Collections &amp; Payments 3'!M27+'VAT 4'!O15</f>
        <v>0</v>
      </c>
      <c r="N10" s="599">
        <f ca="1">SUM(B10:M10)</f>
        <v>0</v>
      </c>
    </row>
    <row r="11" spans="1:14" s="403" customFormat="1" ht="16.149999999999999" customHeight="1">
      <c r="A11" s="1560" t="str">
        <v>Direct &amp; Commercial Costs</v>
      </c>
      <c r="B11" s="1556">
        <f t="array" aca="1" ref="B11:M11" ca="1">B9:M9+B10:M10</f>
        <v>130.33392019800002</v>
      </c>
      <c r="C11" s="1556">
        <f ca="1"/>
        <v>130.33392019800002</v>
      </c>
      <c r="D11" s="1556">
        <f ca="1"/>
        <v>130.33392019800002</v>
      </c>
      <c r="E11" s="1556">
        <f ca="1"/>
        <v>130.33392019800002</v>
      </c>
      <c r="F11" s="1556">
        <f ca="1"/>
        <v>130.33392019800002</v>
      </c>
      <c r="G11" s="1556">
        <f ca="1"/>
        <v>130.33392019800002</v>
      </c>
      <c r="H11" s="1556">
        <f ca="1"/>
        <v>130.33392019800002</v>
      </c>
      <c r="I11" s="1556">
        <f ca="1"/>
        <v>130.33392019800002</v>
      </c>
      <c r="J11" s="1556">
        <f ca="1"/>
        <v>130.33392019800002</v>
      </c>
      <c r="K11" s="1556">
        <f ca="1"/>
        <v>130.33392019800002</v>
      </c>
      <c r="L11" s="1556">
        <f ca="1"/>
        <v>130.33392019800002</v>
      </c>
      <c r="M11" s="1556">
        <f ca="1"/>
        <v>130.33392019800002</v>
      </c>
      <c r="N11" s="599">
        <f ca="1">SUM(B11:M11)</f>
        <v>1564.0070423760001</v>
      </c>
    </row>
    <row r="12" spans="1:14" s="403" customFormat="1" ht="16.149999999999999" customHeight="1">
      <c r="A12" s="920"/>
      <c r="B12" s="600"/>
      <c r="C12" s="600"/>
      <c r="D12" s="600"/>
      <c r="E12" s="600"/>
      <c r="F12" s="600"/>
      <c r="G12" s="600"/>
      <c r="H12" s="600"/>
      <c r="I12" s="600"/>
      <c r="J12" s="600"/>
      <c r="K12" s="600"/>
      <c r="L12" s="600"/>
      <c r="M12" s="600"/>
      <c r="N12" s="599"/>
    </row>
    <row r="13" spans="1:14" s="405" customFormat="1" ht="16.149999999999999" customHeight="1">
      <c r="A13" s="413" t="str">
        <f>'Yearly Income St'!A13</f>
        <v>Gross Margin over Income</v>
      </c>
      <c r="B13" s="595">
        <f t="array" aca="1" ref="B13:M13" ca="1">B7:M7-B11:M11</f>
        <v>1173.0052817820001</v>
      </c>
      <c r="C13" s="595">
        <f ca="1"/>
        <v>1173.0052817820001</v>
      </c>
      <c r="D13" s="595">
        <f ca="1"/>
        <v>1173.0052817820001</v>
      </c>
      <c r="E13" s="595">
        <f ca="1"/>
        <v>1173.0052817820001</v>
      </c>
      <c r="F13" s="595">
        <f ca="1"/>
        <v>1173.0052817820001</v>
      </c>
      <c r="G13" s="595">
        <f ca="1"/>
        <v>1173.0052817820001</v>
      </c>
      <c r="H13" s="595">
        <f ca="1"/>
        <v>1173.0052817820001</v>
      </c>
      <c r="I13" s="595">
        <f ca="1"/>
        <v>1173.0052817820001</v>
      </c>
      <c r="J13" s="595">
        <f ca="1"/>
        <v>1173.0052817820001</v>
      </c>
      <c r="K13" s="595">
        <f ca="1"/>
        <v>1173.0052817820001</v>
      </c>
      <c r="L13" s="595">
        <f ca="1"/>
        <v>1173.0052817820001</v>
      </c>
      <c r="M13" s="595">
        <f ca="1"/>
        <v>1173.0052817820001</v>
      </c>
      <c r="N13" s="597">
        <f ca="1">SUM(B13:M13)</f>
        <v>14076.063381383998</v>
      </c>
    </row>
    <row r="14" spans="1:14" s="405" customFormat="1" ht="16.149999999999999" customHeight="1">
      <c r="A14" s="413"/>
      <c r="B14" s="407"/>
      <c r="C14" s="407"/>
      <c r="D14" s="407"/>
      <c r="E14" s="407"/>
      <c r="F14" s="407"/>
      <c r="G14" s="407"/>
      <c r="H14" s="407"/>
      <c r="I14" s="407"/>
      <c r="J14" s="407"/>
      <c r="K14" s="407"/>
      <c r="L14" s="407"/>
      <c r="M14" s="407"/>
      <c r="N14" s="1564"/>
    </row>
    <row r="15" spans="1:14" s="403" customFormat="1" ht="16.149999999999999" customHeight="1">
      <c r="A15" s="920" t="str">
        <f t="array" ref="A15:A18">'Yearly Income St'!A15:A18</f>
        <v>Labour Expenses</v>
      </c>
      <c r="B15" s="596">
        <f t="array" ref="B15:M15">'Fixed Expenses 4'!B27:M27-'Fixed Expenses 4'!B20:M20</f>
        <v>1403.8302720000002</v>
      </c>
      <c r="C15" s="596">
        <v>1403.8302720000002</v>
      </c>
      <c r="D15" s="596">
        <v>1403.8302720000002</v>
      </c>
      <c r="E15" s="596">
        <v>1403.8302720000002</v>
      </c>
      <c r="F15" s="596">
        <v>1403.8302720000002</v>
      </c>
      <c r="G15" s="596">
        <f ca="1"/>
        <v>1403.8302720000002</v>
      </c>
      <c r="H15" s="596">
        <v>1403.8302720000002</v>
      </c>
      <c r="I15" s="596">
        <v>1403.8302720000002</v>
      </c>
      <c r="J15" s="596">
        <v>1403.8302720000002</v>
      </c>
      <c r="K15" s="596">
        <v>1403.8302720000002</v>
      </c>
      <c r="L15" s="596">
        <v>1403.8302720000002</v>
      </c>
      <c r="M15" s="596">
        <v>1403.8302720000002</v>
      </c>
      <c r="N15" s="597">
        <f ca="1">SUM(B15:M15)</f>
        <v>16845.963263999998</v>
      </c>
    </row>
    <row r="16" spans="1:14" s="403" customFormat="1" ht="16.149999999999999" customHeight="1">
      <c r="A16" s="920" t="str">
        <v>Social Security Expenses</v>
      </c>
      <c r="B16" s="596">
        <f t="array" ref="B16:M16">+'Fixed Expenses 4'!B20:M20</f>
        <v>80</v>
      </c>
      <c r="C16" s="596">
        <v>80</v>
      </c>
      <c r="D16" s="596">
        <v>80</v>
      </c>
      <c r="E16" s="596">
        <v>80</v>
      </c>
      <c r="F16" s="596">
        <v>80</v>
      </c>
      <c r="G16" s="596">
        <f ca="1"/>
        <v>80</v>
      </c>
      <c r="H16" s="596">
        <v>80</v>
      </c>
      <c r="I16" s="596">
        <v>80</v>
      </c>
      <c r="J16" s="596">
        <v>80</v>
      </c>
      <c r="K16" s="596">
        <v>80</v>
      </c>
      <c r="L16" s="596">
        <v>80</v>
      </c>
      <c r="M16" s="596">
        <v>80</v>
      </c>
      <c r="N16" s="597">
        <f ca="1">SUM(B16:M16)</f>
        <v>960</v>
      </c>
    </row>
    <row r="17" spans="1:14" s="403" customFormat="1" ht="16.149999999999999" customHeight="1">
      <c r="A17" s="920" t="str">
        <v>Other Fixed Expenses</v>
      </c>
      <c r="B17" s="596">
        <f t="array" aca="1" ref="B17:M17" ca="1">'Fixed Expenses 4'!B55:M55+'VAT 4'!C13:N13</f>
        <v>41.205921467399996</v>
      </c>
      <c r="C17" s="596">
        <f ca="1"/>
        <v>41.205921467399996</v>
      </c>
      <c r="D17" s="596">
        <f ca="1"/>
        <v>41.205921467399996</v>
      </c>
      <c r="E17" s="596">
        <f ca="1"/>
        <v>41.205921467399996</v>
      </c>
      <c r="F17" s="596">
        <f ca="1"/>
        <v>41.205921467399996</v>
      </c>
      <c r="G17" s="596">
        <f ca="1"/>
        <v>41.205921467399996</v>
      </c>
      <c r="H17" s="596">
        <f ca="1"/>
        <v>41.205921467399996</v>
      </c>
      <c r="I17" s="596">
        <f ca="1"/>
        <v>41.205921467399996</v>
      </c>
      <c r="J17" s="596">
        <f ca="1"/>
        <v>41.205921467399996</v>
      </c>
      <c r="K17" s="596">
        <f ca="1"/>
        <v>41.205921467399996</v>
      </c>
      <c r="L17" s="596">
        <f ca="1"/>
        <v>41.205921467399996</v>
      </c>
      <c r="M17" s="596">
        <f ca="1"/>
        <v>41.205921467399996</v>
      </c>
      <c r="N17" s="597">
        <f ca="1">SUM(B17:M17)</f>
        <v>494.47105760879998</v>
      </c>
    </row>
    <row r="18" spans="1:14" s="405" customFormat="1" ht="16.149999999999999" customHeight="1">
      <c r="A18" s="413" t="str">
        <v>Total Operation Expenses</v>
      </c>
      <c r="B18" s="595">
        <f t="shared" ref="B18:M18" ca="1" si="0">SUM(B15:B17)</f>
        <v>1525.0361934674002</v>
      </c>
      <c r="C18" s="595">
        <f t="shared" ca="1" si="0"/>
        <v>1525.0361934674002</v>
      </c>
      <c r="D18" s="595">
        <f t="shared" ca="1" si="0"/>
        <v>1525.0361934674002</v>
      </c>
      <c r="E18" s="595">
        <f t="shared" ca="1" si="0"/>
        <v>1525.0361934674002</v>
      </c>
      <c r="F18" s="595">
        <f t="shared" ca="1" si="0"/>
        <v>1525.0361934674002</v>
      </c>
      <c r="G18" s="595">
        <f t="shared" ca="1" si="0"/>
        <v>1525.0361934674002</v>
      </c>
      <c r="H18" s="595">
        <f t="shared" ca="1" si="0"/>
        <v>1525.0361934674002</v>
      </c>
      <c r="I18" s="595">
        <f t="shared" ca="1" si="0"/>
        <v>1525.0361934674002</v>
      </c>
      <c r="J18" s="595">
        <f t="shared" ca="1" si="0"/>
        <v>1525.0361934674002</v>
      </c>
      <c r="K18" s="595">
        <f t="shared" ca="1" si="0"/>
        <v>1525.0361934674002</v>
      </c>
      <c r="L18" s="595">
        <f t="shared" ca="1" si="0"/>
        <v>1525.0361934674002</v>
      </c>
      <c r="M18" s="595">
        <f t="shared" ca="1" si="0"/>
        <v>1525.0361934674002</v>
      </c>
      <c r="N18" s="597">
        <f ca="1">SUM(B18:M18)</f>
        <v>18300.434321608802</v>
      </c>
    </row>
    <row r="19" spans="1:14" s="405" customFormat="1" ht="16.149999999999999" customHeight="1">
      <c r="A19" s="413"/>
      <c r="B19" s="407"/>
      <c r="C19" s="407"/>
      <c r="D19" s="407"/>
      <c r="E19" s="407"/>
      <c r="F19" s="407"/>
      <c r="G19" s="407"/>
      <c r="H19" s="407"/>
      <c r="I19" s="407"/>
      <c r="J19" s="407"/>
      <c r="K19" s="407"/>
      <c r="L19" s="407"/>
      <c r="M19" s="407"/>
      <c r="N19" s="1564"/>
    </row>
    <row r="20" spans="1:14" s="405" customFormat="1" ht="16.149999999999999" customHeight="1">
      <c r="A20" s="413" t="str">
        <f>'Yearly Income St'!A20</f>
        <v>E.B.I.T.D.A.</v>
      </c>
      <c r="B20" s="407">
        <f t="array" ref="B20:M20" ca="1">B13:M13-B18:M18</f>
        <v>-352.03091168540004</v>
      </c>
      <c r="C20" s="407">
        <f ca="1"/>
        <v>-352.03091168540004</v>
      </c>
      <c r="D20" s="407">
        <f ca="1"/>
        <v>-352.03091168540004</v>
      </c>
      <c r="E20" s="407">
        <f ca="1"/>
        <v>-352.03091168540004</v>
      </c>
      <c r="F20" s="407">
        <f ca="1"/>
        <v>-352.03091168540004</v>
      </c>
      <c r="G20" s="407">
        <f ca="1"/>
        <v>-352.03091168540004</v>
      </c>
      <c r="H20" s="407">
        <f ca="1"/>
        <v>-352.03091168540004</v>
      </c>
      <c r="I20" s="407">
        <f ca="1"/>
        <v>-352.03091168540004</v>
      </c>
      <c r="J20" s="407">
        <f ca="1"/>
        <v>-352.03091168540004</v>
      </c>
      <c r="K20" s="407">
        <f ca="1"/>
        <v>-352.03091168540004</v>
      </c>
      <c r="L20" s="407">
        <f ca="1"/>
        <v>-352.03091168540004</v>
      </c>
      <c r="M20" s="407">
        <f ca="1"/>
        <v>-352.03091168540004</v>
      </c>
      <c r="N20" s="597">
        <f ca="1">SUM(B20:M20)</f>
        <v>-4224.3709402248005</v>
      </c>
    </row>
    <row r="21" spans="1:14" s="405" customFormat="1" ht="16.149999999999999" customHeight="1">
      <c r="A21" s="413"/>
      <c r="B21" s="407"/>
      <c r="C21" s="407"/>
      <c r="D21" s="407"/>
      <c r="E21" s="407"/>
      <c r="F21" s="407"/>
      <c r="G21" s="407"/>
      <c r="H21" s="407"/>
      <c r="I21" s="407"/>
      <c r="J21" s="407"/>
      <c r="K21" s="407"/>
      <c r="L21" s="407"/>
      <c r="M21" s="407"/>
      <c r="N21" s="1564"/>
    </row>
    <row r="22" spans="1:14" s="403" customFormat="1" ht="16.149999999999999" customHeight="1">
      <c r="A22" s="2416" t="str">
        <f t="array" ref="A22:A23">'Yearly Income St'!A22:A23</f>
        <v>Amoortizations &amp; Depreciations</v>
      </c>
      <c r="B22" s="596">
        <f t="array" ref="B22:M22">Amortizations!$H$41/12</f>
        <v>0</v>
      </c>
      <c r="C22" s="596">
        <v>0</v>
      </c>
      <c r="D22" s="596">
        <v>0</v>
      </c>
      <c r="E22" s="596">
        <v>0</v>
      </c>
      <c r="F22" s="596">
        <v>0</v>
      </c>
      <c r="G22" s="596">
        <v>0</v>
      </c>
      <c r="H22" s="596">
        <v>0</v>
      </c>
      <c r="I22" s="596">
        <v>0</v>
      </c>
      <c r="J22" s="596">
        <v>0</v>
      </c>
      <c r="K22" s="596">
        <v>0</v>
      </c>
      <c r="L22" s="596">
        <v>0</v>
      </c>
      <c r="M22" s="596">
        <v>0</v>
      </c>
      <c r="N22" s="597">
        <f>SUM(B22:M22)</f>
        <v>0</v>
      </c>
    </row>
    <row r="23" spans="1:14" s="405" customFormat="1" ht="16.149999999999999" customHeight="1">
      <c r="A23" s="413" t="str">
        <v>E.B.I.T.</v>
      </c>
      <c r="B23" s="597">
        <f t="array" ref="B23:M23" ca="1">B20:M20-B22:M22</f>
        <v>-352.03091168540004</v>
      </c>
      <c r="C23" s="597">
        <f ca="1"/>
        <v>-352.03091168540004</v>
      </c>
      <c r="D23" s="597">
        <f ca="1"/>
        <v>-352.03091168540004</v>
      </c>
      <c r="E23" s="597">
        <f ca="1"/>
        <v>-352.03091168540004</v>
      </c>
      <c r="F23" s="597">
        <f ca="1"/>
        <v>-352.03091168540004</v>
      </c>
      <c r="G23" s="597">
        <f ca="1"/>
        <v>-352.03091168540004</v>
      </c>
      <c r="H23" s="597">
        <f ca="1"/>
        <v>-352.03091168540004</v>
      </c>
      <c r="I23" s="597">
        <f ca="1"/>
        <v>-352.03091168540004</v>
      </c>
      <c r="J23" s="597">
        <f ca="1"/>
        <v>-352.03091168540004</v>
      </c>
      <c r="K23" s="597">
        <f ca="1"/>
        <v>-352.03091168540004</v>
      </c>
      <c r="L23" s="597">
        <f ca="1"/>
        <v>-352.03091168540004</v>
      </c>
      <c r="M23" s="597">
        <f ca="1"/>
        <v>-352.03091168540004</v>
      </c>
      <c r="N23" s="597">
        <f ca="1">SUM(B23:M23)</f>
        <v>-4224.3709402248005</v>
      </c>
    </row>
    <row r="24" spans="1:14" s="405" customFormat="1" ht="16.149999999999999" customHeight="1">
      <c r="A24" s="413"/>
      <c r="B24" s="407"/>
      <c r="C24" s="407"/>
      <c r="D24" s="407"/>
      <c r="E24" s="407"/>
      <c r="F24" s="407"/>
      <c r="G24" s="407"/>
      <c r="H24" s="407"/>
      <c r="I24" s="407"/>
      <c r="J24" s="407"/>
      <c r="K24" s="407"/>
      <c r="L24" s="407"/>
      <c r="M24" s="407"/>
      <c r="N24" s="1564"/>
    </row>
    <row r="25" spans="1:14" s="403" customFormat="1" ht="16.149999999999999" customHeight="1">
      <c r="A25" s="920" t="str">
        <f t="array" ref="A25:A27">'Yearly Income St'!A25:A27</f>
        <v>Financial Income</v>
      </c>
      <c r="B25" s="598">
        <f t="array" ref="B25:M25" ca="1">'Financial Expenses'!C107:N107</f>
        <v>0</v>
      </c>
      <c r="C25" s="598">
        <f ca="1"/>
        <v>0</v>
      </c>
      <c r="D25" s="598">
        <f ca="1"/>
        <v>0</v>
      </c>
      <c r="E25" s="598">
        <f ca="1"/>
        <v>0</v>
      </c>
      <c r="F25" s="598">
        <f ca="1"/>
        <v>0</v>
      </c>
      <c r="G25" s="598">
        <f ca="1"/>
        <v>0</v>
      </c>
      <c r="H25" s="598">
        <f ca="1"/>
        <v>0</v>
      </c>
      <c r="I25" s="598">
        <f ca="1"/>
        <v>0</v>
      </c>
      <c r="J25" s="598">
        <f ca="1"/>
        <v>0</v>
      </c>
      <c r="K25" s="598">
        <f ca="1"/>
        <v>0</v>
      </c>
      <c r="L25" s="598">
        <f ca="1"/>
        <v>0</v>
      </c>
      <c r="M25" s="598">
        <f ca="1"/>
        <v>0</v>
      </c>
      <c r="N25" s="599">
        <f ca="1">SUM(B25:M25)</f>
        <v>0</v>
      </c>
    </row>
    <row r="26" spans="1:14" s="403" customFormat="1" ht="16.149999999999999" customHeight="1">
      <c r="A26" s="920" t="str">
        <v>Financial Expenses</v>
      </c>
      <c r="B26" s="598">
        <f t="array" ref="B26:M26" ca="1">'Financial Expenses'!C79:N79</f>
        <v>15.770404343958001</v>
      </c>
      <c r="C26" s="598">
        <f ca="1"/>
        <v>15.770404343958001</v>
      </c>
      <c r="D26" s="598">
        <f ca="1"/>
        <v>15.770404343958001</v>
      </c>
      <c r="E26" s="598">
        <f ca="1"/>
        <v>15.770404343958001</v>
      </c>
      <c r="F26" s="598">
        <f ca="1"/>
        <v>15.770404343958001</v>
      </c>
      <c r="G26" s="598">
        <f ca="1"/>
        <v>15.770404343958001</v>
      </c>
      <c r="H26" s="598">
        <f ca="1"/>
        <v>15.770404343958001</v>
      </c>
      <c r="I26" s="598">
        <f ca="1"/>
        <v>15.770404343958001</v>
      </c>
      <c r="J26" s="598">
        <f ca="1"/>
        <v>15.770404343958001</v>
      </c>
      <c r="K26" s="598">
        <f ca="1"/>
        <v>15.770404343958001</v>
      </c>
      <c r="L26" s="598">
        <f ca="1"/>
        <v>15.770404343958001</v>
      </c>
      <c r="M26" s="598">
        <f ca="1"/>
        <v>15.770404343958001</v>
      </c>
      <c r="N26" s="599">
        <f ca="1">SUM(B26:M26)</f>
        <v>189.24485212749605</v>
      </c>
    </row>
    <row r="27" spans="1:14" s="405" customFormat="1" ht="16.149999999999999" customHeight="1">
      <c r="A27" s="413" t="str">
        <v>Financial Result</v>
      </c>
      <c r="B27" s="599">
        <f t="array" ref="B27:M27" ca="1">B25:M25-B26:M26</f>
        <v>-15.770404343958001</v>
      </c>
      <c r="C27" s="599">
        <f ca="1"/>
        <v>-15.770404343958001</v>
      </c>
      <c r="D27" s="599">
        <f ca="1"/>
        <v>-15.770404343958001</v>
      </c>
      <c r="E27" s="599">
        <f ca="1"/>
        <v>-15.770404343958001</v>
      </c>
      <c r="F27" s="599">
        <f ca="1"/>
        <v>-15.770404343958001</v>
      </c>
      <c r="G27" s="599">
        <f ca="1"/>
        <v>-15.770404343958001</v>
      </c>
      <c r="H27" s="599">
        <f ca="1"/>
        <v>-15.770404343958001</v>
      </c>
      <c r="I27" s="599">
        <f ca="1"/>
        <v>-15.770404343958001</v>
      </c>
      <c r="J27" s="599">
        <f ca="1"/>
        <v>-15.770404343958001</v>
      </c>
      <c r="K27" s="599">
        <f ca="1"/>
        <v>-15.770404343958001</v>
      </c>
      <c r="L27" s="599">
        <f ca="1"/>
        <v>-15.770404343958001</v>
      </c>
      <c r="M27" s="599">
        <f ca="1"/>
        <v>-15.770404343958001</v>
      </c>
      <c r="N27" s="599">
        <f ca="1">SUM(B27:M27)</f>
        <v>-189.24485212749605</v>
      </c>
    </row>
    <row r="28" spans="1:14" s="405" customFormat="1" ht="16.149999999999999" customHeight="1">
      <c r="A28" s="413"/>
      <c r="B28" s="407"/>
      <c r="C28" s="407"/>
      <c r="D28" s="407"/>
      <c r="E28" s="407"/>
      <c r="F28" s="407"/>
      <c r="G28" s="407"/>
      <c r="H28" s="407"/>
      <c r="I28" s="407"/>
      <c r="J28" s="407"/>
      <c r="K28" s="407"/>
      <c r="L28" s="407"/>
      <c r="M28" s="407"/>
      <c r="N28" s="1564"/>
    </row>
    <row r="29" spans="1:14" s="405" customFormat="1" ht="16.149999999999999" customHeight="1">
      <c r="A29" s="413" t="str">
        <f>'Yearly Income St'!A29</f>
        <v>EBT  Earnings Before Taxation</v>
      </c>
      <c r="B29" s="599">
        <f t="array" ref="B29:M29" ca="1">B23:M23+B27:M27</f>
        <v>-367.80131602935802</v>
      </c>
      <c r="C29" s="599">
        <f ca="1"/>
        <v>-367.80131602935802</v>
      </c>
      <c r="D29" s="599">
        <f ca="1"/>
        <v>-367.80131602935802</v>
      </c>
      <c r="E29" s="599">
        <f ca="1"/>
        <v>-367.80131602935802</v>
      </c>
      <c r="F29" s="599">
        <f ca="1"/>
        <v>-367.80131602935802</v>
      </c>
      <c r="G29" s="599">
        <f ca="1"/>
        <v>-367.80131602935802</v>
      </c>
      <c r="H29" s="599">
        <f ca="1"/>
        <v>-367.80131602935802</v>
      </c>
      <c r="I29" s="599">
        <f ca="1"/>
        <v>-367.80131602935802</v>
      </c>
      <c r="J29" s="599">
        <f ca="1"/>
        <v>-367.80131602935802</v>
      </c>
      <c r="K29" s="599">
        <f ca="1"/>
        <v>-367.80131602935802</v>
      </c>
      <c r="L29" s="599">
        <f ca="1"/>
        <v>-367.80131602935802</v>
      </c>
      <c r="M29" s="599">
        <f ca="1"/>
        <v>-367.80131602935802</v>
      </c>
      <c r="N29" s="599">
        <f ca="1">SUM(B29:M29)</f>
        <v>-4413.615792352296</v>
      </c>
    </row>
    <row r="30" spans="1:14" s="405" customFormat="1" ht="16.149999999999999" customHeight="1" thickBot="1">
      <c r="A30" s="413"/>
      <c r="B30" s="407"/>
      <c r="C30" s="407"/>
      <c r="D30" s="407"/>
      <c r="E30" s="407"/>
      <c r="F30" s="407"/>
      <c r="G30" s="407"/>
      <c r="H30" s="407"/>
      <c r="I30" s="407"/>
      <c r="J30" s="407"/>
      <c r="K30" s="407"/>
      <c r="L30" s="407"/>
      <c r="M30" s="407"/>
      <c r="N30" s="1564"/>
    </row>
    <row r="31" spans="1:14" s="408" customFormat="1" ht="21.75" customHeight="1" thickBot="1">
      <c r="A31" s="414" t="s">
        <v>635</v>
      </c>
      <c r="B31" s="601">
        <f ca="1">B29</f>
        <v>-367.80131602935802</v>
      </c>
      <c r="C31" s="601">
        <f t="shared" ref="C31:M31" ca="1" si="1">B31+C29</f>
        <v>-735.60263205871604</v>
      </c>
      <c r="D31" s="601">
        <f t="shared" ca="1" si="1"/>
        <v>-1103.403948088074</v>
      </c>
      <c r="E31" s="601">
        <f t="shared" ca="1" si="1"/>
        <v>-1471.2052641174321</v>
      </c>
      <c r="F31" s="601">
        <f t="shared" ca="1" si="1"/>
        <v>-1839.0065801467902</v>
      </c>
      <c r="G31" s="601">
        <f t="shared" ca="1" si="1"/>
        <v>-2206.807896176148</v>
      </c>
      <c r="H31" s="601">
        <f t="shared" ca="1" si="1"/>
        <v>-2574.6092122055061</v>
      </c>
      <c r="I31" s="601">
        <f t="shared" ca="1" si="1"/>
        <v>-2942.4105282348642</v>
      </c>
      <c r="J31" s="601">
        <f t="shared" ca="1" si="1"/>
        <v>-3310.2118442642222</v>
      </c>
      <c r="K31" s="601">
        <f t="shared" ca="1" si="1"/>
        <v>-3678.0131602935803</v>
      </c>
      <c r="L31" s="601">
        <f t="shared" ca="1" si="1"/>
        <v>-4045.8144763229384</v>
      </c>
      <c r="M31" s="601">
        <f t="shared" ca="1" si="1"/>
        <v>-4413.615792352296</v>
      </c>
      <c r="N31" s="415"/>
    </row>
    <row r="32" spans="1:14" s="403" customFormat="1" ht="10.5">
      <c r="N32" s="405"/>
    </row>
    <row r="33" spans="12:14" s="403" customFormat="1">
      <c r="L33" s="61"/>
      <c r="M33" s="61"/>
      <c r="N33" s="230"/>
    </row>
  </sheetData>
  <sheetProtection sheet="1" objects="1" scenarios="1"/>
  <phoneticPr fontId="7" type="noConversion"/>
  <printOptions horizontalCentered="1" verticalCentered="1"/>
  <pageMargins left="0.39370078740157483" right="0.39370078740157483" top="0.41" bottom="0.59055118110236227" header="0.31496062992125984" footer="0.31496062992125984"/>
  <pageSetup paperSize="9" scale="72" orientation="landscape" horizontalDpi="300" verticalDpi="300" r:id="rId1"/>
  <headerFooter alignWithMargins="0">
    <oddFooter>&amp;C&amp;"Tahoma,Normal"&amp;10&amp;A</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0">
    <tabColor theme="3" tint="0.39997558519241921"/>
    <pageSetUpPr fitToPage="1"/>
  </sheetPr>
  <dimension ref="A1:O55"/>
  <sheetViews>
    <sheetView showGridLines="0" zoomScaleNormal="100" workbookViewId="0">
      <pane xSplit="1" ySplit="4" topLeftCell="B5" activePane="bottomRight" state="frozenSplit"/>
      <selection activeCell="E23" sqref="E23"/>
      <selection pane="topRight" activeCell="E23" sqref="E23"/>
      <selection pane="bottomLeft" activeCell="E23" sqref="E23"/>
      <selection pane="bottomRight" activeCell="C8" sqref="C8"/>
    </sheetView>
  </sheetViews>
  <sheetFormatPr baseColWidth="10" defaultColWidth="11" defaultRowHeight="15"/>
  <cols>
    <col min="1" max="1" width="33.5" style="674" customWidth="1"/>
    <col min="2" max="3" width="15.625" style="674" customWidth="1"/>
    <col min="4" max="4" width="13.5" style="35" customWidth="1"/>
    <col min="5" max="5" width="14.25" style="678" customWidth="1"/>
    <col min="6" max="6" width="15.25" style="35" customWidth="1"/>
    <col min="7" max="7" width="11.625" style="35" customWidth="1"/>
    <col min="8" max="8" width="12.875" style="35" customWidth="1"/>
    <col min="9" max="9" width="11.625" style="35" customWidth="1"/>
    <col min="10" max="10" width="12.875" style="35" customWidth="1"/>
    <col min="11" max="11" width="11.625" style="35" customWidth="1"/>
    <col min="12" max="12" width="12.875" style="35" customWidth="1"/>
    <col min="13" max="13" width="11.625" style="35" customWidth="1"/>
    <col min="14" max="14" width="12.875" style="35" customWidth="1"/>
    <col min="15" max="15" width="11.625" style="35" customWidth="1"/>
    <col min="16" max="16384" width="11" style="35"/>
  </cols>
  <sheetData>
    <row r="1" spans="1:15" ht="22.5">
      <c r="A1" s="401" t="s">
        <v>277</v>
      </c>
      <c r="B1" s="401"/>
      <c r="C1" s="401"/>
      <c r="D1" s="671"/>
      <c r="E1" s="671"/>
      <c r="F1" s="2634" t="s">
        <v>1065</v>
      </c>
      <c r="G1" s="671"/>
      <c r="H1" s="671"/>
      <c r="I1" s="211"/>
      <c r="J1" s="211"/>
      <c r="K1" s="211"/>
      <c r="L1" s="211"/>
      <c r="M1" s="211"/>
      <c r="N1" s="211"/>
      <c r="O1" s="211"/>
    </row>
    <row r="2" spans="1:15" ht="23.25" thickBot="1">
      <c r="A2" s="401" t="str">
        <f>'Base Data'!B9</f>
        <v>WWW, Ltd.</v>
      </c>
      <c r="B2" s="401"/>
      <c r="C2" s="401"/>
      <c r="D2" s="672"/>
      <c r="E2" s="672"/>
      <c r="F2" s="673"/>
      <c r="G2" s="672"/>
      <c r="H2" s="673"/>
      <c r="J2" s="673"/>
      <c r="K2" s="253"/>
      <c r="L2" s="673"/>
      <c r="M2" s="253"/>
      <c r="N2" s="673"/>
      <c r="O2" s="253"/>
    </row>
    <row r="3" spans="1:15" ht="15.75" thickBot="1">
      <c r="B3" s="1610" t="s">
        <v>1105</v>
      </c>
      <c r="C3" s="1610"/>
      <c r="D3" s="1610" t="str">
        <f>MID('Base Data'!F21,2,40)&amp;" (*)"</f>
        <v xml:space="preserve">  January  2026 (*)</v>
      </c>
      <c r="E3" s="1611"/>
      <c r="F3" s="1610" t="str">
        <f>CONCATENATE(Parameters!$B$72,"  ",TEXT(Parameters!D64,"[$-409]"&amp;aa&amp;aa))</f>
        <v>December  2026</v>
      </c>
      <c r="G3" s="1611"/>
      <c r="H3" s="1610" t="str">
        <f>CONCATENATE(Parameters!$B$72,"  ",TEXT(Parameters!E64,"[$-409]"&amp;aa&amp;aa))</f>
        <v>December  2027</v>
      </c>
      <c r="I3" s="1611"/>
      <c r="J3" s="1610" t="str">
        <f>CONCATENATE(Parameters!$B$72,"  ",'Base Data'!D19)</f>
        <v>December  2028</v>
      </c>
      <c r="K3" s="1611"/>
      <c r="L3" s="1610" t="str">
        <f>CONCATENATE(Parameters!$B$72,"  ",'Base Data'!D19+1)</f>
        <v>December  2029</v>
      </c>
      <c r="M3" s="1611"/>
      <c r="N3" s="1610" t="str">
        <f>CONCATENATE(Parameters!$B$72,"  ",'Base Data'!D19+2)</f>
        <v>December  2030</v>
      </c>
      <c r="O3" s="1611"/>
    </row>
    <row r="4" spans="1:15" ht="15.75" thickBot="1">
      <c r="A4" s="71"/>
      <c r="B4" s="687" t="str">
        <f>$D$4</f>
        <v>€</v>
      </c>
      <c r="C4" s="688" t="s">
        <v>3</v>
      </c>
      <c r="D4" s="687" t="str">
        <f>Parameters!H11</f>
        <v>€</v>
      </c>
      <c r="E4" s="688" t="s">
        <v>3</v>
      </c>
      <c r="F4" s="687" t="str">
        <f>$D$4</f>
        <v>€</v>
      </c>
      <c r="G4" s="688" t="s">
        <v>3</v>
      </c>
      <c r="H4" s="687" t="str">
        <f>$D$4</f>
        <v>€</v>
      </c>
      <c r="I4" s="688" t="s">
        <v>3</v>
      </c>
      <c r="J4" s="687" t="str">
        <f>$D$4</f>
        <v>€</v>
      </c>
      <c r="K4" s="689" t="s">
        <v>3</v>
      </c>
      <c r="L4" s="687" t="str">
        <f>$D$4</f>
        <v>€</v>
      </c>
      <c r="M4" s="689" t="s">
        <v>3</v>
      </c>
      <c r="N4" s="687" t="str">
        <f>$D$4</f>
        <v>€</v>
      </c>
      <c r="O4" s="689" t="s">
        <v>3</v>
      </c>
    </row>
    <row r="5" spans="1:15" s="48" customFormat="1" ht="16.5" customHeight="1">
      <c r="A5" s="1632" t="s">
        <v>249</v>
      </c>
      <c r="B5" s="1626">
        <f>SUM(B6:B12)</f>
        <v>0</v>
      </c>
      <c r="C5" s="1625">
        <f t="shared" ref="C5:C11" ca="1" si="0">IFERROR(B5/B$24,0)</f>
        <v>0</v>
      </c>
      <c r="D5" s="1626">
        <f>SUM(D6:D12)</f>
        <v>0</v>
      </c>
      <c r="E5" s="1625">
        <f ca="1">D5/D$24</f>
        <v>0</v>
      </c>
      <c r="F5" s="1628">
        <f>SUM(F6:F12)</f>
        <v>0</v>
      </c>
      <c r="G5" s="1625">
        <f ca="1">F5/F$24</f>
        <v>0</v>
      </c>
      <c r="H5" s="1628">
        <f>SUM(H6:H12)</f>
        <v>0</v>
      </c>
      <c r="I5" s="1625">
        <f ca="1">H5/H$24</f>
        <v>0</v>
      </c>
      <c r="J5" s="1628">
        <f>SUM(J6:J12)</f>
        <v>0</v>
      </c>
      <c r="K5" s="1625">
        <f ca="1">J5/J$24</f>
        <v>0</v>
      </c>
      <c r="L5" s="1628">
        <f>SUM(L6:L12)</f>
        <v>0</v>
      </c>
      <c r="M5" s="1625">
        <f ca="1">L5/L$24</f>
        <v>0</v>
      </c>
      <c r="N5" s="1628">
        <f>SUM(N6:N12)</f>
        <v>0</v>
      </c>
      <c r="O5" s="1625">
        <f ca="1">N5/N$24</f>
        <v>0</v>
      </c>
    </row>
    <row r="6" spans="1:15" ht="16.5" customHeight="1">
      <c r="A6" s="1410" t="s">
        <v>580</v>
      </c>
      <c r="B6" s="690">
        <f>'Prev. Initial Balance'!D12+'Prev. Initial Balance'!D14</f>
        <v>0</v>
      </c>
      <c r="C6" s="691">
        <f t="shared" ca="1" si="0"/>
        <v>0</v>
      </c>
      <c r="D6" s="690">
        <f>Amortizations!B6</f>
        <v>0</v>
      </c>
      <c r="E6" s="691">
        <f ca="1">D6/D$24</f>
        <v>0</v>
      </c>
      <c r="F6" s="690">
        <f>D6</f>
        <v>0</v>
      </c>
      <c r="G6" s="691">
        <f ca="1">F6/F$24</f>
        <v>0</v>
      </c>
      <c r="H6" s="690">
        <f>F6+Amortizations!E6</f>
        <v>0</v>
      </c>
      <c r="I6" s="691">
        <f ca="1">H6/H$24</f>
        <v>0</v>
      </c>
      <c r="J6" s="690">
        <f>H6+Amortizations!F6</f>
        <v>0</v>
      </c>
      <c r="K6" s="691">
        <f ca="1">J6/J$24</f>
        <v>0</v>
      </c>
      <c r="L6" s="690">
        <f>J6+Amortizations!G6</f>
        <v>0</v>
      </c>
      <c r="M6" s="691">
        <f ca="1">L6/L$24</f>
        <v>0</v>
      </c>
      <c r="N6" s="690">
        <f>L6+Amortizations!H6</f>
        <v>0</v>
      </c>
      <c r="O6" s="691">
        <f ca="1">N6/N$24</f>
        <v>0</v>
      </c>
    </row>
    <row r="7" spans="1:15" ht="16.5" customHeight="1">
      <c r="A7" s="1410" t="s">
        <v>258</v>
      </c>
      <c r="B7" s="690">
        <f>'Prev. Initial Balance'!D10</f>
        <v>0</v>
      </c>
      <c r="C7" s="691">
        <f t="shared" ca="1" si="0"/>
        <v>0</v>
      </c>
      <c r="D7" s="690">
        <f>'NCA Initial Invest.'!B63</f>
        <v>0</v>
      </c>
      <c r="E7" s="691">
        <f ca="1">D7/D$24</f>
        <v>0</v>
      </c>
      <c r="F7" s="690">
        <f>D7</f>
        <v>0</v>
      </c>
      <c r="G7" s="691">
        <f ca="1">F7/F$24</f>
        <v>0</v>
      </c>
      <c r="H7" s="690">
        <f>F7+Amortizations!E17</f>
        <v>0</v>
      </c>
      <c r="I7" s="691">
        <f ca="1">H7/H$24</f>
        <v>0</v>
      </c>
      <c r="J7" s="690">
        <f>H7+Amortizations!F17</f>
        <v>0</v>
      </c>
      <c r="K7" s="691">
        <f ca="1">J7/J$24</f>
        <v>0</v>
      </c>
      <c r="L7" s="690">
        <f>J7+Amortizations!G17</f>
        <v>0</v>
      </c>
      <c r="M7" s="691">
        <f ca="1">L7/L$24</f>
        <v>0</v>
      </c>
      <c r="N7" s="690">
        <f>L7+Amortizations!H17</f>
        <v>0</v>
      </c>
      <c r="O7" s="691">
        <f ca="1">N7/N$24</f>
        <v>0</v>
      </c>
    </row>
    <row r="8" spans="1:15" ht="16.5" customHeight="1">
      <c r="A8" s="1410" t="s">
        <v>257</v>
      </c>
      <c r="B8" s="690">
        <v>0</v>
      </c>
      <c r="C8" s="691">
        <f t="shared" ca="1" si="0"/>
        <v>0</v>
      </c>
      <c r="D8" s="690">
        <f>-Amortizations!C6-'NCA Initial Invest.'!E63</f>
        <v>0</v>
      </c>
      <c r="E8" s="691">
        <f ca="1">D8/D$24</f>
        <v>0</v>
      </c>
      <c r="F8" s="690">
        <f>D8-Amortizations!D28-Amortizations!D39</f>
        <v>0</v>
      </c>
      <c r="G8" s="691">
        <f ca="1">F8/F$24</f>
        <v>0</v>
      </c>
      <c r="H8" s="690">
        <f>F8-Amortizations!E28-Amortizations!E39</f>
        <v>0</v>
      </c>
      <c r="I8" s="691">
        <f ca="1">H8/H$24</f>
        <v>0</v>
      </c>
      <c r="J8" s="690">
        <f>H8-Amortizations!F28-Amortizations!F39</f>
        <v>0</v>
      </c>
      <c r="K8" s="691">
        <f ca="1">J8/J$24</f>
        <v>0</v>
      </c>
      <c r="L8" s="690">
        <f>J8-Amortizations!G28-Amortizations!G39</f>
        <v>0</v>
      </c>
      <c r="M8" s="691">
        <f ca="1">L8/L$24</f>
        <v>0</v>
      </c>
      <c r="N8" s="690">
        <f>L8-Amortizations!H28-Amortizations!H39</f>
        <v>0</v>
      </c>
      <c r="O8" s="691">
        <f ca="1">N8/N$24</f>
        <v>0</v>
      </c>
    </row>
    <row r="9" spans="1:15" s="1565" customFormat="1" ht="16.5" hidden="1" customHeight="1">
      <c r="A9" s="1607" t="s">
        <v>50</v>
      </c>
      <c r="B9" s="690">
        <v>0</v>
      </c>
      <c r="C9" s="691">
        <f t="shared" ca="1" si="0"/>
        <v>0</v>
      </c>
      <c r="D9" s="690">
        <f>'Initial Expenses'!B12*0</f>
        <v>0</v>
      </c>
      <c r="E9" s="691">
        <f ca="1">D9/D$24</f>
        <v>0</v>
      </c>
      <c r="F9" s="1567">
        <f>D9</f>
        <v>0</v>
      </c>
      <c r="G9" s="1568">
        <f ca="1">F9/F$24</f>
        <v>0</v>
      </c>
      <c r="H9" s="1567">
        <f>F9</f>
        <v>0</v>
      </c>
      <c r="I9" s="1568">
        <f ca="1">H9/H$24</f>
        <v>0</v>
      </c>
      <c r="J9" s="1567">
        <f>H9</f>
        <v>0</v>
      </c>
      <c r="K9" s="1568">
        <f ca="1">J9/J$24</f>
        <v>0</v>
      </c>
      <c r="L9" s="1567">
        <f>J9</f>
        <v>0</v>
      </c>
      <c r="M9" s="1568">
        <f ca="1">L9/L$24</f>
        <v>0</v>
      </c>
      <c r="N9" s="1567">
        <f>L9</f>
        <v>0</v>
      </c>
      <c r="O9" s="1568">
        <f ca="1">N9/N$24</f>
        <v>0</v>
      </c>
    </row>
    <row r="10" spans="1:15" s="1551" customFormat="1" ht="16.5" hidden="1" customHeight="1">
      <c r="A10" s="1608" t="s">
        <v>51</v>
      </c>
      <c r="B10" s="690">
        <v>0</v>
      </c>
      <c r="C10" s="691">
        <f t="shared" ca="1" si="0"/>
        <v>0</v>
      </c>
      <c r="D10" s="690">
        <f>+'Initial Expenses'!B20*0</f>
        <v>0</v>
      </c>
      <c r="E10" s="691"/>
      <c r="F10" s="1552">
        <f>D10</f>
        <v>0</v>
      </c>
      <c r="G10" s="1553"/>
      <c r="H10" s="1552">
        <f>F10</f>
        <v>0</v>
      </c>
      <c r="I10" s="1553"/>
      <c r="J10" s="1552">
        <f>H10</f>
        <v>0</v>
      </c>
      <c r="K10" s="1553"/>
      <c r="L10" s="1552">
        <f>J10</f>
        <v>0</v>
      </c>
      <c r="M10" s="1553"/>
      <c r="N10" s="1552">
        <f>L10</f>
        <v>0</v>
      </c>
      <c r="O10" s="1553"/>
    </row>
    <row r="11" spans="1:15" ht="16.5" customHeight="1">
      <c r="A11" s="1410" t="s">
        <v>247</v>
      </c>
      <c r="B11" s="690">
        <f>'Prev. Initial Balance'!D18</f>
        <v>0</v>
      </c>
      <c r="C11" s="691">
        <f t="shared" ca="1" si="0"/>
        <v>0</v>
      </c>
      <c r="D11" s="690">
        <f>'Initial Expenses'!B26</f>
        <v>0</v>
      </c>
      <c r="E11" s="691">
        <f ca="1">D11/D$24</f>
        <v>0</v>
      </c>
      <c r="F11" s="690">
        <f>D11
-'Fixed Expenses Data'!$B$21*IF(mes0+'Fixed Expenses Data'!C33&lt;=12,'Fixed Expenses Data'!C33,12-mes0+1)</f>
        <v>0</v>
      </c>
      <c r="G11" s="691">
        <f ca="1">F11/F$24</f>
        <v>0</v>
      </c>
      <c r="H11" s="690">
        <f>F11
-'Fixed Expenses Data'!B21*IF(mes0+'Fixed Expenses Data'!C33&lt;=12,0,mes0+'Fixed Expenses Data'!C33-12)</f>
        <v>0</v>
      </c>
      <c r="I11" s="691">
        <f ca="1">H11/H$24</f>
        <v>0</v>
      </c>
      <c r="J11" s="690">
        <f>H11</f>
        <v>0</v>
      </c>
      <c r="K11" s="691">
        <f ca="1">J11/J$24</f>
        <v>0</v>
      </c>
      <c r="L11" s="690">
        <f>J11</f>
        <v>0</v>
      </c>
      <c r="M11" s="691">
        <f ca="1">L11/L$24</f>
        <v>0</v>
      </c>
      <c r="N11" s="690">
        <f>L11</f>
        <v>0</v>
      </c>
      <c r="O11" s="691">
        <f ca="1">N11/N$24</f>
        <v>0</v>
      </c>
    </row>
    <row r="12" spans="1:15" ht="16.5" customHeight="1">
      <c r="A12" s="675"/>
      <c r="B12" s="681"/>
      <c r="C12" s="682"/>
      <c r="D12" s="681"/>
      <c r="E12" s="682"/>
      <c r="F12" s="690"/>
      <c r="G12" s="691"/>
      <c r="H12" s="690"/>
      <c r="I12" s="691"/>
      <c r="J12" s="690"/>
      <c r="K12" s="691"/>
      <c r="L12" s="690"/>
      <c r="M12" s="691"/>
      <c r="N12" s="690"/>
      <c r="O12" s="691"/>
    </row>
    <row r="13" spans="1:15" s="48" customFormat="1" ht="16.5" customHeight="1">
      <c r="A13" s="1630" t="s">
        <v>250</v>
      </c>
      <c r="B13" s="1622">
        <f ca="1">SUM(B14:B23)</f>
        <v>0</v>
      </c>
      <c r="C13" s="1623">
        <f t="shared" ref="C13:C22" ca="1" si="1">IFERROR(B13/B$24,0)</f>
        <v>0</v>
      </c>
      <c r="D13" s="1622">
        <f ca="1">SUM(D14:D23)</f>
        <v>2335</v>
      </c>
      <c r="E13" s="1623">
        <f t="shared" ref="E13:E22" ca="1" si="2">D13/D$24</f>
        <v>1</v>
      </c>
      <c r="F13" s="1624">
        <f ca="1">SUM(F14:F23)</f>
        <v>-6756.8779999999988</v>
      </c>
      <c r="G13" s="1625">
        <f t="shared" ref="G13:G22" ca="1" si="3">F13/F$24</f>
        <v>1</v>
      </c>
      <c r="H13" s="1624">
        <f ca="1">SUM(H14:H23)</f>
        <v>-12108.752120000003</v>
      </c>
      <c r="I13" s="1625">
        <f t="shared" ref="I13:I22" ca="1" si="4">H13/H$24</f>
        <v>1</v>
      </c>
      <c r="J13" s="1624">
        <f ca="1">SUM(J14:J23)</f>
        <v>-17183.992667300008</v>
      </c>
      <c r="K13" s="1625">
        <f t="shared" ref="K13:K22" ca="1" si="5">J13/J$24</f>
        <v>1</v>
      </c>
      <c r="L13" s="1624">
        <f ca="1">SUM(L14:L23)</f>
        <v>-21941.566436814501</v>
      </c>
      <c r="M13" s="1625">
        <f t="shared" ref="M13:M22" ca="1" si="6">L13/L$24</f>
        <v>1</v>
      </c>
      <c r="N13" s="1624">
        <f ca="1">SUM(N14:N23)</f>
        <v>-26337.283433767447</v>
      </c>
      <c r="O13" s="1625">
        <f t="shared" ref="O13:O22" ca="1" si="7">N13/N$24</f>
        <v>1</v>
      </c>
    </row>
    <row r="14" spans="1:15" ht="16.5" customHeight="1">
      <c r="A14" s="1410" t="s">
        <v>256</v>
      </c>
      <c r="B14" s="690">
        <f>'Current Asset Invest.'!G7</f>
        <v>0</v>
      </c>
      <c r="C14" s="691">
        <f t="shared" ca="1" si="1"/>
        <v>0</v>
      </c>
      <c r="D14" s="690">
        <f>'Current Asset Invest.'!I7</f>
        <v>0</v>
      </c>
      <c r="E14" s="691">
        <f t="shared" ca="1" si="2"/>
        <v>0</v>
      </c>
      <c r="F14" s="690">
        <f>D14</f>
        <v>0</v>
      </c>
      <c r="G14" s="691">
        <f t="shared" ca="1" si="3"/>
        <v>0</v>
      </c>
      <c r="H14" s="690">
        <f>F14+'Current Asset Invest.'!C36</f>
        <v>0</v>
      </c>
      <c r="I14" s="691">
        <f t="shared" ca="1" si="4"/>
        <v>0</v>
      </c>
      <c r="J14" s="690">
        <f>H14+'Current Asset Invest.'!D36</f>
        <v>0</v>
      </c>
      <c r="K14" s="691">
        <f t="shared" ca="1" si="5"/>
        <v>0</v>
      </c>
      <c r="L14" s="690">
        <f>J14+'Current Asset Invest.'!E36</f>
        <v>0</v>
      </c>
      <c r="M14" s="691">
        <f t="shared" ca="1" si="6"/>
        <v>0</v>
      </c>
      <c r="N14" s="690">
        <f>L14+'Current Asset Invest.'!F36</f>
        <v>0</v>
      </c>
      <c r="O14" s="691">
        <f t="shared" ca="1" si="7"/>
        <v>0</v>
      </c>
    </row>
    <row r="15" spans="1:15" ht="16.5" customHeight="1">
      <c r="A15" s="1410" t="s">
        <v>253</v>
      </c>
      <c r="B15" s="690">
        <f ca="1">'Current Asset Invest.'!G11</f>
        <v>0</v>
      </c>
      <c r="C15" s="691">
        <f t="shared" ca="1" si="1"/>
        <v>0</v>
      </c>
      <c r="D15" s="690">
        <f ca="1">'Current Asset Invest.'!I11</f>
        <v>0</v>
      </c>
      <c r="E15" s="691">
        <f t="shared" ca="1" si="2"/>
        <v>0</v>
      </c>
      <c r="F15" s="690">
        <f ca="1">($D15-'Current Asset Invest.'!G15)+SUM('DC Distr 1'!B85:M85)</f>
        <v>0</v>
      </c>
      <c r="G15" s="691">
        <f t="shared" ca="1" si="3"/>
        <v>0</v>
      </c>
      <c r="H15" s="690">
        <f ca="1">(F15-SUM('DC Distr 1'!B85:M85))+SUM('DC Distr 2'!B85:M85)+SUM('Current Asset Invest.'!C39:C41)</f>
        <v>0</v>
      </c>
      <c r="I15" s="691">
        <f t="shared" ca="1" si="4"/>
        <v>0</v>
      </c>
      <c r="J15" s="690">
        <f ca="1">(H15-SUM('DC Distr 2'!B85:M85))+SUM('DC Distr 3'!B85:M85)+SUM('Current Asset Invest.'!D39:D41)</f>
        <v>0</v>
      </c>
      <c r="K15" s="691">
        <f t="shared" ca="1" si="5"/>
        <v>0</v>
      </c>
      <c r="L15" s="690">
        <f ca="1">(J15-SUM('DC Distr 3'!B85:M85))+SUM('DC Distr 4'!B85:M85)+SUM('Current Asset Invest.'!E39:E41)</f>
        <v>0</v>
      </c>
      <c r="M15" s="691">
        <f t="shared" ca="1" si="6"/>
        <v>0</v>
      </c>
      <c r="N15" s="690">
        <f ca="1">(L15-SUM('DC Distr 4'!B85:M85))+SUM('DC Distr 5'!B85:M85)+SUM('Current Asset Invest.'!F39:F41)</f>
        <v>0</v>
      </c>
      <c r="O15" s="691">
        <f t="shared" ca="1" si="7"/>
        <v>0</v>
      </c>
    </row>
    <row r="16" spans="1:15" ht="16.5" customHeight="1">
      <c r="A16" s="1410" t="s">
        <v>1081</v>
      </c>
      <c r="B16" s="690">
        <f>'Current Asset Invest.'!G24</f>
        <v>0</v>
      </c>
      <c r="C16" s="691">
        <f t="shared" ca="1" si="1"/>
        <v>0</v>
      </c>
      <c r="D16" s="690">
        <f>'Current Asset Invest.'!G24</f>
        <v>0</v>
      </c>
      <c r="E16" s="691">
        <f t="shared" ca="1" si="2"/>
        <v>0</v>
      </c>
      <c r="F16" s="690">
        <f ca="1">'Collections &amp; Payments 0'!S30+'Current Asset Invest.'!G24     -'Unusual payments &amp; Collections'!N11*0
-('Cash Flow 0'!O7-'Current Asset Invest.'!I23)</f>
        <v>0</v>
      </c>
      <c r="G16" s="691">
        <f t="shared" ca="1" si="3"/>
        <v>0</v>
      </c>
      <c r="H16" s="690">
        <f ca="1">'Collections &amp; Payments 1'!S30</f>
        <v>0</v>
      </c>
      <c r="I16" s="691">
        <f t="shared" ca="1" si="4"/>
        <v>0</v>
      </c>
      <c r="J16" s="690">
        <f ca="1">'Collections &amp; Payments 2'!S30</f>
        <v>0</v>
      </c>
      <c r="K16" s="691">
        <f t="shared" ca="1" si="5"/>
        <v>0</v>
      </c>
      <c r="L16" s="690">
        <f ca="1">'Collections &amp; Payments 3'!S30</f>
        <v>0</v>
      </c>
      <c r="M16" s="691">
        <f t="shared" ca="1" si="6"/>
        <v>0</v>
      </c>
      <c r="N16" s="690">
        <f ca="1">'Collections &amp; Payments 4'!S30</f>
        <v>0</v>
      </c>
      <c r="O16" s="691">
        <f t="shared" ca="1" si="7"/>
        <v>0</v>
      </c>
    </row>
    <row r="17" spans="1:15" ht="16.5" customHeight="1">
      <c r="A17" s="1410" t="s">
        <v>647</v>
      </c>
      <c r="B17" s="690">
        <v>0</v>
      </c>
      <c r="C17" s="691">
        <f t="shared" ca="1" si="1"/>
        <v>0</v>
      </c>
      <c r="D17" s="690">
        <v>0</v>
      </c>
      <c r="E17" s="691">
        <f t="shared" ca="1" si="2"/>
        <v>0</v>
      </c>
      <c r="F17" s="690">
        <f ca="1">'Collections &amp; Payments 0'!S31</f>
        <v>0</v>
      </c>
      <c r="G17" s="691">
        <f t="shared" ca="1" si="3"/>
        <v>0</v>
      </c>
      <c r="H17" s="690">
        <f ca="1">'Collections &amp; Payments 1'!S31</f>
        <v>0</v>
      </c>
      <c r="I17" s="691">
        <f t="shared" ca="1" si="4"/>
        <v>0</v>
      </c>
      <c r="J17" s="690">
        <f ca="1">'Collections &amp; Payments 2'!S31</f>
        <v>0</v>
      </c>
      <c r="K17" s="691">
        <f t="shared" ca="1" si="5"/>
        <v>0</v>
      </c>
      <c r="L17" s="690">
        <f ca="1">'Collections &amp; Payments 3'!S31</f>
        <v>0</v>
      </c>
      <c r="M17" s="691">
        <f t="shared" ca="1" si="6"/>
        <v>0</v>
      </c>
      <c r="N17" s="690">
        <f ca="1">'Collections &amp; Payments 4'!S31</f>
        <v>0</v>
      </c>
      <c r="O17" s="691">
        <f t="shared" ca="1" si="7"/>
        <v>0</v>
      </c>
    </row>
    <row r="18" spans="1:15" ht="16.5" customHeight="1">
      <c r="A18" s="1410" t="s">
        <v>1062</v>
      </c>
      <c r="B18" s="690">
        <f>'Current Asset Invest.'!G23</f>
        <v>0</v>
      </c>
      <c r="C18" s="691">
        <f t="shared" ca="1" si="1"/>
        <v>0</v>
      </c>
      <c r="D18" s="690">
        <f>+'Current Asset Invest.'!I23</f>
        <v>0</v>
      </c>
      <c r="E18" s="691">
        <f t="shared" ca="1" si="2"/>
        <v>0</v>
      </c>
      <c r="F18" s="690">
        <f>Funding!E19</f>
        <v>0</v>
      </c>
      <c r="G18" s="691">
        <f t="shared" ca="1" si="3"/>
        <v>0</v>
      </c>
      <c r="H18" s="690">
        <f>Funding!F19</f>
        <v>0</v>
      </c>
      <c r="I18" s="691">
        <f t="shared" ca="1" si="4"/>
        <v>0</v>
      </c>
      <c r="J18" s="690">
        <f>Funding!G19</f>
        <v>0</v>
      </c>
      <c r="K18" s="691">
        <f t="shared" ca="1" si="5"/>
        <v>0</v>
      </c>
      <c r="L18" s="690">
        <f>Funding!H19</f>
        <v>0</v>
      </c>
      <c r="M18" s="691">
        <f t="shared" ca="1" si="6"/>
        <v>0</v>
      </c>
      <c r="N18" s="690">
        <v>0</v>
      </c>
      <c r="O18" s="691">
        <f t="shared" ca="1" si="7"/>
        <v>0</v>
      </c>
    </row>
    <row r="19" spans="1:15" ht="16.5" customHeight="1">
      <c r="A19" s="1410" t="str">
        <f>"Public Treasury Creditor ( "&amp;'Base Data'!$I$43&amp;" )"</f>
        <v>Public Treasury Creditor ( P.I.T. )</v>
      </c>
      <c r="B19" s="690">
        <f>'Current Asset Invest.'!G21</f>
        <v>0</v>
      </c>
      <c r="C19" s="691">
        <f t="shared" ca="1" si="1"/>
        <v>0</v>
      </c>
      <c r="D19" s="690">
        <f>IF(irpf&lt;&gt;0,'Current Asset Invest.'!G21,0)</f>
        <v>0</v>
      </c>
      <c r="E19" s="691">
        <f t="shared" ca="1" si="2"/>
        <v>0</v>
      </c>
      <c r="F19" s="690">
        <f ca="1">'Personal Income Tax'!C25*0
+IF('Personal Income Tax'!K25&lt;0,-'Personal Income Tax'!K25*'Personal Income Tax'!K19,0)</f>
        <v>0</v>
      </c>
      <c r="G19" s="691">
        <f t="shared" ca="1" si="3"/>
        <v>0</v>
      </c>
      <c r="H19" s="690">
        <f ca="1">'Personal Income Tax'!D25*0
+IF('Personal Income Tax'!L25&lt;0,-'Personal Income Tax'!L25*'Personal Income Tax'!L19,0)</f>
        <v>0</v>
      </c>
      <c r="I19" s="691">
        <f t="shared" ca="1" si="4"/>
        <v>0</v>
      </c>
      <c r="J19" s="690">
        <f ca="1">'Personal Income Tax'!E25*0
+IF('Personal Income Tax'!M25&lt;0,-'Personal Income Tax'!M25*'Personal Income Tax'!M19,0)</f>
        <v>0</v>
      </c>
      <c r="K19" s="691">
        <f t="shared" ca="1" si="5"/>
        <v>0</v>
      </c>
      <c r="L19" s="690">
        <f ca="1">'Personal Income Tax'!F25*0
+IF('Personal Income Tax'!N25&lt;0,-'Personal Income Tax'!N25*'Personal Income Tax'!N19,0)</f>
        <v>0</v>
      </c>
      <c r="M19" s="691">
        <f t="shared" ca="1" si="6"/>
        <v>0</v>
      </c>
      <c r="N19" s="690">
        <f ca="1">'Personal Income Tax'!G25*0
+IF('Personal Income Tax'!O25&lt;0,-'Personal Income Tax'!O25*'Personal Income Tax'!O19,0)</f>
        <v>0</v>
      </c>
      <c r="O19" s="691">
        <f t="shared" ca="1" si="7"/>
        <v>0</v>
      </c>
    </row>
    <row r="20" spans="1:15" ht="16.5" customHeight="1">
      <c r="A20" s="1410" t="str">
        <f>"Pub. Treasury creditor "&amp;IF(isoc=0,'Base Data'!$I$43,'Base Data'!$I$44)&amp;" Receivable"</f>
        <v>Pub. Treasury creditor C.I.T Receivable</v>
      </c>
      <c r="B20" s="690">
        <f>'Current Asset Invest.'!G22</f>
        <v>0</v>
      </c>
      <c r="C20" s="691">
        <f t="shared" ca="1" si="1"/>
        <v>0</v>
      </c>
      <c r="D20" s="690">
        <f>'Current Asset Invest.'!G22</f>
        <v>0</v>
      </c>
      <c r="E20" s="691">
        <f t="shared" ca="1" si="2"/>
        <v>0</v>
      </c>
      <c r="F20" s="690">
        <f ca="1">SUM('Corporate Income Tax'!B18:B20)</f>
        <v>0</v>
      </c>
      <c r="G20" s="691">
        <f t="shared" ca="1" si="3"/>
        <v>0</v>
      </c>
      <c r="H20" s="690">
        <f ca="1">SUM('Corporate Income Tax'!D18:D20)</f>
        <v>0</v>
      </c>
      <c r="I20" s="691">
        <f t="shared" ca="1" si="4"/>
        <v>0</v>
      </c>
      <c r="J20" s="690">
        <f ca="1">SUM('Corporate Income Tax'!G18:G20)</f>
        <v>0</v>
      </c>
      <c r="K20" s="691">
        <f t="shared" ca="1" si="5"/>
        <v>0</v>
      </c>
      <c r="L20" s="690">
        <f ca="1">SUM('Corporate Income Tax'!J18:J20)</f>
        <v>0</v>
      </c>
      <c r="M20" s="691">
        <f t="shared" ca="1" si="6"/>
        <v>0</v>
      </c>
      <c r="N20" s="690">
        <f ca="1">SUM('Corporate Income Tax'!M18:M20)</f>
        <v>0</v>
      </c>
      <c r="O20" s="691">
        <f t="shared" ca="1" si="7"/>
        <v>0</v>
      </c>
    </row>
    <row r="21" spans="1:15" ht="16.5" customHeight="1">
      <c r="A21" s="1410" t="str">
        <f>"Public Treasury "&amp;'Base Data'!$A$28&amp;" Receivable"</f>
        <v>Public Treasury VAT Receivable</v>
      </c>
      <c r="B21" s="690">
        <f>'Current Asset Invest.'!G20</f>
        <v>0</v>
      </c>
      <c r="C21" s="691">
        <f t="shared" ca="1" si="1"/>
        <v>0</v>
      </c>
      <c r="D21" s="690">
        <f ca="1">'Current Asset Invest.'!H19+'Current Asset Invest.'!G20</f>
        <v>133.35</v>
      </c>
      <c r="E21" s="691">
        <f t="shared" ca="1" si="2"/>
        <v>5.710920770877944E-2</v>
      </c>
      <c r="F21" s="690">
        <f ca="1">IF(AND(IVAcc=0,'VAT 0'!O22&lt;0),-'VAT 0'!O22,0)+'VAT 0'!O26</f>
        <v>0</v>
      </c>
      <c r="G21" s="691">
        <f t="shared" ca="1" si="3"/>
        <v>0</v>
      </c>
      <c r="H21" s="690">
        <f ca="1">IF(AND(IVAcc=0,'VAT 1'!O22&lt;0),-'VAT 1'!O22,0)+'VAT 1'!O26</f>
        <v>0</v>
      </c>
      <c r="I21" s="691">
        <f t="shared" ca="1" si="4"/>
        <v>0</v>
      </c>
      <c r="J21" s="690">
        <f ca="1">IF(AND(IVAcc=0,'VAT 2'!O22&lt;0),-'VAT 2'!O22,0)+'VAT 2'!O26</f>
        <v>0</v>
      </c>
      <c r="K21" s="691">
        <f t="shared" ca="1" si="5"/>
        <v>0</v>
      </c>
      <c r="L21" s="690">
        <f ca="1">IF(AND(IVAcc=0,'VAT 3'!O22&lt;0),-'VAT 3'!O22,0)+'VAT 3'!O26</f>
        <v>0</v>
      </c>
      <c r="M21" s="691">
        <f t="shared" ca="1" si="6"/>
        <v>0</v>
      </c>
      <c r="N21" s="690">
        <f ca="1">IF(AND(IVAcc=0,'VAT 4'!O22&lt;0),-'VAT 4'!O22,0)+'VAT 4'!O26</f>
        <v>0</v>
      </c>
      <c r="O21" s="691">
        <f t="shared" ca="1" si="7"/>
        <v>0</v>
      </c>
    </row>
    <row r="22" spans="1:15" ht="16.5" customHeight="1">
      <c r="A22" s="1410" t="s">
        <v>261</v>
      </c>
      <c r="B22" s="690">
        <f ca="1">'Current Asset Invest.'!G26</f>
        <v>0</v>
      </c>
      <c r="C22" s="691">
        <f t="shared" ca="1" si="1"/>
        <v>0</v>
      </c>
      <c r="D22" s="690">
        <f ca="1">'Current Asset Invest.'!G26+'Current Asset Invest.'!H26</f>
        <v>2201.65</v>
      </c>
      <c r="E22" s="691">
        <f t="shared" ca="1" si="2"/>
        <v>0.94289079229122064</v>
      </c>
      <c r="F22" s="690">
        <f ca="1">'Cash Flow 0'!N35</f>
        <v>-6756.8779999999988</v>
      </c>
      <c r="G22" s="691">
        <f t="shared" ca="1" si="3"/>
        <v>1</v>
      </c>
      <c r="H22" s="690">
        <f ca="1">'Cash Flow 1'!N35</f>
        <v>-12108.752120000003</v>
      </c>
      <c r="I22" s="691">
        <f t="shared" ca="1" si="4"/>
        <v>1</v>
      </c>
      <c r="J22" s="690">
        <f ca="1">'Cash Flow 2'!N35</f>
        <v>-17183.992667300008</v>
      </c>
      <c r="K22" s="691">
        <f t="shared" ca="1" si="5"/>
        <v>1</v>
      </c>
      <c r="L22" s="690">
        <f ca="1">'Cash Flow 3'!N35</f>
        <v>-21941.566436814501</v>
      </c>
      <c r="M22" s="691">
        <f t="shared" ca="1" si="6"/>
        <v>1</v>
      </c>
      <c r="N22" s="690">
        <f ca="1">'Cash Flow 4'!N35</f>
        <v>-26337.283433767447</v>
      </c>
      <c r="O22" s="691">
        <f t="shared" ca="1" si="7"/>
        <v>1</v>
      </c>
    </row>
    <row r="23" spans="1:15" ht="15.75" thickBot="1">
      <c r="A23" s="676"/>
      <c r="B23" s="681"/>
      <c r="C23" s="682"/>
      <c r="D23" s="681"/>
      <c r="E23" s="682"/>
      <c r="F23" s="690"/>
      <c r="G23" s="691"/>
      <c r="H23" s="690"/>
      <c r="I23" s="691"/>
      <c r="J23" s="690"/>
      <c r="K23" s="691"/>
      <c r="L23" s="690"/>
      <c r="M23" s="691"/>
      <c r="N23" s="690"/>
      <c r="O23" s="691"/>
    </row>
    <row r="24" spans="1:15" s="48" customFormat="1" ht="21" customHeight="1" thickBot="1">
      <c r="A24" s="1621" t="s">
        <v>259</v>
      </c>
      <c r="B24" s="1617">
        <f t="shared" ref="B24:O24" ca="1" si="8">B5+B13</f>
        <v>0</v>
      </c>
      <c r="C24" s="1618">
        <f ca="1">C5+C13</f>
        <v>0</v>
      </c>
      <c r="D24" s="1617">
        <f t="shared" ca="1" si="8"/>
        <v>2335</v>
      </c>
      <c r="E24" s="1618">
        <f t="shared" ca="1" si="8"/>
        <v>1</v>
      </c>
      <c r="F24" s="1619">
        <f t="shared" ca="1" si="8"/>
        <v>-6756.8779999999988</v>
      </c>
      <c r="G24" s="1620">
        <f t="shared" ca="1" si="8"/>
        <v>1</v>
      </c>
      <c r="H24" s="1619">
        <f t="shared" ca="1" si="8"/>
        <v>-12108.752120000003</v>
      </c>
      <c r="I24" s="1620">
        <f t="shared" ca="1" si="8"/>
        <v>1</v>
      </c>
      <c r="J24" s="1619">
        <f t="shared" ca="1" si="8"/>
        <v>-17183.992667300008</v>
      </c>
      <c r="K24" s="1620">
        <f t="shared" ca="1" si="8"/>
        <v>1</v>
      </c>
      <c r="L24" s="1619">
        <f t="shared" ca="1" si="8"/>
        <v>-21941.566436814501</v>
      </c>
      <c r="M24" s="1620">
        <f t="shared" ca="1" si="8"/>
        <v>1</v>
      </c>
      <c r="N24" s="1619">
        <f t="shared" ca="1" si="8"/>
        <v>-26337.283433767447</v>
      </c>
      <c r="O24" s="1620">
        <f t="shared" ca="1" si="8"/>
        <v>1</v>
      </c>
    </row>
    <row r="25" spans="1:15" ht="15.75" thickBot="1">
      <c r="A25" s="677"/>
      <c r="B25" s="677"/>
      <c r="C25" s="677"/>
      <c r="D25" s="683"/>
      <c r="E25" s="684"/>
      <c r="F25" s="683"/>
      <c r="G25" s="692"/>
      <c r="H25" s="683"/>
      <c r="I25" s="692"/>
      <c r="J25" s="683"/>
      <c r="K25" s="692"/>
      <c r="L25" s="683"/>
      <c r="M25" s="692"/>
      <c r="N25" s="683"/>
      <c r="O25" s="692"/>
    </row>
    <row r="26" spans="1:15" s="48" customFormat="1" ht="18" customHeight="1">
      <c r="A26" s="1632" t="s">
        <v>579</v>
      </c>
      <c r="B26" s="1626">
        <f>SUM(B27:B31)</f>
        <v>0</v>
      </c>
      <c r="C26" s="1627">
        <f>IFERROR(B26/B$46,0)</f>
        <v>0</v>
      </c>
      <c r="D26" s="1626">
        <f>SUM(D27:D31)</f>
        <v>2335</v>
      </c>
      <c r="E26" s="1627">
        <f ca="1">D26/D$46</f>
        <v>1</v>
      </c>
      <c r="F26" s="1628">
        <f ca="1">SUM(F27:F31)</f>
        <v>-6941.7199999999993</v>
      </c>
      <c r="G26" s="1629">
        <f ca="1">F26/F$46</f>
        <v>1.0273561251216907</v>
      </c>
      <c r="H26" s="1628">
        <f ca="1">SUM(H27:H31)</f>
        <v>-12296.539999999999</v>
      </c>
      <c r="I26" s="1629">
        <f ca="1">H26/H$46</f>
        <v>1.0155084420045093</v>
      </c>
      <c r="J26" s="1628">
        <f ca="1">SUM(J27:J31)</f>
        <v>-17387.101574</v>
      </c>
      <c r="K26" s="1629">
        <f ca="1">J26/J$46</f>
        <v>1.011819657435405</v>
      </c>
      <c r="L26" s="1628">
        <f ca="1">SUM(L27:L31)</f>
        <v>-22161.345507081202</v>
      </c>
      <c r="M26" s="1629">
        <f ca="1">L26/L$46</f>
        <v>1.0100165624409543</v>
      </c>
      <c r="N26" s="1628">
        <f ca="1">SUM(N27:N31)</f>
        <v>-26574.961299433497</v>
      </c>
      <c r="O26" s="1629">
        <f ca="1">N26/N$46</f>
        <v>1.0090243880415295</v>
      </c>
    </row>
    <row r="27" spans="1:15" ht="18" customHeight="1">
      <c r="A27" s="1410" t="str">
        <f>IF(isoc=0,"Social Fund","Capital Stock")</f>
        <v>Capital Stock</v>
      </c>
      <c r="B27" s="690">
        <f>'Initial Funding'!B7+'Initial Funding'!B8</f>
        <v>0</v>
      </c>
      <c r="C27" s="691">
        <f>IFERROR(B27/B$46,0)</f>
        <v>0</v>
      </c>
      <c r="D27" s="690">
        <f>'Initial Funding'!B7+'Initial Funding'!C7
+'Initial Funding'!B8+'Initial Funding'!C8</f>
        <v>3000</v>
      </c>
      <c r="E27" s="691">
        <f ca="1">D27/D$46</f>
        <v>1.2847965738758029</v>
      </c>
      <c r="F27" s="690">
        <f>D27</f>
        <v>3000</v>
      </c>
      <c r="G27" s="691">
        <f ca="1">F27/F$46</f>
        <v>-0.44399203300695972</v>
      </c>
      <c r="H27" s="690">
        <f>F27+Funding!E14</f>
        <v>3000</v>
      </c>
      <c r="I27" s="691">
        <f ca="1">H27/H$46</f>
        <v>-0.24775467944751356</v>
      </c>
      <c r="J27" s="690">
        <f>H27+Funding!F14</f>
        <v>3000</v>
      </c>
      <c r="K27" s="691">
        <f ca="1">J27/J$46</f>
        <v>-0.17458108008325685</v>
      </c>
      <c r="L27" s="690">
        <f>J27+Funding!G14</f>
        <v>3000</v>
      </c>
      <c r="M27" s="691">
        <f ca="1">L27/L$46</f>
        <v>-0.13672679243932517</v>
      </c>
      <c r="N27" s="690">
        <f>L27+Funding!H14</f>
        <v>3000</v>
      </c>
      <c r="O27" s="691">
        <f ca="1">N27/N$46</f>
        <v>-0.1139069641538525</v>
      </c>
    </row>
    <row r="28" spans="1:15" ht="18" customHeight="1">
      <c r="A28" s="1410" t="s">
        <v>262</v>
      </c>
      <c r="B28" s="690">
        <f>'Initial Funding'!B10+'Initial Funding'!B11</f>
        <v>0</v>
      </c>
      <c r="C28" s="691">
        <f>IFERROR(B28/B$46,0)</f>
        <v>0</v>
      </c>
      <c r="D28" s="690">
        <f>SUM(resprevio)-'Initial Funding'!B12
-'Initial Expenses'!B12*0</f>
        <v>-665</v>
      </c>
      <c r="E28" s="691">
        <f ca="1">D28/D$46</f>
        <v>-0.28479657387580298</v>
      </c>
      <c r="F28" s="690">
        <f>D28
+IF(isoc&lt;&gt;0,'Initial Funding'!B12,0)
+IF(AND(isoc&lt;&gt;0,D30&lt;0),D30,0)*0
+IF(irpf&lt;&gt;0,D30,0)
+IF(AND(irpf=0,isoc=0),D30,0)</f>
        <v>-665</v>
      </c>
      <c r="G28" s="691">
        <f ca="1">F28/F$46</f>
        <v>9.8418233983209411E-2</v>
      </c>
      <c r="H28" s="690">
        <f ca="1">F28
+IF(isoc&lt;&gt;0,'Corporate Income Tax'!B7+'Corporate Income Tax'!B31,0)
+IF(AND(isoc&lt;&gt;0,F30&lt;0),F30,0)
+IF(irpf&lt;&gt;0,F30,0)
+IF(AND(irpf=0,isoc=0),F30,0)</f>
        <v>-9941.7199999999993</v>
      </c>
      <c r="I28" s="691">
        <f ca="1">H28/H$46</f>
        <v>0.82103588391897808</v>
      </c>
      <c r="J28" s="690">
        <f ca="1">H28
+IF(isoc&lt;&gt;0,'Corporate Income Tax'!$D$7+'Corporate Income Tax'!$D$31,0)
+IF(AND(isoc&lt;&gt;0,H30&lt;0),H30,0)
+IF(irpf&lt;&gt;0,H30,0)
+IF(AND(irpf=0,isoc=0),H30,0)</f>
        <v>-15296.539999999999</v>
      </c>
      <c r="K28" s="691">
        <f ca="1">J28/J$46</f>
        <v>0.89016215824558054</v>
      </c>
      <c r="L28" s="690">
        <f ca="1">J28
+IF(isoc&lt;&gt;0,'Corporate Income Tax'!$G$7+'Corporate Income Tax'!$G$31,0)
+IF(AND(isoc&lt;&gt;0,J30&lt;0),J30,0)
+IF(irpf&lt;&gt;0,J30,0)
+IF(AND(irpf=0,isoc=0),J30,0)</f>
        <v>-20387.101574</v>
      </c>
      <c r="M28" s="691">
        <f ca="1">L28/L$46</f>
        <v>0.92915433511591261</v>
      </c>
      <c r="N28" s="690">
        <f ca="1">L28
+IF(isoc&lt;&gt;0,'Corporate Income Tax'!$J$7+'Corporate Income Tax'!$J$31,0)
+IF(AND(isoc&lt;&gt;0,L30&lt;0),L30,0)
+IF(irpf&lt;&gt;0,L30,0)
+IF(AND(irpf=0,isoc=0),L30,0)</f>
        <v>-25161.345507081202</v>
      </c>
      <c r="O28" s="691">
        <f ca="1">N28/N$46</f>
        <v>0.95535082691259865</v>
      </c>
    </row>
    <row r="29" spans="1:15" ht="18" customHeight="1">
      <c r="A29" s="1410" t="s">
        <v>254</v>
      </c>
      <c r="B29" s="690">
        <f>'Initial Funding'!B14</f>
        <v>0</v>
      </c>
      <c r="C29" s="691">
        <f>IFERROR(B29/B$46,0)</f>
        <v>0</v>
      </c>
      <c r="D29" s="690">
        <f>'Initial Funding'!D14</f>
        <v>0</v>
      </c>
      <c r="E29" s="691">
        <f ca="1">D29/D$46</f>
        <v>0</v>
      </c>
      <c r="F29" s="690">
        <f>D29-'Income St 0'!N6+Funding!E19</f>
        <v>0</v>
      </c>
      <c r="G29" s="691">
        <f ca="1">F29/F$46</f>
        <v>0</v>
      </c>
      <c r="H29" s="690">
        <f>F29-'Income St 1'!N6+Funding!F19</f>
        <v>0</v>
      </c>
      <c r="I29" s="691">
        <f ca="1">H29/H$46</f>
        <v>0</v>
      </c>
      <c r="J29" s="690">
        <f>H29-'Income St 2'!N6+Funding!G19</f>
        <v>0</v>
      </c>
      <c r="K29" s="691">
        <f ca="1">J29/J$46</f>
        <v>0</v>
      </c>
      <c r="L29" s="690">
        <f>J29-'Income St 3'!N6+Funding!H19</f>
        <v>0</v>
      </c>
      <c r="M29" s="691">
        <f ca="1">L29/L$46</f>
        <v>0</v>
      </c>
      <c r="N29" s="690">
        <f>L29-'Income St 4'!N6</f>
        <v>0</v>
      </c>
      <c r="O29" s="691">
        <f ca="1">N29/N$46</f>
        <v>0</v>
      </c>
    </row>
    <row r="30" spans="1:15" ht="18" customHeight="1">
      <c r="A30" s="1410" t="s">
        <v>255</v>
      </c>
      <c r="B30" s="690">
        <f>'Initial Funding'!B12</f>
        <v>0</v>
      </c>
      <c r="C30" s="691">
        <f>IFERROR(B30/B$46,0)</f>
        <v>0</v>
      </c>
      <c r="D30" s="690">
        <f>+'Initial Funding'!B12</f>
        <v>0</v>
      </c>
      <c r="E30" s="691">
        <f ca="1">D30/D$46</f>
        <v>0</v>
      </c>
      <c r="F30" s="690">
        <f ca="1">'Yearly Income St'!B29
-IF(isoc&lt;&gt;0,'Corporate Income Tax'!B15,0)
-IF(irpf&lt;&gt;0,'Personal Income Tax'!K22*'Personal Income Tax'!K19,0)</f>
        <v>-9276.7199999999993</v>
      </c>
      <c r="G30" s="691">
        <f ca="1">F30/F$46</f>
        <v>1.3729299241454411</v>
      </c>
      <c r="H30" s="690">
        <f ca="1">'Yearly Income St'!D29
-IF(isoc&lt;&gt;0,'Corporate Income Tax'!D15,0)
-IF(irpf&lt;&gt;0,'Personal Income Tax'!L22*'Personal Income Tax'!L19,0)</f>
        <v>-5354.82</v>
      </c>
      <c r="I30" s="691">
        <f ca="1">H30/H$46</f>
        <v>0.44222723753304483</v>
      </c>
      <c r="J30" s="690">
        <f ca="1">'Yearly Income St'!$G$29
-IF(isoc&lt;&gt;0,'Corporate Income Tax'!$G$15,0)
-IF(irpf&lt;&gt;0,'Personal Income Tax'!M22*'Personal Income Tax'!M19,0)</f>
        <v>-5090.561574000003</v>
      </c>
      <c r="K30" s="691">
        <f ca="1">J30/J$46</f>
        <v>0.2962385792730815</v>
      </c>
      <c r="L30" s="690">
        <f ca="1">'Yearly Income St'!$J$29
-IF(isoc&lt;&gt;0,'Corporate Income Tax'!$J$15,0)
-IF(irpf&lt;&gt;0,'Personal Income Tax'!N22*'Personal Income Tax'!N19,0)</f>
        <v>-4774.2439330812003</v>
      </c>
      <c r="M30" s="691">
        <f ca="1">L30/L$46</f>
        <v>0.21758901976436693</v>
      </c>
      <c r="N30" s="690">
        <f ca="1">'Yearly Income St'!$M$29
-IF(isoc&lt;&gt;0,'Corporate Income Tax'!$M$15,0)
-IF(irpf&lt;&gt;0,'Personal Income Tax'!O22*'Personal Income Tax'!O19,0)</f>
        <v>-4413.615792352296</v>
      </c>
      <c r="O30" s="691">
        <f ca="1">N30/N$46</f>
        <v>0.16758052528278342</v>
      </c>
    </row>
    <row r="31" spans="1:15" ht="18" customHeight="1">
      <c r="A31" s="1732"/>
      <c r="B31" s="681"/>
      <c r="C31" s="682"/>
      <c r="D31" s="681"/>
      <c r="E31" s="682"/>
      <c r="F31" s="690"/>
      <c r="G31" s="691"/>
      <c r="H31" s="690"/>
      <c r="I31" s="691"/>
      <c r="J31" s="690"/>
      <c r="K31" s="691"/>
      <c r="L31" s="690"/>
      <c r="M31" s="691"/>
      <c r="N31" s="690"/>
      <c r="O31" s="691"/>
    </row>
    <row r="32" spans="1:15" s="48" customFormat="1" ht="18" customHeight="1">
      <c r="A32" s="1630" t="s">
        <v>263</v>
      </c>
      <c r="B32" s="1624">
        <f>SUM(B33:B35)</f>
        <v>0</v>
      </c>
      <c r="C32" s="1625">
        <f>IFERROR(B32/B$46,0)</f>
        <v>0</v>
      </c>
      <c r="D32" s="1624">
        <f>SUM(D33:D35)</f>
        <v>0</v>
      </c>
      <c r="E32" s="1625">
        <f ca="1">D32/D$46</f>
        <v>0</v>
      </c>
      <c r="F32" s="1624">
        <f>SUM(F33:F35)</f>
        <v>0</v>
      </c>
      <c r="G32" s="1625">
        <f ca="1">F32/F$46</f>
        <v>0</v>
      </c>
      <c r="H32" s="1624">
        <f>SUM(H33:H35)</f>
        <v>0</v>
      </c>
      <c r="I32" s="1625">
        <f ca="1">H32/H$46</f>
        <v>0</v>
      </c>
      <c r="J32" s="1624">
        <f>SUM(J33:J35)</f>
        <v>0</v>
      </c>
      <c r="K32" s="1625">
        <f ca="1">J32/J$46</f>
        <v>0</v>
      </c>
      <c r="L32" s="1624">
        <f>SUM(L33:L35)</f>
        <v>0</v>
      </c>
      <c r="M32" s="1625">
        <f ca="1">L32/L$46</f>
        <v>0</v>
      </c>
      <c r="N32" s="1624">
        <f>SUM(N33:N35)</f>
        <v>0</v>
      </c>
      <c r="O32" s="1625">
        <f ca="1">N32/N$46</f>
        <v>0</v>
      </c>
    </row>
    <row r="33" spans="1:15" ht="18" customHeight="1">
      <c r="A33" s="1410" t="s">
        <v>265</v>
      </c>
      <c r="B33" s="690">
        <f>'Initial Funding'!B18+'Initial Funding'!B19</f>
        <v>0</v>
      </c>
      <c r="C33" s="691">
        <f>IFERROR(B33/B$46,0)</f>
        <v>0</v>
      </c>
      <c r="D33" s="690">
        <f>SUM(Loans!B5:D5)-D38+SUM(Leasing!B5:D5)</f>
        <v>0</v>
      </c>
      <c r="E33" s="691">
        <f ca="1">D33/D$46</f>
        <v>0</v>
      </c>
      <c r="F33" s="690">
        <f>D33-F38</f>
        <v>0</v>
      </c>
      <c r="G33" s="691">
        <f ca="1">F33/F$46</f>
        <v>0</v>
      </c>
      <c r="H33" s="690">
        <f>F33-H38+Funding!E31+Funding!E57-Loans!N31-Leasing!N30</f>
        <v>0</v>
      </c>
      <c r="I33" s="691">
        <f ca="1">H33/H$46</f>
        <v>0</v>
      </c>
      <c r="J33" s="690">
        <f>H33-J38+Funding!F31+Funding!F57-Loans!N39-Leasing!N38</f>
        <v>0</v>
      </c>
      <c r="K33" s="691">
        <f ca="1">J33/J$46</f>
        <v>0</v>
      </c>
      <c r="L33" s="690">
        <f>J33-L38+Funding!G31+Funding!G57-Loans!N47-Leasing!N46</f>
        <v>0</v>
      </c>
      <c r="M33" s="691">
        <f ca="1">L33/L$46</f>
        <v>0</v>
      </c>
      <c r="N33" s="690">
        <f>L33-N38+Funding!H31+Funding!H57-Loans!N55-Leasing!N54</f>
        <v>0</v>
      </c>
      <c r="O33" s="691">
        <f ca="1">N33/N$46</f>
        <v>0</v>
      </c>
    </row>
    <row r="34" spans="1:15" ht="18" customHeight="1">
      <c r="A34" s="1410" t="s">
        <v>266</v>
      </c>
      <c r="B34" s="690">
        <f>'Initial Funding'!B13</f>
        <v>0</v>
      </c>
      <c r="C34" s="691">
        <f>IFERROR(B34/B$46,0)</f>
        <v>0</v>
      </c>
      <c r="D34" s="690">
        <f>'Initial Funding'!D13</f>
        <v>0</v>
      </c>
      <c r="E34" s="691">
        <f ca="1">D34/D$46</f>
        <v>0</v>
      </c>
      <c r="F34" s="690">
        <f>D34</f>
        <v>0</v>
      </c>
      <c r="G34" s="691">
        <f ca="1">F34/F$46</f>
        <v>0</v>
      </c>
      <c r="H34" s="690">
        <f>F34+Funding!E17</f>
        <v>0</v>
      </c>
      <c r="I34" s="691">
        <f ca="1">H34/H$46</f>
        <v>0</v>
      </c>
      <c r="J34" s="690">
        <f>H34+Funding!F17</f>
        <v>0</v>
      </c>
      <c r="K34" s="691">
        <f ca="1">J34/J$46</f>
        <v>0</v>
      </c>
      <c r="L34" s="690">
        <f>J34+Funding!G17</f>
        <v>0</v>
      </c>
      <c r="M34" s="691">
        <f ca="1">L34/L$46</f>
        <v>0</v>
      </c>
      <c r="N34" s="690">
        <f>L34+Funding!H17</f>
        <v>0</v>
      </c>
      <c r="O34" s="691">
        <f ca="1">N34/N$46</f>
        <v>0</v>
      </c>
    </row>
    <row r="35" spans="1:15" ht="18" customHeight="1">
      <c r="A35" s="1410" t="s">
        <v>1078</v>
      </c>
      <c r="B35" s="690">
        <f>'Initial Funding'!B20</f>
        <v>0</v>
      </c>
      <c r="C35" s="691">
        <f>IFERROR(B35/B$46,0)</f>
        <v>0</v>
      </c>
      <c r="D35" s="690">
        <f>'Initial Funding'!B20</f>
        <v>0</v>
      </c>
      <c r="E35" s="691">
        <f ca="1">D35/D$46</f>
        <v>0</v>
      </c>
      <c r="F35" s="690">
        <f>'Initial Funding'!B20-'Unusual payments &amp; Collections'!N64</f>
        <v>0</v>
      </c>
      <c r="G35" s="691">
        <f ca="1">F35/F$46</f>
        <v>0</v>
      </c>
      <c r="H35" s="690">
        <f>F35-'Unusual payments &amp; Collections'!N74</f>
        <v>0</v>
      </c>
      <c r="I35" s="691">
        <f ca="1">H35/H$46</f>
        <v>0</v>
      </c>
      <c r="J35" s="690">
        <f>H35-'Unusual payments &amp; Collections'!N84</f>
        <v>0</v>
      </c>
      <c r="K35" s="691">
        <f ca="1">J35/J$46</f>
        <v>0</v>
      </c>
      <c r="L35" s="690">
        <f>J35-'Unusual payments &amp; Collections'!N94</f>
        <v>0</v>
      </c>
      <c r="M35" s="691">
        <f ca="1">L35/L$46</f>
        <v>0</v>
      </c>
      <c r="N35" s="690">
        <f>L35-'Unusual payments &amp; Collections'!N104</f>
        <v>0</v>
      </c>
      <c r="O35" s="691">
        <f ca="1">N35/N$46</f>
        <v>0</v>
      </c>
    </row>
    <row r="36" spans="1:15" ht="18" customHeight="1">
      <c r="A36" s="1732"/>
      <c r="B36" s="681"/>
      <c r="C36" s="682"/>
      <c r="D36" s="681"/>
      <c r="E36" s="682"/>
      <c r="F36" s="690"/>
      <c r="G36" s="691"/>
      <c r="H36" s="690"/>
      <c r="I36" s="691"/>
      <c r="J36" s="690"/>
      <c r="K36" s="691"/>
      <c r="L36" s="690"/>
      <c r="M36" s="691"/>
      <c r="N36" s="690"/>
      <c r="O36" s="691"/>
    </row>
    <row r="37" spans="1:15" s="48" customFormat="1" ht="18" customHeight="1">
      <c r="A37" s="1630" t="s">
        <v>264</v>
      </c>
      <c r="B37" s="1624">
        <f>SUM(B38:B43)</f>
        <v>0</v>
      </c>
      <c r="C37" s="1625">
        <f t="shared" ref="C37:C42" si="9">IFERROR(B37/B$46,0)</f>
        <v>0</v>
      </c>
      <c r="D37" s="1624">
        <f ca="1">SUM(D38:D43)</f>
        <v>0</v>
      </c>
      <c r="E37" s="1625">
        <f t="shared" ref="E37:E45" ca="1" si="10">D37/D$46</f>
        <v>0</v>
      </c>
      <c r="F37" s="1624">
        <f ca="1">SUM(F38:F43)</f>
        <v>184.84199999999998</v>
      </c>
      <c r="G37" s="1625">
        <f t="shared" ref="G37:G45" ca="1" si="11">F37/F$46</f>
        <v>-2.7356125121690816E-2</v>
      </c>
      <c r="H37" s="1624">
        <f ca="1">SUM(H38:H43)</f>
        <v>187.78787999999997</v>
      </c>
      <c r="I37" s="1625">
        <f t="shared" ref="I37:I45" ca="1" si="12">H37/H$46</f>
        <v>-1.5508442004509378E-2</v>
      </c>
      <c r="J37" s="1624">
        <f ca="1">SUM(J38:J43)</f>
        <v>203.10890669999998</v>
      </c>
      <c r="K37" s="1625">
        <f t="shared" ref="K37:K45" ca="1" si="13">J37/J$46</f>
        <v>-1.1819657435405147E-2</v>
      </c>
      <c r="L37" s="1624">
        <f ca="1">SUM(L38:L43)</f>
        <v>219.77907026669999</v>
      </c>
      <c r="M37" s="1625">
        <f t="shared" ref="M37:M45" ca="1" si="14">L37/L$46</f>
        <v>-1.0016562440954318E-2</v>
      </c>
      <c r="N37" s="1624">
        <f ca="1">SUM(N38:N43)</f>
        <v>237.677865666066</v>
      </c>
      <c r="O37" s="1625">
        <f t="shared" ref="O37:O45" ca="1" si="15">N37/N$46</f>
        <v>-9.0243880415295831E-3</v>
      </c>
    </row>
    <row r="38" spans="1:15" ht="18" customHeight="1">
      <c r="A38" s="1410" t="s">
        <v>270</v>
      </c>
      <c r="B38" s="690">
        <f>'Initial Funding'!B23+'Initial Funding'!B24</f>
        <v>0</v>
      </c>
      <c r="C38" s="691">
        <f t="shared" si="9"/>
        <v>0</v>
      </c>
      <c r="D38" s="690">
        <f>'Initial Funding'!D23*0+Loans!N24+Leasing!N23</f>
        <v>0</v>
      </c>
      <c r="E38" s="691">
        <f t="shared" ca="1" si="10"/>
        <v>0</v>
      </c>
      <c r="F38" s="690">
        <f>Loans!N32+Leasing!N31-Loans!N31-Leasing!N30</f>
        <v>0</v>
      </c>
      <c r="G38" s="691">
        <f t="shared" ca="1" si="11"/>
        <v>0</v>
      </c>
      <c r="H38" s="690">
        <f>Loans!N40+Leasing!N39-Loans!N39-Leasing!N38</f>
        <v>0</v>
      </c>
      <c r="I38" s="691">
        <f t="shared" ca="1" si="12"/>
        <v>0</v>
      </c>
      <c r="J38" s="690">
        <f>Loans!N48+Leasing!N47-Loans!N47-Leasing!N46</f>
        <v>0</v>
      </c>
      <c r="K38" s="691">
        <f t="shared" ca="1" si="13"/>
        <v>0</v>
      </c>
      <c r="L38" s="690">
        <f>Loans!N56+Leasing!N55-Loans!N55-Leasing!N54</f>
        <v>0</v>
      </c>
      <c r="M38" s="691">
        <f t="shared" ca="1" si="14"/>
        <v>0</v>
      </c>
      <c r="N38" s="690">
        <f>Loans!N63+Leasing!N62</f>
        <v>0</v>
      </c>
      <c r="O38" s="691">
        <f t="shared" ca="1" si="15"/>
        <v>0</v>
      </c>
    </row>
    <row r="39" spans="1:15" ht="18" customHeight="1">
      <c r="A39" s="1410" t="s">
        <v>267</v>
      </c>
      <c r="B39" s="690">
        <f>'Initial Funding'!B25</f>
        <v>0</v>
      </c>
      <c r="C39" s="691">
        <f t="shared" si="9"/>
        <v>0</v>
      </c>
      <c r="D39" s="690">
        <f>'Initial Funding'!B25</f>
        <v>0</v>
      </c>
      <c r="E39" s="691">
        <f t="shared" ca="1" si="10"/>
        <v>0</v>
      </c>
      <c r="F39" s="690">
        <f ca="1">+'Cash Flow 0'!N33</f>
        <v>0</v>
      </c>
      <c r="G39" s="691">
        <f t="shared" ca="1" si="11"/>
        <v>0</v>
      </c>
      <c r="H39" s="690">
        <f ca="1">+'Cash Flow 1'!N33</f>
        <v>0</v>
      </c>
      <c r="I39" s="691">
        <f t="shared" ca="1" si="12"/>
        <v>0</v>
      </c>
      <c r="J39" s="690">
        <f ca="1">+'Cash Flow 2'!N33</f>
        <v>0</v>
      </c>
      <c r="K39" s="691">
        <f t="shared" ca="1" si="13"/>
        <v>0</v>
      </c>
      <c r="L39" s="690">
        <f ca="1">+'Cash Flow 3'!N33</f>
        <v>0</v>
      </c>
      <c r="M39" s="691">
        <f t="shared" ca="1" si="14"/>
        <v>0</v>
      </c>
      <c r="N39" s="690">
        <f ca="1">+'Cash Flow 4'!N33</f>
        <v>0</v>
      </c>
      <c r="O39" s="691">
        <f t="shared" ca="1" si="15"/>
        <v>0</v>
      </c>
    </row>
    <row r="40" spans="1:15" ht="18" customHeight="1">
      <c r="A40" s="1410" t="s">
        <v>268</v>
      </c>
      <c r="B40" s="690">
        <f>'Initial Funding'!B26+'Initial Funding'!B27</f>
        <v>0</v>
      </c>
      <c r="C40" s="691">
        <f t="shared" si="9"/>
        <v>0</v>
      </c>
      <c r="D40" s="690">
        <f ca="1">'Initial Funding'!B27+'Initial Funding'!C26</f>
        <v>0</v>
      </c>
      <c r="E40" s="691">
        <f t="shared" ca="1" si="10"/>
        <v>0</v>
      </c>
      <c r="F40" s="690">
        <f ca="1">'Collections &amp; Payments 0'!S57+
D40*0-'Cash Flow 0'!O21*0-'Unusual payments &amp; Collections'!N65*0</f>
        <v>0</v>
      </c>
      <c r="G40" s="691">
        <f t="shared" ca="1" si="11"/>
        <v>0</v>
      </c>
      <c r="H40" s="690">
        <f ca="1">'Collections &amp; Payments 1'!S57</f>
        <v>0</v>
      </c>
      <c r="I40" s="691">
        <f t="shared" ca="1" si="12"/>
        <v>0</v>
      </c>
      <c r="J40" s="690">
        <f ca="1">'Collections &amp; Payments 2'!S57</f>
        <v>0</v>
      </c>
      <c r="K40" s="691">
        <f t="shared" ca="1" si="13"/>
        <v>0</v>
      </c>
      <c r="L40" s="690">
        <f ca="1">'Collections &amp; Payments 3'!S57</f>
        <v>0</v>
      </c>
      <c r="M40" s="691">
        <f t="shared" ca="1" si="14"/>
        <v>0</v>
      </c>
      <c r="N40" s="690">
        <f ca="1">'Collections &amp; Payments 4'!S57</f>
        <v>0</v>
      </c>
      <c r="O40" s="691">
        <f t="shared" ca="1" si="15"/>
        <v>0</v>
      </c>
    </row>
    <row r="41" spans="1:15" ht="18" customHeight="1">
      <c r="A41" s="1410" t="str">
        <f>"Public Treasury "&amp;'Base Data'!$A$28&amp;" Payable"</f>
        <v>Public Treasury VAT Payable</v>
      </c>
      <c r="B41" s="690">
        <f>'Initial Funding'!B28</f>
        <v>0</v>
      </c>
      <c r="C41" s="691">
        <f t="shared" si="9"/>
        <v>0</v>
      </c>
      <c r="D41" s="690">
        <f>'Initial Funding'!B28</f>
        <v>0</v>
      </c>
      <c r="E41" s="691">
        <f t="shared" ca="1" si="10"/>
        <v>0</v>
      </c>
      <c r="F41" s="690">
        <f ca="1">+'VAT 0'!$O$24</f>
        <v>184.84199999999998</v>
      </c>
      <c r="G41" s="691">
        <f t="shared" ca="1" si="11"/>
        <v>-2.7356125121690816E-2</v>
      </c>
      <c r="H41" s="690">
        <f ca="1">+'VAT 1'!$O$24</f>
        <v>187.78787999999997</v>
      </c>
      <c r="I41" s="691">
        <f t="shared" ca="1" si="12"/>
        <v>-1.5508442004509378E-2</v>
      </c>
      <c r="J41" s="690">
        <f ca="1">+'VAT 2'!$O$24</f>
        <v>203.10890669999998</v>
      </c>
      <c r="K41" s="691">
        <f t="shared" ca="1" si="13"/>
        <v>-1.1819657435405147E-2</v>
      </c>
      <c r="L41" s="690">
        <f ca="1">+'VAT 3'!$O$24</f>
        <v>219.77907026669999</v>
      </c>
      <c r="M41" s="691">
        <f t="shared" ca="1" si="14"/>
        <v>-1.0016562440954318E-2</v>
      </c>
      <c r="N41" s="690">
        <f ca="1">+'VAT 4'!$O$24</f>
        <v>237.677865666066</v>
      </c>
      <c r="O41" s="691">
        <f t="shared" ca="1" si="15"/>
        <v>-9.0243880415295831E-3</v>
      </c>
    </row>
    <row r="42" spans="1:15" ht="18" customHeight="1">
      <c r="A42" s="1410" t="str">
        <f>"Public Treasury "&amp;'Base Data'!$I$44&amp;" Payable "</f>
        <v xml:space="preserve">Public Treasury C.I.T Payable </v>
      </c>
      <c r="B42" s="690">
        <f>'Initial Funding'!B29</f>
        <v>0</v>
      </c>
      <c r="C42" s="691">
        <f t="shared" si="9"/>
        <v>0</v>
      </c>
      <c r="D42" s="690">
        <f>'Initial Funding'!B29</f>
        <v>0</v>
      </c>
      <c r="E42" s="691">
        <f t="shared" ca="1" si="10"/>
        <v>0</v>
      </c>
      <c r="F42" s="690">
        <f ca="1">'Corporate Income Tax'!B15
+'Personal Income Tax Calc.'!N13
+IF('Personal Income Tax'!K25&gt;0,'Personal Income Tax'!K25*'Personal Income Tax'!K19,0)</f>
        <v>0</v>
      </c>
      <c r="G42" s="691">
        <f t="shared" ca="1" si="11"/>
        <v>0</v>
      </c>
      <c r="H42" s="690">
        <f ca="1">'Corporate Income Tax'!D15
+'Personal Income Tax Calc.'!N22
+IF('Personal Income Tax'!L25&gt;0,'Personal Income Tax'!L25*'Personal Income Tax'!L19,0)</f>
        <v>0</v>
      </c>
      <c r="I42" s="691">
        <f t="shared" ca="1" si="12"/>
        <v>0</v>
      </c>
      <c r="J42" s="690">
        <f ca="1">'Corporate Income Tax'!G15
+'Personal Income Tax Calc.'!N31
+IF('Personal Income Tax'!M25&gt;0,'Personal Income Tax'!M25*'Personal Income Tax'!M19,0)</f>
        <v>0</v>
      </c>
      <c r="K42" s="691">
        <f t="shared" ca="1" si="13"/>
        <v>0</v>
      </c>
      <c r="L42" s="690">
        <f ca="1">'Corporate Income Tax'!J15
+'Personal Income Tax Calc.'!N40
+IF('Personal Income Tax'!N25&gt;0,'Personal Income Tax'!N25*'Personal Income Tax'!N19,0)</f>
        <v>0</v>
      </c>
      <c r="M42" s="691">
        <f t="shared" ca="1" si="14"/>
        <v>0</v>
      </c>
      <c r="N42" s="690">
        <f ca="1">'Corporate Income Tax'!M15
+'Personal Income Tax Calc.'!N49
+IF('Personal Income Tax'!O25&gt;0,'Personal Income Tax'!O25*'Personal Income Tax'!O19,0)</f>
        <v>0</v>
      </c>
      <c r="O42" s="691">
        <f t="shared" ca="1" si="15"/>
        <v>0</v>
      </c>
    </row>
    <row r="43" spans="1:15" ht="18" customHeight="1">
      <c r="A43" s="1410" t="s">
        <v>269</v>
      </c>
      <c r="B43" s="690">
        <f>'Initial Funding'!B30</f>
        <v>0</v>
      </c>
      <c r="C43" s="691">
        <f>IFERROR(B43/B$46,0)</f>
        <v>0</v>
      </c>
      <c r="D43" s="690">
        <f>'Initial Funding'!D30</f>
        <v>0</v>
      </c>
      <c r="E43" s="691">
        <f t="shared" ca="1" si="10"/>
        <v>0</v>
      </c>
      <c r="F43" s="690">
        <f>D43</f>
        <v>0</v>
      </c>
      <c r="G43" s="691">
        <f t="shared" ca="1" si="11"/>
        <v>0</v>
      </c>
      <c r="H43" s="690">
        <f>F43</f>
        <v>0</v>
      </c>
      <c r="I43" s="691">
        <f t="shared" ca="1" si="12"/>
        <v>0</v>
      </c>
      <c r="J43" s="690">
        <f>H43</f>
        <v>0</v>
      </c>
      <c r="K43" s="691">
        <f t="shared" ca="1" si="13"/>
        <v>0</v>
      </c>
      <c r="L43" s="690">
        <f>J43</f>
        <v>0</v>
      </c>
      <c r="M43" s="691">
        <f t="shared" ca="1" si="14"/>
        <v>0</v>
      </c>
      <c r="N43" s="690">
        <f>L43</f>
        <v>0</v>
      </c>
      <c r="O43" s="691">
        <f t="shared" ca="1" si="15"/>
        <v>0</v>
      </c>
    </row>
    <row r="44" spans="1:15" s="776" customFormat="1" ht="18" customHeight="1">
      <c r="A44" s="1630" t="s">
        <v>272</v>
      </c>
      <c r="B44" s="1622">
        <f>B26+B32</f>
        <v>0</v>
      </c>
      <c r="C44" s="1623">
        <f>IFERROR(B44/B$46,0)</f>
        <v>0</v>
      </c>
      <c r="D44" s="1622">
        <f>D26+D32</f>
        <v>2335</v>
      </c>
      <c r="E44" s="1623">
        <f t="shared" ca="1" si="10"/>
        <v>1</v>
      </c>
      <c r="F44" s="1624">
        <f ca="1">F26+F32</f>
        <v>-6941.7199999999993</v>
      </c>
      <c r="G44" s="1625">
        <f t="shared" ca="1" si="11"/>
        <v>1.0273561251216907</v>
      </c>
      <c r="H44" s="1624">
        <f ca="1">H26+H32</f>
        <v>-12296.539999999999</v>
      </c>
      <c r="I44" s="1625">
        <f t="shared" ca="1" si="12"/>
        <v>1.0155084420045093</v>
      </c>
      <c r="J44" s="1624">
        <f ca="1">J26+J32</f>
        <v>-17387.101574</v>
      </c>
      <c r="K44" s="1625">
        <f t="shared" ca="1" si="13"/>
        <v>1.011819657435405</v>
      </c>
      <c r="L44" s="1624">
        <f ca="1">L26+L32</f>
        <v>-22161.345507081202</v>
      </c>
      <c r="M44" s="1625">
        <f t="shared" ca="1" si="14"/>
        <v>1.0100165624409543</v>
      </c>
      <c r="N44" s="1624">
        <f ca="1">N26+N32</f>
        <v>-26574.961299433497</v>
      </c>
      <c r="O44" s="1625">
        <f t="shared" ca="1" si="15"/>
        <v>1.0090243880415295</v>
      </c>
    </row>
    <row r="45" spans="1:15" s="776" customFormat="1" ht="21" customHeight="1" thickBot="1">
      <c r="A45" s="1631" t="s">
        <v>273</v>
      </c>
      <c r="B45" s="1624">
        <f>B32+B37</f>
        <v>0</v>
      </c>
      <c r="C45" s="1625">
        <f>IFERROR(B45/B$46,0)</f>
        <v>0</v>
      </c>
      <c r="D45" s="1624">
        <f ca="1">D32+D37</f>
        <v>0</v>
      </c>
      <c r="E45" s="1625">
        <f t="shared" ca="1" si="10"/>
        <v>0</v>
      </c>
      <c r="F45" s="1624">
        <f ca="1">F32+F37</f>
        <v>184.84199999999998</v>
      </c>
      <c r="G45" s="1625">
        <f t="shared" ca="1" si="11"/>
        <v>-2.7356125121690816E-2</v>
      </c>
      <c r="H45" s="1624">
        <f ca="1">H32+H37</f>
        <v>187.78787999999997</v>
      </c>
      <c r="I45" s="1625">
        <f t="shared" ca="1" si="12"/>
        <v>-1.5508442004509378E-2</v>
      </c>
      <c r="J45" s="1624">
        <f ca="1">J32+J37</f>
        <v>203.10890669999998</v>
      </c>
      <c r="K45" s="1625">
        <f t="shared" ca="1" si="13"/>
        <v>-1.1819657435405147E-2</v>
      </c>
      <c r="L45" s="1624">
        <f ca="1">L32+L37</f>
        <v>219.77907026669999</v>
      </c>
      <c r="M45" s="1625">
        <f t="shared" ca="1" si="14"/>
        <v>-1.0016562440954318E-2</v>
      </c>
      <c r="N45" s="1624">
        <f ca="1">N32+N37</f>
        <v>237.677865666066</v>
      </c>
      <c r="O45" s="1625">
        <f t="shared" ca="1" si="15"/>
        <v>-9.0243880415295831E-3</v>
      </c>
    </row>
    <row r="46" spans="1:15" s="48" customFormat="1" ht="21" customHeight="1" thickBot="1">
      <c r="A46" s="1621" t="s">
        <v>271</v>
      </c>
      <c r="B46" s="1617">
        <f t="shared" ref="B46:O46" si="16">B26+B32+B37</f>
        <v>0</v>
      </c>
      <c r="C46" s="1618">
        <f>C26+C32+C37</f>
        <v>0</v>
      </c>
      <c r="D46" s="1617">
        <f t="shared" ca="1" si="16"/>
        <v>2335</v>
      </c>
      <c r="E46" s="1618">
        <f t="shared" ca="1" si="16"/>
        <v>1</v>
      </c>
      <c r="F46" s="1619">
        <f t="shared" ca="1" si="16"/>
        <v>-6756.8779999999997</v>
      </c>
      <c r="G46" s="1620">
        <f t="shared" ca="1" si="16"/>
        <v>0.99999999999999989</v>
      </c>
      <c r="H46" s="1619">
        <f t="shared" ca="1" si="16"/>
        <v>-12108.752119999999</v>
      </c>
      <c r="I46" s="1620">
        <f t="shared" ca="1" si="16"/>
        <v>0.99999999999999989</v>
      </c>
      <c r="J46" s="1619">
        <f t="shared" ca="1" si="16"/>
        <v>-17183.992667300001</v>
      </c>
      <c r="K46" s="1620">
        <f t="shared" ca="1" si="16"/>
        <v>0.99999999999999989</v>
      </c>
      <c r="L46" s="1619">
        <f t="shared" ca="1" si="16"/>
        <v>-21941.566436814501</v>
      </c>
      <c r="M46" s="1620">
        <f t="shared" ca="1" si="16"/>
        <v>1</v>
      </c>
      <c r="N46" s="1619">
        <f t="shared" ca="1" si="16"/>
        <v>-26337.283433767432</v>
      </c>
      <c r="O46" s="1620">
        <f t="shared" ca="1" si="16"/>
        <v>0.99999999999999989</v>
      </c>
    </row>
    <row r="47" spans="1:15" ht="15.75" thickBot="1">
      <c r="B47" s="685"/>
      <c r="C47" s="686"/>
      <c r="D47" s="685"/>
      <c r="E47" s="686"/>
      <c r="F47" s="685"/>
      <c r="G47" s="693"/>
      <c r="H47" s="685"/>
      <c r="I47" s="693"/>
      <c r="J47" s="685"/>
      <c r="K47" s="693"/>
      <c r="L47" s="685"/>
      <c r="M47" s="693"/>
      <c r="N47" s="685"/>
      <c r="O47" s="693"/>
    </row>
    <row r="48" spans="1:15" s="48" customFormat="1" ht="20.25" customHeight="1" thickBot="1">
      <c r="A48" s="1616" t="s">
        <v>274</v>
      </c>
      <c r="B48" s="1612">
        <f>B44-B5</f>
        <v>0</v>
      </c>
      <c r="C48" s="1613">
        <f>IFERROR(B48/B$46,0)</f>
        <v>0</v>
      </c>
      <c r="D48" s="1612">
        <f>D44-D5</f>
        <v>2335</v>
      </c>
      <c r="E48" s="1613">
        <f ca="1">D48/D24</f>
        <v>1</v>
      </c>
      <c r="F48" s="1614">
        <f ca="1">F44-F5</f>
        <v>-6941.7199999999993</v>
      </c>
      <c r="G48" s="1615">
        <f ca="1">F48/F24</f>
        <v>1.0273561251216909</v>
      </c>
      <c r="H48" s="1614">
        <f ca="1">H44-H5</f>
        <v>-12296.539999999999</v>
      </c>
      <c r="I48" s="1615">
        <f ca="1">H48/H24</f>
        <v>1.0155084420045091</v>
      </c>
      <c r="J48" s="1614">
        <f ca="1">J44-J5</f>
        <v>-17387.101574</v>
      </c>
      <c r="K48" s="1615">
        <f ca="1">J48/J24</f>
        <v>1.0118196574354046</v>
      </c>
      <c r="L48" s="1614">
        <f ca="1">L44-L5</f>
        <v>-22161.345507081202</v>
      </c>
      <c r="M48" s="1615">
        <f ca="1">L48/L24</f>
        <v>1.0100165624409543</v>
      </c>
      <c r="N48" s="1614">
        <f ca="1">N44-N5</f>
        <v>-26574.961299433497</v>
      </c>
      <c r="O48" s="1615">
        <f ca="1">N48/N24</f>
        <v>1.0090243880415291</v>
      </c>
    </row>
    <row r="49" spans="1:15" ht="15.75" thickBot="1">
      <c r="B49" s="35"/>
      <c r="C49" s="678"/>
    </row>
    <row r="50" spans="1:15" s="48" customFormat="1" ht="20.25" customHeight="1" thickBot="1">
      <c r="A50" s="1809" t="s">
        <v>275</v>
      </c>
      <c r="B50" s="1612">
        <f ca="1">+B16+B17+B15-B40</f>
        <v>0</v>
      </c>
      <c r="C50" s="1615">
        <f ca="1">IFERROR(B50/B$46,0)</f>
        <v>0</v>
      </c>
      <c r="D50" s="1612">
        <f ca="1">+D16+D17+D15-D40</f>
        <v>0</v>
      </c>
      <c r="E50" s="1615">
        <f ca="1">D50/D26</f>
        <v>0</v>
      </c>
      <c r="F50" s="1612">
        <f ca="1">+F16+F17+F15-F40</f>
        <v>0</v>
      </c>
      <c r="G50" s="1615">
        <f ca="1">F50/F26</f>
        <v>0</v>
      </c>
      <c r="H50" s="1612">
        <f ca="1">+H16+H17+H15-H40</f>
        <v>0</v>
      </c>
      <c r="I50" s="1615">
        <f ca="1">H50/H26</f>
        <v>0</v>
      </c>
      <c r="J50" s="1612">
        <f ca="1">+J16+J17+J15-J40</f>
        <v>0</v>
      </c>
      <c r="K50" s="1615">
        <f ca="1">J50/J26</f>
        <v>0</v>
      </c>
      <c r="L50" s="1612">
        <f ca="1">+L16+L17+L15-L40</f>
        <v>0</v>
      </c>
      <c r="M50" s="1615">
        <f ca="1">L50/L26</f>
        <v>0</v>
      </c>
      <c r="N50" s="1612">
        <f ca="1">+N16+N17+N15-N40</f>
        <v>0</v>
      </c>
      <c r="O50" s="1615">
        <f ca="1">N50/N26</f>
        <v>0</v>
      </c>
    </row>
    <row r="52" spans="1:15">
      <c r="A52" s="39" t="str">
        <f>CONCATENATE("All quantities expressed in ",D4)</f>
        <v>All quantities expressed in €</v>
      </c>
      <c r="B52" s="39"/>
      <c r="C52" s="39"/>
      <c r="F52" s="35" t="s">
        <v>276</v>
      </c>
    </row>
    <row r="53" spans="1:15">
      <c r="A53" s="2280"/>
      <c r="B53" s="679" t="str">
        <f ca="1">IF(ABS(B46-B24)&gt;0.005,B46-B24,"")</f>
        <v/>
      </c>
      <c r="C53" s="2280"/>
      <c r="D53" s="679" t="str">
        <f ca="1">IF(ABS(D46-D24)&gt;0.005,D46-D24,"")</f>
        <v/>
      </c>
      <c r="F53" s="679" t="str">
        <f ca="1">IF(ABS(F46-F24)&gt;0.005,F46-F24,"")</f>
        <v/>
      </c>
      <c r="H53" s="679" t="str">
        <f ca="1">IF(ABS(H46-H24)&gt;0.005,H46-H24,"")</f>
        <v/>
      </c>
      <c r="J53" s="679" t="str">
        <f ca="1">IF(ABS(J46-J24)&gt;0.005,J46-J24,"")</f>
        <v/>
      </c>
      <c r="L53" s="679" t="str">
        <f ca="1">IF(ABS(L46-L24)&gt;0.005,L46-L24,"")</f>
        <v/>
      </c>
      <c r="N53" s="679" t="str">
        <f ca="1">IF(ABS(N46-N24)&gt;0.005,N46-N24,"")</f>
        <v/>
      </c>
    </row>
    <row r="54" spans="1:15">
      <c r="A54" s="39" t="str">
        <f>IF(consolidacion,"* The Initial Balance Sheet is the result of the combination of The Previous Balance, Initial Investments &amp; the Initial Funding","")</f>
        <v/>
      </c>
      <c r="B54" s="39"/>
      <c r="C54" s="39"/>
    </row>
    <row r="55" spans="1:15">
      <c r="J55" s="680"/>
    </row>
  </sheetData>
  <sheetProtection sheet="1" objects="1" scenarios="1"/>
  <phoneticPr fontId="7" type="noConversion"/>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tint="0.39997558519241921"/>
    <pageSetUpPr fitToPage="1"/>
  </sheetPr>
  <dimension ref="A1:O56"/>
  <sheetViews>
    <sheetView showGridLines="0" zoomScale="70" zoomScaleNormal="70" workbookViewId="0">
      <pane xSplit="1" ySplit="4" topLeftCell="B19" activePane="bottomRight" state="frozenSplit"/>
      <selection activeCell="E23" sqref="E23"/>
      <selection pane="topRight" activeCell="E23" sqref="E23"/>
      <selection pane="bottomLeft" activeCell="E23" sqref="E23"/>
      <selection pane="bottomRight" activeCell="A47" sqref="A47"/>
    </sheetView>
  </sheetViews>
  <sheetFormatPr baseColWidth="10" defaultColWidth="11" defaultRowHeight="15"/>
  <cols>
    <col min="1" max="1" width="33.5" style="674" customWidth="1"/>
    <col min="2" max="2" width="14.5" style="674" customWidth="1"/>
    <col min="3" max="3" width="13.875" style="674" customWidth="1"/>
    <col min="4" max="4" width="13.5" style="35" customWidth="1"/>
    <col min="5" max="5" width="14.25" style="678" customWidth="1"/>
    <col min="6" max="6" width="12.875" style="35" customWidth="1"/>
    <col min="7" max="7" width="11.625" style="35" customWidth="1"/>
    <col min="8" max="8" width="12.875" style="35" customWidth="1"/>
    <col min="9" max="9" width="11.625" style="35" customWidth="1"/>
    <col min="10" max="10" width="12.875" style="35" customWidth="1"/>
    <col min="11" max="11" width="11.625" style="35" customWidth="1"/>
    <col min="12" max="12" width="12.875" style="35" customWidth="1"/>
    <col min="13" max="13" width="11.625" style="35" customWidth="1"/>
    <col min="14" max="14" width="12.875" style="35" customWidth="1"/>
    <col min="15" max="15" width="11.625" style="35" customWidth="1"/>
    <col min="16" max="16384" width="11" style="35"/>
  </cols>
  <sheetData>
    <row r="1" spans="1:15" ht="22.5">
      <c r="A1" s="401" t="str">
        <f>'Balance Sheet Statements (EU)'!A1</f>
        <v>Yearly Previsional Balance Sheets</v>
      </c>
      <c r="B1" s="401"/>
      <c r="C1" s="401"/>
      <c r="D1" s="671"/>
      <c r="E1" s="671"/>
      <c r="F1" s="2580" t="s">
        <v>1055</v>
      </c>
      <c r="G1" s="671"/>
      <c r="H1" s="671"/>
      <c r="I1" s="211"/>
      <c r="J1" s="211"/>
      <c r="K1" s="211"/>
      <c r="L1" s="211"/>
      <c r="M1" s="211"/>
      <c r="N1" s="211"/>
      <c r="O1" s="211"/>
    </row>
    <row r="2" spans="1:15" ht="23.25" thickBot="1">
      <c r="A2" s="401" t="str">
        <f>'Base Data'!B9</f>
        <v>WWW, Ltd.</v>
      </c>
      <c r="B2" s="401"/>
      <c r="C2" s="401"/>
      <c r="D2" s="672"/>
      <c r="E2" s="672"/>
      <c r="F2" s="673"/>
      <c r="G2" s="672"/>
      <c r="H2" s="673"/>
      <c r="J2" s="673"/>
      <c r="K2" s="253"/>
      <c r="L2" s="673"/>
      <c r="M2" s="253"/>
      <c r="N2" s="673"/>
      <c r="O2" s="253"/>
    </row>
    <row r="3" spans="1:15" ht="15.75" thickBot="1">
      <c r="B3" s="1610" t="s">
        <v>1105</v>
      </c>
      <c r="C3" s="1611"/>
      <c r="D3" s="1610" t="str">
        <f>MID('Base Data'!F21,4,40)&amp;" (*)"</f>
        <v>January  2026 (*)</v>
      </c>
      <c r="E3" s="1611"/>
      <c r="F3" s="1610" t="str">
        <f>CONCATENATE(Parameters!$B$72,"  ",TEXT(Parameters!D64,"[$-409]"&amp;aa&amp;aa))</f>
        <v>December  2026</v>
      </c>
      <c r="G3" s="1611"/>
      <c r="H3" s="1610" t="str">
        <f>CONCATENATE(Parameters!$B$72,"  ",TEXT(Parameters!E64,"[$-409]"&amp;aa&amp;aa))</f>
        <v>December  2027</v>
      </c>
      <c r="I3" s="1611"/>
      <c r="J3" s="1610" t="str">
        <f>CONCATENATE(Parameters!$B$72,"  ",TEXT(Parameters!F64,"[$-409]"&amp;aa&amp;aa))</f>
        <v>December  2028</v>
      </c>
      <c r="K3" s="1611"/>
      <c r="L3" s="1610" t="str">
        <f>CONCATENATE(Parameters!$B$72,"  ",TEXT(Parameters!G64,"[$-409]"&amp;aa&amp;aa))</f>
        <v>December  2029</v>
      </c>
      <c r="M3" s="1611"/>
      <c r="N3" s="1610" t="str">
        <f>CONCATENATE(Parameters!$B$72,"  ",TEXT(Parameters!H64,"[$-409]"&amp;aa&amp;aa))</f>
        <v>December  2030</v>
      </c>
      <c r="O3" s="1611"/>
    </row>
    <row r="4" spans="1:15" ht="15.75" thickBot="1">
      <c r="A4" s="71"/>
      <c r="B4" s="2576" t="str">
        <f>$D$4</f>
        <v>€</v>
      </c>
      <c r="C4" s="2577" t="s">
        <v>3</v>
      </c>
      <c r="D4" s="2576" t="str">
        <f>Parameters!H11</f>
        <v>€</v>
      </c>
      <c r="E4" s="2577" t="s">
        <v>3</v>
      </c>
      <c r="F4" s="2576" t="str">
        <f>$D$4</f>
        <v>€</v>
      </c>
      <c r="G4" s="2577" t="s">
        <v>3</v>
      </c>
      <c r="H4" s="2576" t="str">
        <f>$D$4</f>
        <v>€</v>
      </c>
      <c r="I4" s="2577" t="s">
        <v>3</v>
      </c>
      <c r="J4" s="2576" t="str">
        <f>$D$4</f>
        <v>€</v>
      </c>
      <c r="K4" s="2578" t="s">
        <v>3</v>
      </c>
      <c r="L4" s="2576" t="str">
        <f>$D$4</f>
        <v>€</v>
      </c>
      <c r="M4" s="2578" t="s">
        <v>3</v>
      </c>
      <c r="N4" s="2576" t="str">
        <f>$D$4</f>
        <v>€</v>
      </c>
      <c r="O4" s="2578" t="s">
        <v>3</v>
      </c>
    </row>
    <row r="5" spans="1:15" s="48" customFormat="1" ht="16.5" customHeight="1">
      <c r="A5" s="1632" t="str">
        <f>'Balance Sheet Statements (EU)'!A13</f>
        <v>Current Assets</v>
      </c>
      <c r="B5" s="1626">
        <f ca="1">SUM(B6:B14)</f>
        <v>0</v>
      </c>
      <c r="C5" s="1627">
        <f t="shared" ref="C5:C14" ca="1" si="0">IFERROR(B5/B$24,0)</f>
        <v>0</v>
      </c>
      <c r="D5" s="1626">
        <f ca="1">SUM(D6:D14)</f>
        <v>2335</v>
      </c>
      <c r="E5" s="1627">
        <f t="shared" ref="E5:E14" ca="1" si="1">D5/D$24</f>
        <v>1</v>
      </c>
      <c r="F5" s="1626">
        <f ca="1">SUM(F6:F14)</f>
        <v>-6756.8779999999988</v>
      </c>
      <c r="G5" s="1629">
        <f t="shared" ref="G5:G14" ca="1" si="2">F5/F$24</f>
        <v>1</v>
      </c>
      <c r="H5" s="1626">
        <f ca="1">SUM(H6:H14)</f>
        <v>-12108.752120000003</v>
      </c>
      <c r="I5" s="1629">
        <f t="shared" ref="I5:I14" ca="1" si="3">H5/H$24</f>
        <v>1</v>
      </c>
      <c r="J5" s="1626">
        <f ca="1">SUM(J6:J14)</f>
        <v>-17183.992667300008</v>
      </c>
      <c r="K5" s="1629">
        <f t="shared" ref="K5:K14" ca="1" si="4">J5/J$24</f>
        <v>1</v>
      </c>
      <c r="L5" s="1626">
        <f ca="1">SUM(L6:L14)</f>
        <v>-21941.566436814501</v>
      </c>
      <c r="M5" s="1629">
        <f t="shared" ref="M5:M14" ca="1" si="5">L5/L$24</f>
        <v>1</v>
      </c>
      <c r="N5" s="1626">
        <f ca="1">SUM(N6:N14)</f>
        <v>-26337.283433767447</v>
      </c>
      <c r="O5" s="1629">
        <f t="shared" ref="O5:O14" ca="1" si="6">N5/N$24</f>
        <v>1</v>
      </c>
    </row>
    <row r="6" spans="1:15" ht="16.5" customHeight="1">
      <c r="A6" s="1410" t="str">
        <f>'Balance Sheet Statements (EU)'!A22</f>
        <v>Cash available</v>
      </c>
      <c r="B6" s="690">
        <f ca="1">'Current Asset Invest.'!G26</f>
        <v>0</v>
      </c>
      <c r="C6" s="691">
        <f t="shared" ca="1" si="0"/>
        <v>0</v>
      </c>
      <c r="D6" s="690">
        <f ca="1">'Current Asset Invest.'!G26+'Current Asset Invest.'!H26</f>
        <v>2201.65</v>
      </c>
      <c r="E6" s="691">
        <f t="shared" ca="1" si="1"/>
        <v>0.94289079229122064</v>
      </c>
      <c r="F6" s="690">
        <f ca="1">'Cash Flow 0'!N35</f>
        <v>-6756.8779999999988</v>
      </c>
      <c r="G6" s="691">
        <f t="shared" ca="1" si="2"/>
        <v>1</v>
      </c>
      <c r="H6" s="690">
        <f ca="1">'Cash Flow 1'!N35</f>
        <v>-12108.752120000003</v>
      </c>
      <c r="I6" s="691">
        <f t="shared" ca="1" si="3"/>
        <v>1</v>
      </c>
      <c r="J6" s="690">
        <f ca="1">'Cash Flow 2'!N35</f>
        <v>-17183.992667300008</v>
      </c>
      <c r="K6" s="691">
        <f t="shared" ca="1" si="4"/>
        <v>1</v>
      </c>
      <c r="L6" s="690">
        <f ca="1">'Cash Flow 3'!N35</f>
        <v>-21941.566436814501</v>
      </c>
      <c r="M6" s="691">
        <f t="shared" ca="1" si="5"/>
        <v>1</v>
      </c>
      <c r="N6" s="690">
        <f ca="1">'Cash Flow 4'!N35</f>
        <v>-26337.283433767447</v>
      </c>
      <c r="O6" s="691">
        <f t="shared" ca="1" si="6"/>
        <v>1</v>
      </c>
    </row>
    <row r="7" spans="1:15" ht="16.5" customHeight="1">
      <c r="A7" s="1410" t="str">
        <f>'Balance Sheet Statements (EU)'!A21</f>
        <v>Public Treasury VAT Receivable</v>
      </c>
      <c r="B7" s="690">
        <f>'Current Asset Invest.'!G20</f>
        <v>0</v>
      </c>
      <c r="C7" s="691">
        <f t="shared" ca="1" si="0"/>
        <v>0</v>
      </c>
      <c r="D7" s="690">
        <f ca="1">'Current Asset Invest.'!H19+'Current Asset Invest.'!G20</f>
        <v>133.35</v>
      </c>
      <c r="E7" s="691">
        <f t="shared" ca="1" si="1"/>
        <v>5.710920770877944E-2</v>
      </c>
      <c r="F7" s="690">
        <f ca="1">IF(AND(IVAcc=0,'VAT 0'!O22&lt;0),-'VAT 0'!O22,0)+'VAT 0'!O26</f>
        <v>0</v>
      </c>
      <c r="G7" s="691">
        <f t="shared" ca="1" si="2"/>
        <v>0</v>
      </c>
      <c r="H7" s="690">
        <f ca="1">IF(AND(IVAcc=0,'VAT 1'!O22&lt;0),-'VAT 1'!O22,0)+'VAT 1'!O26</f>
        <v>0</v>
      </c>
      <c r="I7" s="691">
        <f t="shared" ca="1" si="3"/>
        <v>0</v>
      </c>
      <c r="J7" s="690">
        <f ca="1">IF(AND(IVAcc=0,'VAT 2'!O22&lt;0),-'VAT 2'!O22,0)+'VAT 2'!O26</f>
        <v>0</v>
      </c>
      <c r="K7" s="691">
        <f t="shared" ca="1" si="4"/>
        <v>0</v>
      </c>
      <c r="L7" s="690">
        <f ca="1">IF(AND(IVAcc=0,'VAT 3'!O22&lt;0),-'VAT 3'!O22,0)+'VAT 3'!O26</f>
        <v>0</v>
      </c>
      <c r="M7" s="691">
        <f t="shared" ca="1" si="5"/>
        <v>0</v>
      </c>
      <c r="N7" s="690">
        <f ca="1">IF(AND(IVAcc=0,'VAT 4'!O22&lt;0),-'VAT 4'!O22,0)+'VAT 4'!O26</f>
        <v>0</v>
      </c>
      <c r="O7" s="691">
        <f t="shared" ca="1" si="6"/>
        <v>0</v>
      </c>
    </row>
    <row r="8" spans="1:15" ht="16.5" customHeight="1">
      <c r="A8" s="1410" t="str">
        <f>'Balance Sheet Statements (EU)'!A20</f>
        <v>Pub. Treasury creditor C.I.T Receivable</v>
      </c>
      <c r="B8" s="690">
        <f>'Current Asset Invest.'!G22</f>
        <v>0</v>
      </c>
      <c r="C8" s="691">
        <f t="shared" ca="1" si="0"/>
        <v>0</v>
      </c>
      <c r="D8" s="690">
        <f>'Current Asset Invest.'!G22</f>
        <v>0</v>
      </c>
      <c r="E8" s="691">
        <f t="shared" ca="1" si="1"/>
        <v>0</v>
      </c>
      <c r="F8" s="690">
        <f ca="1">SUM('Corporate Income Tax'!B18:B20)</f>
        <v>0</v>
      </c>
      <c r="G8" s="691">
        <f t="shared" ca="1" si="2"/>
        <v>0</v>
      </c>
      <c r="H8" s="690">
        <f ca="1">SUM('Corporate Income Tax'!D18:D20)</f>
        <v>0</v>
      </c>
      <c r="I8" s="691">
        <f t="shared" ca="1" si="3"/>
        <v>0</v>
      </c>
      <c r="J8" s="690">
        <f ca="1">SUM('Corporate Income Tax'!G18:G20)</f>
        <v>0</v>
      </c>
      <c r="K8" s="691">
        <f t="shared" ca="1" si="4"/>
        <v>0</v>
      </c>
      <c r="L8" s="690">
        <f ca="1">SUM('Corporate Income Tax'!J18:J20)</f>
        <v>0</v>
      </c>
      <c r="M8" s="691">
        <f t="shared" ca="1" si="5"/>
        <v>0</v>
      </c>
      <c r="N8" s="690">
        <f ca="1">SUM('Corporate Income Tax'!M18:M20)</f>
        <v>0</v>
      </c>
      <c r="O8" s="691">
        <f t="shared" ca="1" si="6"/>
        <v>0</v>
      </c>
    </row>
    <row r="9" spans="1:15" ht="16.5" customHeight="1">
      <c r="A9" s="1410" t="str">
        <f>'Balance Sheet Statements (EU)'!A19</f>
        <v>Public Treasury Creditor ( P.I.T. )</v>
      </c>
      <c r="B9" s="690">
        <f>'Current Asset Invest.'!G21</f>
        <v>0</v>
      </c>
      <c r="C9" s="691">
        <f t="shared" ca="1" si="0"/>
        <v>0</v>
      </c>
      <c r="D9" s="690">
        <f>IF(irpf&lt;&gt;0,'Current Asset Invest.'!G21,0)</f>
        <v>0</v>
      </c>
      <c r="E9" s="691">
        <f t="shared" ca="1" si="1"/>
        <v>0</v>
      </c>
      <c r="F9" s="690">
        <f ca="1">'Personal Income Tax'!C25*0
+IF('Personal Income Tax'!K25&lt;0,-'Personal Income Tax'!K25*'Personal Income Tax'!K19,0)</f>
        <v>0</v>
      </c>
      <c r="G9" s="691">
        <f t="shared" ca="1" si="2"/>
        <v>0</v>
      </c>
      <c r="H9" s="690">
        <f ca="1">'Personal Income Tax'!D25*0
+IF('Personal Income Tax'!L25&lt;0,-'Personal Income Tax'!L25*'Personal Income Tax'!L19,0)</f>
        <v>0</v>
      </c>
      <c r="I9" s="691">
        <f t="shared" ca="1" si="3"/>
        <v>0</v>
      </c>
      <c r="J9" s="690">
        <f ca="1">'Personal Income Tax'!E25*0
+IF('Personal Income Tax'!M25&lt;0,-'Personal Income Tax'!M25*'Personal Income Tax'!M19,0)</f>
        <v>0</v>
      </c>
      <c r="K9" s="691">
        <f t="shared" ca="1" si="4"/>
        <v>0</v>
      </c>
      <c r="L9" s="690">
        <f ca="1">'Personal Income Tax'!F25*0
+IF('Personal Income Tax'!N25&lt;0,-'Personal Income Tax'!N25*'Personal Income Tax'!N19,0)</f>
        <v>0</v>
      </c>
      <c r="M9" s="691">
        <f t="shared" ca="1" si="5"/>
        <v>0</v>
      </c>
      <c r="N9" s="690">
        <f ca="1">'Personal Income Tax'!G25*0
+IF('Personal Income Tax'!O25&lt;0,-'Personal Income Tax'!O25*'Personal Income Tax'!O19,0)</f>
        <v>0</v>
      </c>
      <c r="O9" s="691">
        <f t="shared" ca="1" si="6"/>
        <v>0</v>
      </c>
    </row>
    <row r="10" spans="1:15" ht="16.5" customHeight="1">
      <c r="A10" s="1410" t="str">
        <f>'Balance Sheet Statements (EU)'!A18</f>
        <v>Receivable subsidies</v>
      </c>
      <c r="B10" s="690">
        <f>'Current Asset Invest.'!G23</f>
        <v>0</v>
      </c>
      <c r="C10" s="691">
        <f t="shared" ca="1" si="0"/>
        <v>0</v>
      </c>
      <c r="D10" s="690">
        <f>+'Current Asset Invest.'!I23</f>
        <v>0</v>
      </c>
      <c r="E10" s="691">
        <f t="shared" ca="1" si="1"/>
        <v>0</v>
      </c>
      <c r="F10" s="690">
        <f>Funding!E19</f>
        <v>0</v>
      </c>
      <c r="G10" s="691">
        <f t="shared" ca="1" si="2"/>
        <v>0</v>
      </c>
      <c r="H10" s="690">
        <f>Funding!F19</f>
        <v>0</v>
      </c>
      <c r="I10" s="691">
        <f t="shared" ca="1" si="3"/>
        <v>0</v>
      </c>
      <c r="J10" s="690">
        <f>Funding!G19</f>
        <v>0</v>
      </c>
      <c r="K10" s="691">
        <f t="shared" ca="1" si="4"/>
        <v>0</v>
      </c>
      <c r="L10" s="690">
        <f>Funding!H19</f>
        <v>0</v>
      </c>
      <c r="M10" s="691">
        <f t="shared" ca="1" si="5"/>
        <v>0</v>
      </c>
      <c r="N10" s="690">
        <f>Funding!H19*0</f>
        <v>0</v>
      </c>
      <c r="O10" s="691">
        <f t="shared" ca="1" si="6"/>
        <v>0</v>
      </c>
    </row>
    <row r="11" spans="1:15" ht="16.5" customHeight="1">
      <c r="A11" s="1410" t="str">
        <f>'Balance Sheet Statements (EU)'!A17</f>
        <v>Defaulted trade credits</v>
      </c>
      <c r="B11" s="690">
        <v>0</v>
      </c>
      <c r="C11" s="691">
        <f t="shared" ca="1" si="0"/>
        <v>0</v>
      </c>
      <c r="D11" s="690">
        <v>0</v>
      </c>
      <c r="E11" s="691">
        <f t="shared" ca="1" si="1"/>
        <v>0</v>
      </c>
      <c r="F11" s="690">
        <f ca="1">'Collections &amp; Payments 0'!S31</f>
        <v>0</v>
      </c>
      <c r="G11" s="691">
        <f t="shared" ca="1" si="2"/>
        <v>0</v>
      </c>
      <c r="H11" s="690">
        <f ca="1">'Collections &amp; Payments 1'!S31</f>
        <v>0</v>
      </c>
      <c r="I11" s="691">
        <f t="shared" ca="1" si="3"/>
        <v>0</v>
      </c>
      <c r="J11" s="690">
        <f ca="1">'Collections &amp; Payments 2'!S31</f>
        <v>0</v>
      </c>
      <c r="K11" s="691">
        <f t="shared" ca="1" si="4"/>
        <v>0</v>
      </c>
      <c r="L11" s="690">
        <f ca="1">'Collections &amp; Payments 3'!S31</f>
        <v>0</v>
      </c>
      <c r="M11" s="691">
        <f t="shared" ca="1" si="5"/>
        <v>0</v>
      </c>
      <c r="N11" s="690">
        <f ca="1">'Collections &amp; Payments 4'!S31</f>
        <v>0</v>
      </c>
      <c r="O11" s="691">
        <f t="shared" ca="1" si="6"/>
        <v>0</v>
      </c>
    </row>
    <row r="12" spans="1:15" ht="16.5" customHeight="1">
      <c r="A12" s="1410" t="str">
        <f>'Balance Sheet Statements (EU)'!A16</f>
        <v>Trade creditors (debtors)</v>
      </c>
      <c r="B12" s="690">
        <f>'Current Asset Invest.'!G24</f>
        <v>0</v>
      </c>
      <c r="C12" s="691">
        <f t="shared" ca="1" si="0"/>
        <v>0</v>
      </c>
      <c r="D12" s="690">
        <f>'Current Asset Invest.'!G24</f>
        <v>0</v>
      </c>
      <c r="E12" s="691">
        <f t="shared" ca="1" si="1"/>
        <v>0</v>
      </c>
      <c r="F12" s="690">
        <f ca="1">'Collections &amp; Payments 0'!S30+'Current Asset Invest.'!G24     -'Unusual payments &amp; Collections'!N11*0
-('Cash Flow 0'!O7-'Current Asset Invest.'!I23)</f>
        <v>0</v>
      </c>
      <c r="G12" s="691">
        <f t="shared" ca="1" si="2"/>
        <v>0</v>
      </c>
      <c r="H12" s="690">
        <f ca="1">'Collections &amp; Payments 1'!S30</f>
        <v>0</v>
      </c>
      <c r="I12" s="691">
        <f t="shared" ca="1" si="3"/>
        <v>0</v>
      </c>
      <c r="J12" s="690">
        <f ca="1">'Collections &amp; Payments 2'!S30</f>
        <v>0</v>
      </c>
      <c r="K12" s="691">
        <f t="shared" ca="1" si="4"/>
        <v>0</v>
      </c>
      <c r="L12" s="690">
        <f ca="1">'Collections &amp; Payments 3'!S30</f>
        <v>0</v>
      </c>
      <c r="M12" s="691">
        <f t="shared" ca="1" si="5"/>
        <v>0</v>
      </c>
      <c r="N12" s="690">
        <f ca="1">'Collections &amp; Payments 4'!S30</f>
        <v>0</v>
      </c>
      <c r="O12" s="691">
        <f t="shared" ca="1" si="6"/>
        <v>0</v>
      </c>
    </row>
    <row r="13" spans="1:15" ht="16.5" customHeight="1">
      <c r="A13" s="1410" t="str">
        <f>'Balance Sheet Statements (EU)'!A15</f>
        <v>Stockage</v>
      </c>
      <c r="B13" s="690">
        <f ca="1">'Current Asset Invest.'!G11</f>
        <v>0</v>
      </c>
      <c r="C13" s="691">
        <f t="shared" ca="1" si="0"/>
        <v>0</v>
      </c>
      <c r="D13" s="690">
        <f ca="1">'Current Asset Invest.'!I11</f>
        <v>0</v>
      </c>
      <c r="E13" s="691">
        <f t="shared" ca="1" si="1"/>
        <v>0</v>
      </c>
      <c r="F13" s="690">
        <f ca="1">($D13-'Current Asset Invest.'!G15)+SUM('DC Distr 1'!B85:M85)</f>
        <v>0</v>
      </c>
      <c r="G13" s="691">
        <f t="shared" ca="1" si="2"/>
        <v>0</v>
      </c>
      <c r="H13" s="690">
        <f ca="1">(F13-SUM('DC Distr 1'!B85:M85))+SUM('DC Distr 2'!B85:M85)+SUM('Current Asset Invest.'!C39:C41)</f>
        <v>0</v>
      </c>
      <c r="I13" s="691">
        <f t="shared" ca="1" si="3"/>
        <v>0</v>
      </c>
      <c r="J13" s="690">
        <f ca="1">(H13-SUM('DC Distr 2'!B85:M85))+SUM('DC Distr 3'!B85:M85)+SUM('Current Asset Invest.'!D39:D41)</f>
        <v>0</v>
      </c>
      <c r="K13" s="691">
        <f t="shared" ca="1" si="4"/>
        <v>0</v>
      </c>
      <c r="L13" s="690">
        <f ca="1">(J13-SUM('DC Distr 3'!B85:M85))+SUM('DC Distr 4'!B85:M85)+SUM('Current Asset Invest.'!E39:E41)</f>
        <v>0</v>
      </c>
      <c r="M13" s="691">
        <f t="shared" ca="1" si="5"/>
        <v>0</v>
      </c>
      <c r="N13" s="690">
        <f ca="1">(L13-SUM('DC Distr 4'!B85:M85))+SUM('DC Distr 5'!B85:M85)+SUM('Current Asset Invest.'!F39:F41)</f>
        <v>0</v>
      </c>
      <c r="O13" s="691">
        <f t="shared" ca="1" si="6"/>
        <v>0</v>
      </c>
    </row>
    <row r="14" spans="1:15" ht="16.5" customHeight="1">
      <c r="A14" s="1410" t="str">
        <f>'Balance Sheet Statements (EU)'!A14</f>
        <v>Short Term Financial assets</v>
      </c>
      <c r="B14" s="690">
        <f>'Current Asset Invest.'!G7</f>
        <v>0</v>
      </c>
      <c r="C14" s="691">
        <f t="shared" ca="1" si="0"/>
        <v>0</v>
      </c>
      <c r="D14" s="690">
        <f>'Current Asset Invest.'!I7</f>
        <v>0</v>
      </c>
      <c r="E14" s="691">
        <f t="shared" ca="1" si="1"/>
        <v>0</v>
      </c>
      <c r="F14" s="690">
        <f>D14</f>
        <v>0</v>
      </c>
      <c r="G14" s="691">
        <f t="shared" ca="1" si="2"/>
        <v>0</v>
      </c>
      <c r="H14" s="690">
        <f>F14+'Current Asset Invest.'!C36</f>
        <v>0</v>
      </c>
      <c r="I14" s="691">
        <f t="shared" ca="1" si="3"/>
        <v>0</v>
      </c>
      <c r="J14" s="690">
        <f>H14+'Current Asset Invest.'!D36</f>
        <v>0</v>
      </c>
      <c r="K14" s="691">
        <f t="shared" ca="1" si="4"/>
        <v>0</v>
      </c>
      <c r="L14" s="690">
        <f>J14+'Current Asset Invest.'!E36</f>
        <v>0</v>
      </c>
      <c r="M14" s="691">
        <f t="shared" ca="1" si="5"/>
        <v>0</v>
      </c>
      <c r="N14" s="690">
        <f>L14+'Current Asset Invest.'!F36</f>
        <v>0</v>
      </c>
      <c r="O14" s="691">
        <f t="shared" ca="1" si="6"/>
        <v>0</v>
      </c>
    </row>
    <row r="15" spans="1:15">
      <c r="A15" s="2567"/>
      <c r="B15" s="2635"/>
      <c r="C15" s="2636"/>
      <c r="D15" s="2635"/>
      <c r="E15" s="2636"/>
      <c r="F15" s="2637"/>
      <c r="G15" s="2638"/>
      <c r="H15" s="2637"/>
      <c r="I15" s="2638"/>
      <c r="J15" s="2637"/>
      <c r="K15" s="2638"/>
      <c r="L15" s="2637"/>
      <c r="M15" s="2638"/>
      <c r="N15" s="2637"/>
      <c r="O15" s="2638"/>
    </row>
    <row r="16" spans="1:15" s="48" customFormat="1" ht="16.5" customHeight="1">
      <c r="A16" s="1630" t="str">
        <f>'Balance Sheet Statements (EU)'!A5</f>
        <v>Non Current Assets</v>
      </c>
      <c r="B16" s="2639">
        <f>SUM(B17:B22)</f>
        <v>0</v>
      </c>
      <c r="C16" s="2570">
        <f t="shared" ref="C16:C22" ca="1" si="7">IFERROR(B16/B$24,0)</f>
        <v>0</v>
      </c>
      <c r="D16" s="2639">
        <f>SUM(D17:D22)</f>
        <v>0</v>
      </c>
      <c r="E16" s="2570">
        <f ca="1">D16/D$24</f>
        <v>0</v>
      </c>
      <c r="F16" s="2639">
        <f>SUM(F17:F22)</f>
        <v>0</v>
      </c>
      <c r="G16" s="2570">
        <f ca="1">F16/F$24</f>
        <v>0</v>
      </c>
      <c r="H16" s="2639">
        <f>SUM(H17:H22)</f>
        <v>0</v>
      </c>
      <c r="I16" s="2570">
        <f ca="1">H16/H$24</f>
        <v>0</v>
      </c>
      <c r="J16" s="2639">
        <f>SUM(J17:J22)</f>
        <v>0</v>
      </c>
      <c r="K16" s="2570">
        <f ca="1">J16/J$24</f>
        <v>0</v>
      </c>
      <c r="L16" s="2639">
        <f>SUM(L17:L22)</f>
        <v>0</v>
      </c>
      <c r="M16" s="2570">
        <f ca="1">L16/L$24</f>
        <v>0</v>
      </c>
      <c r="N16" s="2639">
        <f>SUM(N17:N22)</f>
        <v>0</v>
      </c>
      <c r="O16" s="2570">
        <f ca="1">N16/N$24</f>
        <v>0</v>
      </c>
    </row>
    <row r="17" spans="1:15" ht="16.5" customHeight="1">
      <c r="A17" s="1410" t="str">
        <f>'Balance Sheet Statements (EU)'!A11</f>
        <v>Long Term Financial Assets</v>
      </c>
      <c r="B17" s="690">
        <f>'Prev. Initial Balance'!D18</f>
        <v>0</v>
      </c>
      <c r="C17" s="691">
        <f t="shared" ca="1" si="7"/>
        <v>0</v>
      </c>
      <c r="D17" s="690">
        <f>'Initial Expenses'!B26</f>
        <v>0</v>
      </c>
      <c r="E17" s="691">
        <f ca="1">D17/D$24</f>
        <v>0</v>
      </c>
      <c r="F17" s="690">
        <f>D17
-'Fixed Expenses Data'!$B$21*IF(mes0+'Fixed Expenses Data'!C33&lt;=12,'Fixed Expenses Data'!C33,12-mes0+1)</f>
        <v>0</v>
      </c>
      <c r="G17" s="691">
        <f ca="1">F17/F$24</f>
        <v>0</v>
      </c>
      <c r="H17" s="690">
        <f>F17
-'Fixed Expenses Data'!B21*IF(mes0+'Fixed Expenses Data'!C33&lt;=12,0,mes0+'Fixed Expenses Data'!C33-12)</f>
        <v>0</v>
      </c>
      <c r="I17" s="691">
        <f ca="1">H17/H$24</f>
        <v>0</v>
      </c>
      <c r="J17" s="690">
        <f>H17</f>
        <v>0</v>
      </c>
      <c r="K17" s="691">
        <f ca="1">J17/J$24</f>
        <v>0</v>
      </c>
      <c r="L17" s="690">
        <f>J17</f>
        <v>0</v>
      </c>
      <c r="M17" s="691">
        <f ca="1">L17/L$24</f>
        <v>0</v>
      </c>
      <c r="N17" s="690">
        <f>L17</f>
        <v>0</v>
      </c>
      <c r="O17" s="691">
        <f ca="1">N17/N$24</f>
        <v>0</v>
      </c>
    </row>
    <row r="18" spans="1:15" ht="16.5" customHeight="1">
      <c r="A18" s="1410" t="str">
        <f>'Balance Sheet Statements (EU)'!A8</f>
        <v>Accumulated amortizations</v>
      </c>
      <c r="B18" s="690">
        <v>0</v>
      </c>
      <c r="C18" s="691">
        <f t="shared" ca="1" si="7"/>
        <v>0</v>
      </c>
      <c r="D18" s="690">
        <f>-Amortizations!C6-'NCA Initial Invest.'!E63</f>
        <v>0</v>
      </c>
      <c r="E18" s="691">
        <f ca="1">D18/D$24</f>
        <v>0</v>
      </c>
      <c r="F18" s="690">
        <f>D18-Amortizations!D28-Amortizations!D39</f>
        <v>0</v>
      </c>
      <c r="G18" s="691">
        <f ca="1">F18/F$24</f>
        <v>0</v>
      </c>
      <c r="H18" s="690">
        <f>F18-Amortizations!E28-Amortizations!E39</f>
        <v>0</v>
      </c>
      <c r="I18" s="691">
        <f ca="1">H18/H$24</f>
        <v>0</v>
      </c>
      <c r="J18" s="690">
        <f>H18-Amortizations!F28-Amortizations!F39</f>
        <v>0</v>
      </c>
      <c r="K18" s="691">
        <f ca="1">J18/J$24</f>
        <v>0</v>
      </c>
      <c r="L18" s="690">
        <f>J18-Amortizations!G28-Amortizations!G39</f>
        <v>0</v>
      </c>
      <c r="M18" s="691">
        <f ca="1">L18/L$24</f>
        <v>0</v>
      </c>
      <c r="N18" s="690">
        <f>L18-Amortizations!H28-Amortizations!H39</f>
        <v>0</v>
      </c>
      <c r="O18" s="691">
        <f ca="1">N18/N$24</f>
        <v>0</v>
      </c>
    </row>
    <row r="19" spans="1:15" ht="16.5" customHeight="1">
      <c r="A19" s="1410" t="str">
        <f>'Balance Sheet Statements (EU)'!A7</f>
        <v>Intangible / Non Material Assets</v>
      </c>
      <c r="B19" s="690">
        <f>'Prev. Initial Balance'!D10</f>
        <v>0</v>
      </c>
      <c r="C19" s="691">
        <f t="shared" ca="1" si="7"/>
        <v>0</v>
      </c>
      <c r="D19" s="690">
        <f>'NCA Initial Invest.'!B63</f>
        <v>0</v>
      </c>
      <c r="E19" s="691">
        <f ca="1">D19/D$24</f>
        <v>0</v>
      </c>
      <c r="F19" s="690">
        <f>D19</f>
        <v>0</v>
      </c>
      <c r="G19" s="691">
        <f ca="1">F19/F$24</f>
        <v>0</v>
      </c>
      <c r="H19" s="690">
        <f>F19+Amortizations!E17</f>
        <v>0</v>
      </c>
      <c r="I19" s="691">
        <f ca="1">H19/H$24</f>
        <v>0</v>
      </c>
      <c r="J19" s="690">
        <f>H19+Amortizations!F17</f>
        <v>0</v>
      </c>
      <c r="K19" s="691">
        <f ca="1">J19/J$24</f>
        <v>0</v>
      </c>
      <c r="L19" s="690">
        <f>J19+Amortizations!G17</f>
        <v>0</v>
      </c>
      <c r="M19" s="691">
        <f ca="1">L19/L$24</f>
        <v>0</v>
      </c>
      <c r="N19" s="690">
        <f>L19+Amortizations!H17</f>
        <v>0</v>
      </c>
      <c r="O19" s="691">
        <f ca="1">N19/N$24</f>
        <v>0</v>
      </c>
    </row>
    <row r="20" spans="1:15" s="1565" customFormat="1" ht="16.5" hidden="1" customHeight="1">
      <c r="A20" s="1607" t="s">
        <v>50</v>
      </c>
      <c r="B20" s="690"/>
      <c r="C20" s="691">
        <f t="shared" ca="1" si="7"/>
        <v>0</v>
      </c>
      <c r="D20" s="690">
        <f>'Initial Expenses'!B12*0</f>
        <v>0</v>
      </c>
      <c r="E20" s="691">
        <f ca="1">D20/D$24</f>
        <v>0</v>
      </c>
      <c r="F20" s="1567">
        <f>D20</f>
        <v>0</v>
      </c>
      <c r="G20" s="1568">
        <f ca="1">F20/F$24</f>
        <v>0</v>
      </c>
      <c r="H20" s="1567">
        <f>F20</f>
        <v>0</v>
      </c>
      <c r="I20" s="1568">
        <f ca="1">H20/H$24</f>
        <v>0</v>
      </c>
      <c r="J20" s="1567">
        <f>H20</f>
        <v>0</v>
      </c>
      <c r="K20" s="1568">
        <f ca="1">J20/J$24</f>
        <v>0</v>
      </c>
      <c r="L20" s="1567">
        <f>J20</f>
        <v>0</v>
      </c>
      <c r="M20" s="1568">
        <f ca="1">L20/L$24</f>
        <v>0</v>
      </c>
      <c r="N20" s="1567">
        <f>L20</f>
        <v>0</v>
      </c>
      <c r="O20" s="1568">
        <f ca="1">N20/N$24</f>
        <v>0</v>
      </c>
    </row>
    <row r="21" spans="1:15" s="1551" customFormat="1" ht="16.5" hidden="1" customHeight="1">
      <c r="A21" s="1608" t="s">
        <v>51</v>
      </c>
      <c r="B21" s="690"/>
      <c r="C21" s="691">
        <f t="shared" ca="1" si="7"/>
        <v>0</v>
      </c>
      <c r="D21" s="690">
        <f>+'Initial Expenses'!B20*0</f>
        <v>0</v>
      </c>
      <c r="E21" s="691"/>
      <c r="F21" s="1552">
        <f>D21</f>
        <v>0</v>
      </c>
      <c r="G21" s="1553"/>
      <c r="H21" s="1552">
        <f>F21</f>
        <v>0</v>
      </c>
      <c r="I21" s="1553"/>
      <c r="J21" s="1552">
        <f>H21</f>
        <v>0</v>
      </c>
      <c r="K21" s="1553"/>
      <c r="L21" s="1552">
        <f>J21</f>
        <v>0</v>
      </c>
      <c r="M21" s="1553"/>
      <c r="N21" s="1552">
        <f>L21</f>
        <v>0</v>
      </c>
      <c r="O21" s="1553"/>
    </row>
    <row r="22" spans="1:15" ht="16.5" customHeight="1">
      <c r="A22" s="1410" t="str">
        <f>'Balance Sheet Statements (EU)'!A6</f>
        <v>Material Fixed Assets</v>
      </c>
      <c r="B22" s="690">
        <f>'Prev. Initial Balance'!D12+'Prev. Initial Balance'!D14</f>
        <v>0</v>
      </c>
      <c r="C22" s="691">
        <f t="shared" ca="1" si="7"/>
        <v>0</v>
      </c>
      <c r="D22" s="690">
        <f>Amortizations!B6</f>
        <v>0</v>
      </c>
      <c r="E22" s="691">
        <f ca="1">D22/D$24</f>
        <v>0</v>
      </c>
      <c r="F22" s="690">
        <f>D22</f>
        <v>0</v>
      </c>
      <c r="G22" s="691">
        <f ca="1">F22/F$24</f>
        <v>0</v>
      </c>
      <c r="H22" s="690">
        <f>F22+Amortizations!E6</f>
        <v>0</v>
      </c>
      <c r="I22" s="691">
        <f ca="1">H22/H$24</f>
        <v>0</v>
      </c>
      <c r="J22" s="690">
        <f>H22+Amortizations!F6</f>
        <v>0</v>
      </c>
      <c r="K22" s="691">
        <f ca="1">J22/J$24</f>
        <v>0</v>
      </c>
      <c r="L22" s="690">
        <f>J22+Amortizations!G6</f>
        <v>0</v>
      </c>
      <c r="M22" s="691">
        <f ca="1">L22/L$24</f>
        <v>0</v>
      </c>
      <c r="N22" s="690">
        <f>L22+Amortizations!H6</f>
        <v>0</v>
      </c>
      <c r="O22" s="691">
        <f ca="1">N22/N$24</f>
        <v>0</v>
      </c>
    </row>
    <row r="23" spans="1:15" ht="16.5" customHeight="1" thickBot="1">
      <c r="A23" s="2571"/>
      <c r="B23" s="2572"/>
      <c r="C23" s="2573"/>
      <c r="D23" s="2572"/>
      <c r="E23" s="2573"/>
      <c r="F23" s="2574"/>
      <c r="G23" s="2575"/>
      <c r="H23" s="2574"/>
      <c r="I23" s="2575"/>
      <c r="J23" s="2574"/>
      <c r="K23" s="2575"/>
      <c r="L23" s="2574"/>
      <c r="M23" s="2575"/>
      <c r="N23" s="2574"/>
      <c r="O23" s="2575"/>
    </row>
    <row r="24" spans="1:15" s="48" customFormat="1" ht="21" customHeight="1" thickBot="1">
      <c r="A24" s="1621" t="str">
        <f>'Balance Sheet Statements (EU)'!A24</f>
        <v>Total Assets</v>
      </c>
      <c r="B24" s="1617">
        <f t="shared" ref="B24:O24" ca="1" si="8">B16+B5</f>
        <v>0</v>
      </c>
      <c r="C24" s="1618">
        <f ca="1">C16+C5</f>
        <v>0</v>
      </c>
      <c r="D24" s="1617">
        <f t="shared" ca="1" si="8"/>
        <v>2335</v>
      </c>
      <c r="E24" s="1618">
        <f t="shared" ca="1" si="8"/>
        <v>1</v>
      </c>
      <c r="F24" s="1619">
        <f t="shared" ca="1" si="8"/>
        <v>-6756.8779999999988</v>
      </c>
      <c r="G24" s="1620">
        <f t="shared" ca="1" si="8"/>
        <v>1</v>
      </c>
      <c r="H24" s="1619">
        <f t="shared" ca="1" si="8"/>
        <v>-12108.752120000003</v>
      </c>
      <c r="I24" s="1620">
        <f t="shared" ca="1" si="8"/>
        <v>1</v>
      </c>
      <c r="J24" s="1619">
        <f t="shared" ca="1" si="8"/>
        <v>-17183.992667300008</v>
      </c>
      <c r="K24" s="1620">
        <f t="shared" ca="1" si="8"/>
        <v>1</v>
      </c>
      <c r="L24" s="1619">
        <f t="shared" ca="1" si="8"/>
        <v>-21941.566436814501</v>
      </c>
      <c r="M24" s="1620">
        <f t="shared" ca="1" si="8"/>
        <v>1</v>
      </c>
      <c r="N24" s="1619">
        <f t="shared" ca="1" si="8"/>
        <v>-26337.283433767447</v>
      </c>
      <c r="O24" s="1620">
        <f t="shared" ca="1" si="8"/>
        <v>1</v>
      </c>
    </row>
    <row r="25" spans="1:15" ht="15.75" thickBot="1">
      <c r="A25" s="677"/>
      <c r="B25" s="683"/>
      <c r="C25" s="684"/>
      <c r="D25" s="683"/>
      <c r="E25" s="684"/>
      <c r="F25" s="683"/>
      <c r="G25" s="692"/>
      <c r="H25" s="683"/>
      <c r="I25" s="692"/>
      <c r="J25" s="683"/>
      <c r="K25" s="692"/>
      <c r="L25" s="683"/>
      <c r="M25" s="692"/>
      <c r="N25" s="683"/>
      <c r="O25" s="692"/>
    </row>
    <row r="26" spans="1:15" s="48" customFormat="1" ht="18" customHeight="1">
      <c r="A26" s="1630" t="str">
        <f>'Balance Sheet Statements (EU)'!A37</f>
        <v>Short Term Liabilities</v>
      </c>
      <c r="B26" s="1622">
        <f>SUM(B27:B32)</f>
        <v>0</v>
      </c>
      <c r="C26" s="1625">
        <f t="shared" ref="C26:C32" si="9">IFERROR(B26/B$47,0)</f>
        <v>0</v>
      </c>
      <c r="D26" s="1622">
        <f ca="1">SUM(D27:D32)</f>
        <v>0</v>
      </c>
      <c r="E26" s="1625">
        <f t="shared" ref="E26:E32" ca="1" si="10">D26/D$47</f>
        <v>0</v>
      </c>
      <c r="F26" s="1622">
        <f ca="1">SUM(F27:F32)</f>
        <v>184.84199999999998</v>
      </c>
      <c r="G26" s="1625">
        <f t="shared" ref="G26:G32" ca="1" si="11">F26/F$47</f>
        <v>-2.7356125121690816E-2</v>
      </c>
      <c r="H26" s="1622">
        <f ca="1">SUM(H27:H32)</f>
        <v>187.78787999999997</v>
      </c>
      <c r="I26" s="1625">
        <f t="shared" ref="I26:I32" ca="1" si="12">H26/H$47</f>
        <v>-1.5508442004509378E-2</v>
      </c>
      <c r="J26" s="1622">
        <f ca="1">SUM(J27:J32)</f>
        <v>203.10890669999998</v>
      </c>
      <c r="K26" s="1625">
        <f t="shared" ref="K26:K32" ca="1" si="13">J26/J$47</f>
        <v>-1.1819657435405147E-2</v>
      </c>
      <c r="L26" s="1622">
        <f ca="1">SUM(L27:L32)</f>
        <v>219.77907026669999</v>
      </c>
      <c r="M26" s="1625">
        <f t="shared" ref="M26:M32" ca="1" si="14">L26/L$47</f>
        <v>-1.0016562440954318E-2</v>
      </c>
      <c r="N26" s="1622">
        <f ca="1">SUM(N27:N32)</f>
        <v>237.677865666066</v>
      </c>
      <c r="O26" s="1625">
        <f t="shared" ref="O26:O32" ca="1" si="15">N26/N$47</f>
        <v>-9.0243880415295831E-3</v>
      </c>
    </row>
    <row r="27" spans="1:15" ht="18" customHeight="1">
      <c r="A27" s="1410" t="str">
        <f>'Balance Sheet Statements (EU)'!A43</f>
        <v>Other Short Term Payables</v>
      </c>
      <c r="B27" s="690">
        <f>'Initial Funding'!B23+'Initial Funding'!B24</f>
        <v>0</v>
      </c>
      <c r="C27" s="691">
        <f t="shared" si="9"/>
        <v>0</v>
      </c>
      <c r="D27" s="690">
        <f>'Initial Funding'!D30</f>
        <v>0</v>
      </c>
      <c r="E27" s="691">
        <f t="shared" ca="1" si="10"/>
        <v>0</v>
      </c>
      <c r="F27" s="690">
        <f>D27</f>
        <v>0</v>
      </c>
      <c r="G27" s="691">
        <f t="shared" ca="1" si="11"/>
        <v>0</v>
      </c>
      <c r="H27" s="690">
        <f>F27</f>
        <v>0</v>
      </c>
      <c r="I27" s="691">
        <f t="shared" ca="1" si="12"/>
        <v>0</v>
      </c>
      <c r="J27" s="690">
        <f>H27</f>
        <v>0</v>
      </c>
      <c r="K27" s="691">
        <f t="shared" ca="1" si="13"/>
        <v>0</v>
      </c>
      <c r="L27" s="690">
        <f>J27</f>
        <v>0</v>
      </c>
      <c r="M27" s="691">
        <f t="shared" ca="1" si="14"/>
        <v>0</v>
      </c>
      <c r="N27" s="690">
        <f>L27</f>
        <v>0</v>
      </c>
      <c r="O27" s="691">
        <f t="shared" ca="1" si="15"/>
        <v>0</v>
      </c>
    </row>
    <row r="28" spans="1:15" ht="18" customHeight="1">
      <c r="A28" s="1410" t="str">
        <f>'Balance Sheet Statements (EU)'!A42</f>
        <v xml:space="preserve">Public Treasury C.I.T Payable </v>
      </c>
      <c r="B28" s="690">
        <f>'Initial Funding'!B25</f>
        <v>0</v>
      </c>
      <c r="C28" s="691">
        <f t="shared" si="9"/>
        <v>0</v>
      </c>
      <c r="D28" s="690">
        <f>'Initial Funding'!B29</f>
        <v>0</v>
      </c>
      <c r="E28" s="691">
        <f t="shared" ca="1" si="10"/>
        <v>0</v>
      </c>
      <c r="F28" s="690">
        <f ca="1">'Corporate Income Tax'!B15
+'Personal Income Tax Calc.'!N13
+IF('Personal Income Tax'!K25&gt;0,'Personal Income Tax'!K25*'Personal Income Tax'!K19,0)</f>
        <v>0</v>
      </c>
      <c r="G28" s="691">
        <f t="shared" ca="1" si="11"/>
        <v>0</v>
      </c>
      <c r="H28" s="690">
        <f ca="1">'Corporate Income Tax'!D15
+'Personal Income Tax Calc.'!N22
+IF('Personal Income Tax'!L25&gt;0,'Personal Income Tax'!L25*'Personal Income Tax'!L19,0)</f>
        <v>0</v>
      </c>
      <c r="I28" s="691">
        <f t="shared" ca="1" si="12"/>
        <v>0</v>
      </c>
      <c r="J28" s="690">
        <f ca="1">'Corporate Income Tax'!G15
+'Personal Income Tax Calc.'!N31
+IF('Personal Income Tax'!M25&gt;0,'Personal Income Tax'!M25*'Personal Income Tax'!M19,0)</f>
        <v>0</v>
      </c>
      <c r="K28" s="691">
        <f t="shared" ca="1" si="13"/>
        <v>0</v>
      </c>
      <c r="L28" s="690">
        <f ca="1">'Corporate Income Tax'!J15
+'Personal Income Tax Calc.'!N40
+IF('Personal Income Tax'!N25&gt;0,'Personal Income Tax'!N25*'Personal Income Tax'!N19,0)</f>
        <v>0</v>
      </c>
      <c r="M28" s="691">
        <f t="shared" ca="1" si="14"/>
        <v>0</v>
      </c>
      <c r="N28" s="690">
        <f ca="1">'Corporate Income Tax'!M15
+'Personal Income Tax Calc.'!N49
+IF('Personal Income Tax'!O25&gt;0,'Personal Income Tax'!O25*'Personal Income Tax'!O19,0)</f>
        <v>0</v>
      </c>
      <c r="O28" s="691">
        <f t="shared" ca="1" si="15"/>
        <v>0</v>
      </c>
    </row>
    <row r="29" spans="1:15" ht="18" customHeight="1">
      <c r="A29" s="1410" t="str">
        <f>'Balance Sheet Statements (EU)'!A41</f>
        <v>Public Treasury VAT Payable</v>
      </c>
      <c r="B29" s="690">
        <f>'Initial Funding'!B26+'Initial Funding'!B27</f>
        <v>0</v>
      </c>
      <c r="C29" s="691">
        <f t="shared" si="9"/>
        <v>0</v>
      </c>
      <c r="D29" s="690">
        <f>'Initial Funding'!B28</f>
        <v>0</v>
      </c>
      <c r="E29" s="691">
        <f t="shared" ca="1" si="10"/>
        <v>0</v>
      </c>
      <c r="F29" s="690">
        <f ca="1">+'VAT 0'!$O$24</f>
        <v>184.84199999999998</v>
      </c>
      <c r="G29" s="691">
        <f t="shared" ca="1" si="11"/>
        <v>-2.7356125121690816E-2</v>
      </c>
      <c r="H29" s="690">
        <f ca="1">+'VAT 1'!$O$24</f>
        <v>187.78787999999997</v>
      </c>
      <c r="I29" s="691">
        <f t="shared" ca="1" si="12"/>
        <v>-1.5508442004509378E-2</v>
      </c>
      <c r="J29" s="690">
        <f ca="1">+'VAT 2'!$O$24</f>
        <v>203.10890669999998</v>
      </c>
      <c r="K29" s="691">
        <f t="shared" ca="1" si="13"/>
        <v>-1.1819657435405147E-2</v>
      </c>
      <c r="L29" s="690">
        <f ca="1">+'VAT 3'!$O$24</f>
        <v>219.77907026669999</v>
      </c>
      <c r="M29" s="691">
        <f t="shared" ca="1" si="14"/>
        <v>-1.0016562440954318E-2</v>
      </c>
      <c r="N29" s="690">
        <f ca="1">+'VAT 4'!$O$24</f>
        <v>237.677865666066</v>
      </c>
      <c r="O29" s="691">
        <f t="shared" ca="1" si="15"/>
        <v>-9.0243880415295831E-3</v>
      </c>
    </row>
    <row r="30" spans="1:15" ht="18" customHeight="1">
      <c r="A30" s="1410" t="str">
        <f>'Balance Sheet Statements (EU)'!A40</f>
        <v>Suppliers pending payments</v>
      </c>
      <c r="B30" s="690">
        <f>'Initial Funding'!B28</f>
        <v>0</v>
      </c>
      <c r="C30" s="691">
        <f t="shared" si="9"/>
        <v>0</v>
      </c>
      <c r="D30" s="690">
        <f ca="1">'Initial Funding'!B27+'Initial Funding'!C26</f>
        <v>0</v>
      </c>
      <c r="E30" s="691">
        <f t="shared" ca="1" si="10"/>
        <v>0</v>
      </c>
      <c r="F30" s="690">
        <f ca="1">'Collections &amp; Payments 0'!S57+
D30*0-'Cash Flow 0'!O21*0-'Unusual payments &amp; Collections'!N65*0</f>
        <v>0</v>
      </c>
      <c r="G30" s="691">
        <f t="shared" ca="1" si="11"/>
        <v>0</v>
      </c>
      <c r="H30" s="690">
        <f ca="1">'Collections &amp; Payments 1'!S57</f>
        <v>0</v>
      </c>
      <c r="I30" s="691">
        <f t="shared" ca="1" si="12"/>
        <v>0</v>
      </c>
      <c r="J30" s="690">
        <f ca="1">'Collections &amp; Payments 2'!S57</f>
        <v>0</v>
      </c>
      <c r="K30" s="691">
        <f t="shared" ca="1" si="13"/>
        <v>0</v>
      </c>
      <c r="L30" s="690">
        <f ca="1">'Collections &amp; Payments 3'!S57</f>
        <v>0</v>
      </c>
      <c r="M30" s="691">
        <f t="shared" ca="1" si="14"/>
        <v>0</v>
      </c>
      <c r="N30" s="690">
        <f ca="1">'Collections &amp; Payments 4'!S57</f>
        <v>0</v>
      </c>
      <c r="O30" s="691">
        <f t="shared" ca="1" si="15"/>
        <v>0</v>
      </c>
    </row>
    <row r="31" spans="1:15" ht="18" customHeight="1">
      <c r="A31" s="1410" t="str">
        <f>'Balance Sheet Statements (EU)'!A39</f>
        <v>S.T. Credit Accounts</v>
      </c>
      <c r="B31" s="690">
        <f>'Initial Funding'!B29</f>
        <v>0</v>
      </c>
      <c r="C31" s="691">
        <f t="shared" si="9"/>
        <v>0</v>
      </c>
      <c r="D31" s="690">
        <f>'Initial Funding'!B25</f>
        <v>0</v>
      </c>
      <c r="E31" s="691">
        <f t="shared" ca="1" si="10"/>
        <v>0</v>
      </c>
      <c r="F31" s="690">
        <f ca="1">+'Cash Flow 0'!N33</f>
        <v>0</v>
      </c>
      <c r="G31" s="691">
        <f t="shared" ca="1" si="11"/>
        <v>0</v>
      </c>
      <c r="H31" s="690">
        <f ca="1">+'Cash Flow 1'!N33</f>
        <v>0</v>
      </c>
      <c r="I31" s="691">
        <f t="shared" ca="1" si="12"/>
        <v>0</v>
      </c>
      <c r="J31" s="690">
        <f ca="1">+'Cash Flow 2'!N33</f>
        <v>0</v>
      </c>
      <c r="K31" s="691">
        <f t="shared" ca="1" si="13"/>
        <v>0</v>
      </c>
      <c r="L31" s="690">
        <f ca="1">+'Cash Flow 3'!N33</f>
        <v>0</v>
      </c>
      <c r="M31" s="691">
        <f t="shared" ca="1" si="14"/>
        <v>0</v>
      </c>
      <c r="N31" s="690">
        <f ca="1">+'Cash Flow 4'!N33</f>
        <v>0</v>
      </c>
      <c r="O31" s="691">
        <f t="shared" ca="1" si="15"/>
        <v>0</v>
      </c>
    </row>
    <row r="32" spans="1:15" ht="18" customHeight="1">
      <c r="A32" s="1410" t="str">
        <f>'Balance Sheet Statements (EU)'!A38</f>
        <v>Short Term Financial Payable</v>
      </c>
      <c r="B32" s="690">
        <f>'Initial Funding'!B30</f>
        <v>0</v>
      </c>
      <c r="C32" s="691">
        <f t="shared" si="9"/>
        <v>0</v>
      </c>
      <c r="D32" s="690">
        <f>'Initial Funding'!D23*0+Loans!N24+Leasing!N23</f>
        <v>0</v>
      </c>
      <c r="E32" s="691">
        <f t="shared" ca="1" si="10"/>
        <v>0</v>
      </c>
      <c r="F32" s="690">
        <f>Loans!N32+Leasing!N31-Loans!N31-Leasing!N30</f>
        <v>0</v>
      </c>
      <c r="G32" s="691">
        <f t="shared" ca="1" si="11"/>
        <v>0</v>
      </c>
      <c r="H32" s="690">
        <f>Loans!N40+Leasing!N39-Loans!N39-Leasing!N38</f>
        <v>0</v>
      </c>
      <c r="I32" s="691">
        <f t="shared" ca="1" si="12"/>
        <v>0</v>
      </c>
      <c r="J32" s="690">
        <f>Loans!N48+Leasing!N47-Loans!N47-Leasing!N46</f>
        <v>0</v>
      </c>
      <c r="K32" s="691">
        <f t="shared" ca="1" si="13"/>
        <v>0</v>
      </c>
      <c r="L32" s="690">
        <f>Loans!N56+Leasing!N55-Loans!N55-Leasing!N54</f>
        <v>0</v>
      </c>
      <c r="M32" s="691">
        <f t="shared" ca="1" si="14"/>
        <v>0</v>
      </c>
      <c r="N32" s="690">
        <f>Loans!N63+Leasing!N62</f>
        <v>0</v>
      </c>
      <c r="O32" s="691">
        <f t="shared" ca="1" si="15"/>
        <v>0</v>
      </c>
    </row>
    <row r="33" spans="1:15" ht="18" customHeight="1">
      <c r="A33" s="1732"/>
      <c r="B33" s="681"/>
      <c r="C33" s="682"/>
      <c r="D33" s="681"/>
      <c r="E33" s="682"/>
      <c r="F33" s="690"/>
      <c r="G33" s="691"/>
      <c r="H33" s="690"/>
      <c r="I33" s="691"/>
      <c r="J33" s="690"/>
      <c r="K33" s="691"/>
      <c r="L33" s="690"/>
      <c r="M33" s="691"/>
      <c r="N33" s="690"/>
      <c r="O33" s="691"/>
    </row>
    <row r="34" spans="1:15" s="48" customFormat="1" ht="18" customHeight="1">
      <c r="A34" s="1630" t="str">
        <f>'Balance Sheet Statements (EU)'!A32</f>
        <v>Long Term Liabilities</v>
      </c>
      <c r="B34" s="1624">
        <f>SUM(B35:B37)</f>
        <v>0</v>
      </c>
      <c r="C34" s="1625">
        <f>IFERROR(B34/B$47,0)</f>
        <v>0</v>
      </c>
      <c r="D34" s="1624">
        <f>SUM(D35:D37)</f>
        <v>0</v>
      </c>
      <c r="E34" s="1625">
        <f ca="1">D34/D$47</f>
        <v>0</v>
      </c>
      <c r="F34" s="1624">
        <f>SUM(F35:F37)</f>
        <v>0</v>
      </c>
      <c r="G34" s="1625">
        <f ca="1">F34/F$47</f>
        <v>0</v>
      </c>
      <c r="H34" s="1624">
        <f>SUM(H35:H37)</f>
        <v>0</v>
      </c>
      <c r="I34" s="1625">
        <f ca="1">H34/H$47</f>
        <v>0</v>
      </c>
      <c r="J34" s="1624">
        <f>SUM(J35:J37)</f>
        <v>0</v>
      </c>
      <c r="K34" s="1625">
        <f ca="1">J34/J$47</f>
        <v>0</v>
      </c>
      <c r="L34" s="1624">
        <f>SUM(L35:L37)</f>
        <v>0</v>
      </c>
      <c r="M34" s="1625">
        <f ca="1">L34/L$47</f>
        <v>0</v>
      </c>
      <c r="N34" s="1624">
        <f>SUM(N35:N37)</f>
        <v>0</v>
      </c>
      <c r="O34" s="1625">
        <f ca="1">N34/N$47</f>
        <v>0</v>
      </c>
    </row>
    <row r="35" spans="1:15" ht="18" customHeight="1">
      <c r="A35" s="1410" t="str">
        <f>'Balance Sheet Statements (EU)'!A35</f>
        <v>Other Long Term Creditors</v>
      </c>
      <c r="B35" s="690">
        <f>'Initial Funding'!B18+'Initial Funding'!B19</f>
        <v>0</v>
      </c>
      <c r="C35" s="691">
        <f>IFERROR(B35/B$47,0)</f>
        <v>0</v>
      </c>
      <c r="D35" s="690">
        <f>'Initial Funding'!B20</f>
        <v>0</v>
      </c>
      <c r="E35" s="691">
        <f ca="1">D35/D$47</f>
        <v>0</v>
      </c>
      <c r="F35" s="690">
        <f>'Initial Funding'!B20-'Unusual payments &amp; Collections'!N64</f>
        <v>0</v>
      </c>
      <c r="G35" s="691">
        <f ca="1">F35/F$47</f>
        <v>0</v>
      </c>
      <c r="H35" s="690">
        <f>F35-'Unusual payments &amp; Collections'!N74</f>
        <v>0</v>
      </c>
      <c r="I35" s="691">
        <f ca="1">H35/H$47</f>
        <v>0</v>
      </c>
      <c r="J35" s="690">
        <f>H35-'Unusual payments &amp; Collections'!N84</f>
        <v>0</v>
      </c>
      <c r="K35" s="691">
        <f ca="1">J35/J$47</f>
        <v>0</v>
      </c>
      <c r="L35" s="690">
        <f>J35-'Unusual payments &amp; Collections'!N94</f>
        <v>0</v>
      </c>
      <c r="M35" s="691">
        <f ca="1">L35/L$47</f>
        <v>0</v>
      </c>
      <c r="N35" s="690">
        <f>L35-'Unusual payments &amp; Collections'!N104</f>
        <v>0</v>
      </c>
      <c r="O35" s="691">
        <f ca="1">N35/N$47</f>
        <v>0</v>
      </c>
    </row>
    <row r="36" spans="1:15" ht="18" customHeight="1">
      <c r="A36" s="1410" t="str">
        <f>'Balance Sheet Statements (EU)'!A34</f>
        <v>Other shareholder contributions</v>
      </c>
      <c r="B36" s="690">
        <f>'Initial Funding'!B13</f>
        <v>0</v>
      </c>
      <c r="C36" s="691">
        <f>IFERROR(B36/B$47,0)</f>
        <v>0</v>
      </c>
      <c r="D36" s="690">
        <f>'Initial Funding'!D13</f>
        <v>0</v>
      </c>
      <c r="E36" s="691">
        <f ca="1">D36/D$47</f>
        <v>0</v>
      </c>
      <c r="F36" s="690">
        <f>D36</f>
        <v>0</v>
      </c>
      <c r="G36" s="691">
        <f ca="1">F36/F$47</f>
        <v>0</v>
      </c>
      <c r="H36" s="690">
        <f>F36+Funding!E17</f>
        <v>0</v>
      </c>
      <c r="I36" s="691">
        <f ca="1">H36/H$47</f>
        <v>0</v>
      </c>
      <c r="J36" s="690">
        <f>H36+Funding!F17</f>
        <v>0</v>
      </c>
      <c r="K36" s="691">
        <f ca="1">J36/J$47</f>
        <v>0</v>
      </c>
      <c r="L36" s="690">
        <f>J36+Funding!G17</f>
        <v>0</v>
      </c>
      <c r="M36" s="691">
        <f ca="1">L36/L$47</f>
        <v>0</v>
      </c>
      <c r="N36" s="690">
        <f>L36+Funding!H17</f>
        <v>0</v>
      </c>
      <c r="O36" s="691">
        <f ca="1">N36/N$47</f>
        <v>0</v>
      </c>
    </row>
    <row r="37" spans="1:15" ht="18" customHeight="1">
      <c r="A37" s="1410" t="str">
        <f>'Balance Sheet Statements (EU)'!A33</f>
        <v>Long Term Financial Creditors</v>
      </c>
      <c r="B37" s="690">
        <f>'Initial Funding'!B20</f>
        <v>0</v>
      </c>
      <c r="C37" s="691">
        <f>IFERROR(B37/B$47,0)</f>
        <v>0</v>
      </c>
      <c r="D37" s="690">
        <f>SUM(Loans!B5:D5)-D32+SUM(Leasing!B5:D5)</f>
        <v>0</v>
      </c>
      <c r="E37" s="691">
        <f ca="1">D37/D$47</f>
        <v>0</v>
      </c>
      <c r="F37" s="690">
        <f>D37-F32</f>
        <v>0</v>
      </c>
      <c r="G37" s="691">
        <f ca="1">F37/F$47</f>
        <v>0</v>
      </c>
      <c r="H37" s="690">
        <f>F37-H32+Funding!E31+Funding!E57-Loans!N31-Leasing!N30</f>
        <v>0</v>
      </c>
      <c r="I37" s="691">
        <f ca="1">H37/H$47</f>
        <v>0</v>
      </c>
      <c r="J37" s="690">
        <f>H37-J32+Funding!F31+Funding!F57-Loans!N39-Leasing!N38</f>
        <v>0</v>
      </c>
      <c r="K37" s="691">
        <f ca="1">J37/J$47</f>
        <v>0</v>
      </c>
      <c r="L37" s="690">
        <f>J37-L32+Funding!G31+Funding!G57-Loans!N47-Leasing!N46</f>
        <v>0</v>
      </c>
      <c r="M37" s="691">
        <f ca="1">L37/L$47</f>
        <v>0</v>
      </c>
      <c r="N37" s="690">
        <f>L37-N32+Funding!H31+Funding!H57-Loans!N55-Leasing!N54</f>
        <v>0</v>
      </c>
      <c r="O37" s="691">
        <f ca="1">N37/N$47</f>
        <v>0</v>
      </c>
    </row>
    <row r="38" spans="1:15" ht="18" customHeight="1">
      <c r="A38" s="2579"/>
      <c r="B38" s="2565"/>
      <c r="C38" s="2563"/>
      <c r="D38" s="2565"/>
      <c r="E38" s="2563"/>
      <c r="F38" s="2566"/>
      <c r="G38" s="2564"/>
      <c r="H38" s="2566"/>
      <c r="I38" s="2564"/>
      <c r="J38" s="2566"/>
      <c r="K38" s="2564"/>
      <c r="L38" s="2566"/>
      <c r="M38" s="2564"/>
      <c r="N38" s="2566"/>
      <c r="O38" s="2564"/>
    </row>
    <row r="39" spans="1:15" s="48" customFormat="1" ht="18" customHeight="1">
      <c r="A39" s="1630" t="str">
        <f>'Balance Sheet Statements (EU)'!A26</f>
        <v>Networth / Equity</v>
      </c>
      <c r="B39" s="2568">
        <f>SUM(B40:B43)</f>
        <v>0</v>
      </c>
      <c r="C39" s="2569">
        <f>IFERROR(B39/B$47,0)</f>
        <v>0</v>
      </c>
      <c r="D39" s="2568">
        <f>SUM(D40:D43)</f>
        <v>2335</v>
      </c>
      <c r="E39" s="2569">
        <f ca="1">D39/D$47</f>
        <v>1</v>
      </c>
      <c r="F39" s="2568">
        <f ca="1">SUM(F40:F43)</f>
        <v>-6941.7199999999993</v>
      </c>
      <c r="G39" s="2570">
        <f ca="1">F39/F$47</f>
        <v>1.0273561251216907</v>
      </c>
      <c r="H39" s="2568">
        <f ca="1">SUM(H40:H43)</f>
        <v>-12296.539999999999</v>
      </c>
      <c r="I39" s="2570">
        <f ca="1">H39/H$47</f>
        <v>1.0155084420045093</v>
      </c>
      <c r="J39" s="2568">
        <f ca="1">SUM(J40:J43)</f>
        <v>-17387.101574</v>
      </c>
      <c r="K39" s="2570">
        <f ca="1">J39/J$47</f>
        <v>1.011819657435405</v>
      </c>
      <c r="L39" s="2568">
        <f ca="1">SUM(L40:L43)</f>
        <v>-22161.345507081202</v>
      </c>
      <c r="M39" s="2570">
        <f ca="1">L39/L$47</f>
        <v>1.0100165624409543</v>
      </c>
      <c r="N39" s="2568">
        <f ca="1">SUM(N40:N43)</f>
        <v>-26574.961299433497</v>
      </c>
      <c r="O39" s="2570">
        <f ca="1">N39/N$47</f>
        <v>1.0090243880415295</v>
      </c>
    </row>
    <row r="40" spans="1:15" ht="18" customHeight="1">
      <c r="A40" s="1410" t="str">
        <f>'Balance Sheet Statements (EU)'!A30</f>
        <v>Profits pending application</v>
      </c>
      <c r="B40" s="690">
        <f>'Initial Funding'!B12</f>
        <v>0</v>
      </c>
      <c r="C40" s="691">
        <f>IFERROR(B40/B$47,0)</f>
        <v>0</v>
      </c>
      <c r="D40" s="690">
        <f>+'Initial Funding'!B12</f>
        <v>0</v>
      </c>
      <c r="E40" s="691">
        <f ca="1">D40/D$47</f>
        <v>0</v>
      </c>
      <c r="F40" s="690">
        <f ca="1">'Yearly Income St'!B29
-IF(isoc&lt;&gt;0,'Corporate Income Tax'!B15,0)
-IF(irpf&lt;&gt;0,'Personal Income Tax'!K22*'Personal Income Tax'!K19,0)</f>
        <v>-9276.7199999999993</v>
      </c>
      <c r="G40" s="691">
        <f ca="1">F40/F$47</f>
        <v>1.3729299241454411</v>
      </c>
      <c r="H40" s="690">
        <f ca="1">'Yearly Income St'!D29
-IF(isoc&lt;&gt;0,'Corporate Income Tax'!D15,0)
-IF(irpf&lt;&gt;0,'Personal Income Tax'!L22*'Personal Income Tax'!L19,0)</f>
        <v>-5354.82</v>
      </c>
      <c r="I40" s="691">
        <f ca="1">H40/H$47</f>
        <v>0.44222723753304483</v>
      </c>
      <c r="J40" s="690">
        <f ca="1">'Yearly Income St'!$G$29
-IF(isoc&lt;&gt;0,'Corporate Income Tax'!$G$15,0)
-IF(irpf&lt;&gt;0,'Personal Income Tax'!M22*'Personal Income Tax'!M19,0)</f>
        <v>-5090.561574000003</v>
      </c>
      <c r="K40" s="691">
        <f ca="1">J40/J$47</f>
        <v>0.2962385792730815</v>
      </c>
      <c r="L40" s="690">
        <f ca="1">'Yearly Income St'!$J$29
-IF(isoc&lt;&gt;0,'Corporate Income Tax'!$J$15,0)
-IF(irpf&lt;&gt;0,'Personal Income Tax'!N22*'Personal Income Tax'!N19,0)</f>
        <v>-4774.2439330812003</v>
      </c>
      <c r="M40" s="691">
        <f ca="1">L40/L$47</f>
        <v>0.21758901976436693</v>
      </c>
      <c r="N40" s="690">
        <f ca="1">'Yearly Income St'!$M$29
-IF(isoc&lt;&gt;0,'Corporate Income Tax'!$M$15,0)
-IF(irpf&lt;&gt;0,'Personal Income Tax'!O22*'Personal Income Tax'!O19,0)</f>
        <v>-4413.615792352296</v>
      </c>
      <c r="O40" s="691">
        <f ca="1">N40/N$47</f>
        <v>0.16758052528278342</v>
      </c>
    </row>
    <row r="41" spans="1:15" ht="18" customHeight="1">
      <c r="A41" s="1410" t="str">
        <f>'Balance Sheet Statements (EU)'!A29</f>
        <v>Subsidies</v>
      </c>
      <c r="B41" s="690">
        <f>'Initial Funding'!B14</f>
        <v>0</v>
      </c>
      <c r="C41" s="691">
        <f>IFERROR(B41/B$47,0)</f>
        <v>0</v>
      </c>
      <c r="D41" s="690">
        <f>'Initial Funding'!D14</f>
        <v>0</v>
      </c>
      <c r="E41" s="691">
        <f ca="1">D41/D$47</f>
        <v>0</v>
      </c>
      <c r="F41" s="690">
        <f>D41-'Income St 0'!N6+Funding!E19</f>
        <v>0</v>
      </c>
      <c r="G41" s="691">
        <f ca="1">F41/F$47</f>
        <v>0</v>
      </c>
      <c r="H41" s="690">
        <f>F41-'Income St 1'!N6+Funding!F19</f>
        <v>0</v>
      </c>
      <c r="I41" s="691">
        <f ca="1">H41/H$47</f>
        <v>0</v>
      </c>
      <c r="J41" s="690">
        <f>H41-'Income St 2'!N6+Funding!G19</f>
        <v>0</v>
      </c>
      <c r="K41" s="691">
        <f ca="1">J41/J$47</f>
        <v>0</v>
      </c>
      <c r="L41" s="690">
        <f>J41-'Income St 3'!N6+Funding!H19</f>
        <v>0</v>
      </c>
      <c r="M41" s="691">
        <f ca="1">L41/L$47</f>
        <v>0</v>
      </c>
      <c r="N41" s="690">
        <f>L41-'Income St 4'!N6</f>
        <v>0</v>
      </c>
      <c r="O41" s="691">
        <f ca="1">N41/N$47</f>
        <v>0</v>
      </c>
    </row>
    <row r="42" spans="1:15" ht="18" customHeight="1">
      <c r="A42" s="1410" t="str">
        <f>'Balance Sheet Statements (EU)'!A28</f>
        <v>Accumulated Reserves</v>
      </c>
      <c r="B42" s="690">
        <f>'Initial Funding'!B10+'Initial Funding'!B11</f>
        <v>0</v>
      </c>
      <c r="C42" s="691">
        <f>IFERROR(B42/B$47,0)</f>
        <v>0</v>
      </c>
      <c r="D42" s="690">
        <f>SUM(resprevio)-'Initial Funding'!B12
-'Initial Expenses'!B12*0</f>
        <v>-665</v>
      </c>
      <c r="E42" s="691">
        <f ca="1">D42/D$47</f>
        <v>-0.28479657387580298</v>
      </c>
      <c r="F42" s="690">
        <f>D42
+IF(isoc&lt;&gt;0,'Initial Funding'!B12,0)
+IF(AND(isoc&lt;&gt;0,D40&lt;0),D40,0)*0
+IF(irpf&lt;&gt;0,D40,0)
+IF(AND(irpf=0,isoc=0),D40,0)</f>
        <v>-665</v>
      </c>
      <c r="G42" s="691">
        <f ca="1">F42/F$47</f>
        <v>9.8418233983209411E-2</v>
      </c>
      <c r="H42" s="690">
        <f ca="1">F42
+IF(isoc&lt;&gt;0,'Corporate Income Tax'!B7+'Corporate Income Tax'!B31,0)
+IF(AND(isoc&lt;&gt;0,F40&lt;0),F40,0)
+IF(irpf&lt;&gt;0,F40,0)
+IF(AND(irpf=0,isoc=0),F40,0)</f>
        <v>-9941.7199999999993</v>
      </c>
      <c r="I42" s="691">
        <f ca="1">H42/H$47</f>
        <v>0.82103588391897808</v>
      </c>
      <c r="J42" s="690">
        <f ca="1">H42
+IF(isoc&lt;&gt;0,'Corporate Income Tax'!$D$7+'Corporate Income Tax'!$D$31,0)
+IF(AND(isoc&lt;&gt;0,H40&lt;0),H40,0)
+IF(irpf&lt;&gt;0,H40,0)
+IF(AND(irpf=0,isoc=0),H40,0)</f>
        <v>-15296.539999999999</v>
      </c>
      <c r="K42" s="691">
        <f ca="1">J42/J$47</f>
        <v>0.89016215824558054</v>
      </c>
      <c r="L42" s="690">
        <f ca="1">J42
+IF(isoc&lt;&gt;0,'Corporate Income Tax'!$G$7+'Corporate Income Tax'!$G$31,0)
+IF(AND(isoc&lt;&gt;0,J40&lt;0),J40,0)
+IF(irpf&lt;&gt;0,J40,0)
+IF(AND(irpf=0,isoc=0),J40,0)</f>
        <v>-20387.101574</v>
      </c>
      <c r="M42" s="691">
        <f ca="1">L42/L$47</f>
        <v>0.92915433511591261</v>
      </c>
      <c r="N42" s="690">
        <f ca="1">L42
+IF(isoc&lt;&gt;0,'Corporate Income Tax'!$J$7+'Corporate Income Tax'!$J$31,0)
+IF(AND(isoc&lt;&gt;0,L40&lt;0),L40,0)
+IF(irpf&lt;&gt;0,L40,0)
+IF(AND(irpf=0,isoc=0),L40,0)</f>
        <v>-25161.345507081202</v>
      </c>
      <c r="O42" s="691">
        <f ca="1">N42/N$47</f>
        <v>0.95535082691259865</v>
      </c>
    </row>
    <row r="43" spans="1:15" ht="18" customHeight="1">
      <c r="A43" s="1410" t="str">
        <f>'Balance Sheet Statements (EU)'!A27</f>
        <v>Capital Stock</v>
      </c>
      <c r="B43" s="690">
        <f>'Initial Funding'!B7+'Initial Funding'!B8</f>
        <v>0</v>
      </c>
      <c r="C43" s="691">
        <f>IFERROR(B43/B$47,0)</f>
        <v>0</v>
      </c>
      <c r="D43" s="690">
        <f>'Initial Funding'!B7+'Initial Funding'!C7
+'Initial Funding'!B8+'Initial Funding'!C8</f>
        <v>3000</v>
      </c>
      <c r="E43" s="691">
        <f ca="1">D43/D$47</f>
        <v>1.2847965738758029</v>
      </c>
      <c r="F43" s="690">
        <f>D43</f>
        <v>3000</v>
      </c>
      <c r="G43" s="691">
        <f ca="1">F43/F$47</f>
        <v>-0.44399203300695972</v>
      </c>
      <c r="H43" s="690">
        <f>F43+Funding!E14</f>
        <v>3000</v>
      </c>
      <c r="I43" s="691">
        <f ca="1">H43/H$47</f>
        <v>-0.24775467944751356</v>
      </c>
      <c r="J43" s="690">
        <f>H43+Funding!F14</f>
        <v>3000</v>
      </c>
      <c r="K43" s="691">
        <f ca="1">J43/J$47</f>
        <v>-0.17458108008325685</v>
      </c>
      <c r="L43" s="690">
        <f>J43+Funding!G14</f>
        <v>3000</v>
      </c>
      <c r="M43" s="691">
        <f ca="1">L43/L$47</f>
        <v>-0.13672679243932517</v>
      </c>
      <c r="N43" s="690">
        <f>L43+Funding!H14</f>
        <v>3000</v>
      </c>
      <c r="O43" s="691">
        <f ca="1">N43/N$47</f>
        <v>-0.1139069641538525</v>
      </c>
    </row>
    <row r="44" spans="1:15" ht="18" customHeight="1">
      <c r="A44" s="1410"/>
      <c r="B44" s="681"/>
      <c r="C44" s="682"/>
      <c r="D44" s="681"/>
      <c r="E44" s="682"/>
      <c r="F44" s="690"/>
      <c r="G44" s="691"/>
      <c r="H44" s="690"/>
      <c r="I44" s="691"/>
      <c r="J44" s="690"/>
      <c r="K44" s="691"/>
      <c r="L44" s="690"/>
      <c r="M44" s="691"/>
      <c r="N44" s="690"/>
      <c r="O44" s="691"/>
    </row>
    <row r="45" spans="1:15" s="776" customFormat="1" ht="18" customHeight="1">
      <c r="A45" s="1630" t="str">
        <f t="array" ref="A45:A47">'Balance Sheet Statements (EU)'!A44:A46</f>
        <v>Total Permanent Resources</v>
      </c>
      <c r="B45" s="1622">
        <f>B39+B34</f>
        <v>0</v>
      </c>
      <c r="C45" s="1623">
        <f>IFERROR(B45/B$47,0)</f>
        <v>0</v>
      </c>
      <c r="D45" s="1622">
        <f>D39+D34</f>
        <v>2335</v>
      </c>
      <c r="E45" s="1623">
        <f ca="1">D45/D$47</f>
        <v>1</v>
      </c>
      <c r="F45" s="1624">
        <f ca="1">F39+F34</f>
        <v>-6941.7199999999993</v>
      </c>
      <c r="G45" s="1625">
        <f ca="1">F45/F$47</f>
        <v>1.0273561251216907</v>
      </c>
      <c r="H45" s="1624">
        <f ca="1">H39+H34</f>
        <v>-12296.539999999999</v>
      </c>
      <c r="I45" s="1625">
        <f ca="1">H45/H$47</f>
        <v>1.0155084420045093</v>
      </c>
      <c r="J45" s="1624">
        <f ca="1">J39+J34</f>
        <v>-17387.101574</v>
      </c>
      <c r="K45" s="1625">
        <f ca="1">J45/J$47</f>
        <v>1.011819657435405</v>
      </c>
      <c r="L45" s="1624">
        <f ca="1">L39+L34</f>
        <v>-22161.345507081202</v>
      </c>
      <c r="M45" s="1625">
        <f ca="1">L45/L$47</f>
        <v>1.0100165624409543</v>
      </c>
      <c r="N45" s="1624">
        <f ca="1">N39+N34</f>
        <v>-26574.961299433497</v>
      </c>
      <c r="O45" s="1625">
        <f ca="1">N45/N$47</f>
        <v>1.0090243880415295</v>
      </c>
    </row>
    <row r="46" spans="1:15" s="776" customFormat="1" ht="21" customHeight="1" thickBot="1">
      <c r="A46" s="1631" t="str">
        <v>Total External Resources</v>
      </c>
      <c r="B46" s="1622">
        <f>B34+B26</f>
        <v>0</v>
      </c>
      <c r="C46" s="1625">
        <f>IFERROR(B46/B$47,0)</f>
        <v>0</v>
      </c>
      <c r="D46" s="1622">
        <f ca="1">D34+D26</f>
        <v>0</v>
      </c>
      <c r="E46" s="1625">
        <f ca="1">D46/D$47</f>
        <v>0</v>
      </c>
      <c r="F46" s="1624">
        <f ca="1">F34+F26</f>
        <v>184.84199999999998</v>
      </c>
      <c r="G46" s="1625">
        <f ca="1">F46/F$47</f>
        <v>-2.7356125121690816E-2</v>
      </c>
      <c r="H46" s="1624">
        <f ca="1">H34+H26</f>
        <v>187.78787999999997</v>
      </c>
      <c r="I46" s="1625">
        <f ca="1">H46/H$47</f>
        <v>-1.5508442004509378E-2</v>
      </c>
      <c r="J46" s="1624">
        <f ca="1">J34+J26</f>
        <v>203.10890669999998</v>
      </c>
      <c r="K46" s="1625">
        <f ca="1">J46/J$47</f>
        <v>-1.1819657435405147E-2</v>
      </c>
      <c r="L46" s="1624">
        <f ca="1">L34+L26</f>
        <v>219.77907026669999</v>
      </c>
      <c r="M46" s="1625">
        <f ca="1">L46/L$47</f>
        <v>-1.0016562440954318E-2</v>
      </c>
      <c r="N46" s="1624">
        <f ca="1">N34+N26</f>
        <v>237.677865666066</v>
      </c>
      <c r="O46" s="1625">
        <f ca="1">N46/N$47</f>
        <v>-9.0243880415295831E-3</v>
      </c>
    </row>
    <row r="47" spans="1:15" s="48" customFormat="1" ht="21" customHeight="1" thickBot="1">
      <c r="A47" s="1621" t="str">
        <v>Networth &amp; Liabilities</v>
      </c>
      <c r="B47" s="1617">
        <f>B39+B34+B26</f>
        <v>0</v>
      </c>
      <c r="C47" s="1618">
        <f>C39+C34+C26</f>
        <v>0</v>
      </c>
      <c r="D47" s="1617">
        <f t="shared" ref="D47:O47" ca="1" si="16">D39+D34+D26</f>
        <v>2335</v>
      </c>
      <c r="E47" s="1618">
        <f t="shared" ca="1" si="16"/>
        <v>1</v>
      </c>
      <c r="F47" s="1619">
        <f t="shared" ca="1" si="16"/>
        <v>-6756.8779999999997</v>
      </c>
      <c r="G47" s="1620">
        <f t="shared" ca="1" si="16"/>
        <v>0.99999999999999989</v>
      </c>
      <c r="H47" s="1619">
        <f t="shared" ca="1" si="16"/>
        <v>-12108.752119999999</v>
      </c>
      <c r="I47" s="1620">
        <f t="shared" ca="1" si="16"/>
        <v>0.99999999999999989</v>
      </c>
      <c r="J47" s="1619">
        <f t="shared" ca="1" si="16"/>
        <v>-17183.992667300001</v>
      </c>
      <c r="K47" s="1620">
        <f t="shared" ca="1" si="16"/>
        <v>0.99999999999999989</v>
      </c>
      <c r="L47" s="1619">
        <f t="shared" ca="1" si="16"/>
        <v>-21941.566436814501</v>
      </c>
      <c r="M47" s="1620">
        <f t="shared" ca="1" si="16"/>
        <v>1</v>
      </c>
      <c r="N47" s="1619">
        <f t="shared" ca="1" si="16"/>
        <v>-26337.283433767432</v>
      </c>
      <c r="O47" s="1620">
        <f t="shared" ca="1" si="16"/>
        <v>0.99999999999999989</v>
      </c>
    </row>
    <row r="48" spans="1:15" ht="15.75" thickBot="1">
      <c r="B48" s="685"/>
      <c r="C48" s="686"/>
      <c r="D48" s="685"/>
      <c r="E48" s="686"/>
      <c r="F48" s="685"/>
      <c r="G48" s="693"/>
      <c r="H48" s="685"/>
      <c r="I48" s="693"/>
      <c r="J48" s="685"/>
      <c r="K48" s="693"/>
      <c r="L48" s="685"/>
      <c r="M48" s="693"/>
      <c r="N48" s="685"/>
      <c r="O48" s="693"/>
    </row>
    <row r="49" spans="1:15" s="48" customFormat="1" ht="20.25" customHeight="1" thickBot="1">
      <c r="A49" s="1616" t="str">
        <f>'Balance Sheet Statements (EU)'!A48</f>
        <v>Net Working Capital</v>
      </c>
      <c r="B49" s="1612">
        <f>B45-B16</f>
        <v>0</v>
      </c>
      <c r="C49" s="1613">
        <f>IFERROR(B49/B$47,0)</f>
        <v>0</v>
      </c>
      <c r="D49" s="1612">
        <f>D45-D16</f>
        <v>2335</v>
      </c>
      <c r="E49" s="1613">
        <f ca="1">D49/D24</f>
        <v>1</v>
      </c>
      <c r="F49" s="1614">
        <f ca="1">F45-F16</f>
        <v>-6941.7199999999993</v>
      </c>
      <c r="G49" s="1615">
        <f ca="1">F49/F24</f>
        <v>1.0273561251216909</v>
      </c>
      <c r="H49" s="1614">
        <f ca="1">H45-H16</f>
        <v>-12296.539999999999</v>
      </c>
      <c r="I49" s="1615">
        <f ca="1">H49/H24</f>
        <v>1.0155084420045091</v>
      </c>
      <c r="J49" s="1614">
        <f ca="1">J45-J16</f>
        <v>-17387.101574</v>
      </c>
      <c r="K49" s="1615">
        <f ca="1">J49/J24</f>
        <v>1.0118196574354046</v>
      </c>
      <c r="L49" s="1614">
        <f ca="1">L45-L16</f>
        <v>-22161.345507081202</v>
      </c>
      <c r="M49" s="1615">
        <f ca="1">L49/L24</f>
        <v>1.0100165624409543</v>
      </c>
      <c r="N49" s="1614">
        <f ca="1">N45-N16</f>
        <v>-26574.961299433497</v>
      </c>
      <c r="O49" s="1615">
        <f ca="1">N49/N24</f>
        <v>1.0090243880415291</v>
      </c>
    </row>
    <row r="50" spans="1:15" ht="15.75" thickBot="1">
      <c r="B50" s="35"/>
      <c r="C50" s="678"/>
    </row>
    <row r="51" spans="1:15" s="48" customFormat="1" ht="20.25" customHeight="1" thickBot="1">
      <c r="A51" s="1809" t="str">
        <f>'Balance Sheet Statements (EU)'!A50</f>
        <v>Working Capital Requirement (WCR)</v>
      </c>
      <c r="B51" s="1612">
        <f ca="1">+B12+B11+B13-B30</f>
        <v>0</v>
      </c>
      <c r="C51" s="1613">
        <f ca="1">IFERROR(B51/B$47,0)</f>
        <v>0</v>
      </c>
      <c r="D51" s="1612">
        <f ca="1">+D12+D11+D13-D30</f>
        <v>0</v>
      </c>
      <c r="E51" s="1613">
        <f ca="1">D51/D39</f>
        <v>0</v>
      </c>
      <c r="F51" s="1612">
        <f ca="1">+F12+F11+F13-F30</f>
        <v>0</v>
      </c>
      <c r="G51" s="1615">
        <f ca="1">F51/F39</f>
        <v>0</v>
      </c>
      <c r="H51" s="1612">
        <f ca="1">+H12+H11+H13-H30</f>
        <v>0</v>
      </c>
      <c r="I51" s="1615">
        <f ca="1">H51/H39</f>
        <v>0</v>
      </c>
      <c r="J51" s="1612">
        <f ca="1">+J12+J11+J13-J30</f>
        <v>0</v>
      </c>
      <c r="K51" s="1615">
        <f ca="1">J51/J39</f>
        <v>0</v>
      </c>
      <c r="L51" s="1612">
        <f ca="1">+L12+L11+L13-L30</f>
        <v>0</v>
      </c>
      <c r="M51" s="1615">
        <f ca="1">L51/L39</f>
        <v>0</v>
      </c>
      <c r="N51" s="1612">
        <f ca="1">+N12+N11+N13-N30</f>
        <v>0</v>
      </c>
      <c r="O51" s="1615">
        <f ca="1">N51/N39</f>
        <v>0</v>
      </c>
    </row>
    <row r="52" spans="1:15">
      <c r="B52" s="35"/>
      <c r="C52" s="678"/>
    </row>
    <row r="53" spans="1:15">
      <c r="A53" s="39" t="str">
        <f>'Balance Sheet Statements (EU)'!A52</f>
        <v>All quantities expressed in €</v>
      </c>
      <c r="B53" s="39"/>
      <c r="C53" s="39"/>
      <c r="F53" s="39" t="str">
        <f>'Balance Sheet Statements (EU)'!F52</f>
        <v>% Working Capital rates are calculated over the whole Asset</v>
      </c>
    </row>
    <row r="54" spans="1:15">
      <c r="A54" s="2280"/>
      <c r="B54" s="2280"/>
      <c r="C54" s="2280"/>
      <c r="D54" s="679" t="str">
        <f ca="1">IF(ABS(D47-D24)&gt;0.005,D47-D24,"")</f>
        <v/>
      </c>
      <c r="F54" s="679" t="str">
        <f ca="1">IF(ABS(F47-F24)&gt;0.005,F47-F24,"")</f>
        <v/>
      </c>
      <c r="H54" s="679" t="str">
        <f ca="1">IF(ABS(H47-H24)&gt;0.005,H47-H24,"")</f>
        <v/>
      </c>
      <c r="J54" s="679" t="str">
        <f ca="1">IF(ABS(J47-J24)&gt;0.005,J47-J24,"")</f>
        <v/>
      </c>
      <c r="L54" s="679" t="str">
        <f ca="1">IF(ABS(L47-L24)&gt;0.005,L47-L24,"")</f>
        <v/>
      </c>
      <c r="N54" s="679" t="str">
        <f ca="1">IF(ABS(N47-N24)&gt;0.005,N47-N24,"")</f>
        <v/>
      </c>
    </row>
    <row r="55" spans="1:15">
      <c r="A55" s="39" t="str">
        <f>IF(consolidacion,"* The Initial Balance Sheet is the result of the combination of The Previous Balance, Initial Investments &amp; the Initial Funding","")</f>
        <v/>
      </c>
      <c r="B55" s="39"/>
      <c r="C55" s="39"/>
    </row>
    <row r="56" spans="1:15">
      <c r="J56" s="680"/>
    </row>
  </sheetData>
  <sheetProtection sheet="1" objects="1" scenarios="1"/>
  <printOptions horizontalCentered="1"/>
  <pageMargins left="0.78740157480314965" right="0.78740157480314965" top="0.59055118110236227" bottom="0.59055118110236227" header="0" footer="0.31496062992125984"/>
  <pageSetup paperSize="9" scale="59" orientation="landscape" horizontalDpi="300" verticalDpi="300" r:id="rId1"/>
  <headerFooter alignWithMargins="0">
    <oddFooter>&amp;C&amp;"Tahoma,Normal"&amp;10&amp;A</oddFooter>
  </headerFooter>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19">
    <tabColor indexed="61"/>
    <pageSetUpPr fitToPage="1"/>
  </sheetPr>
  <dimension ref="A1:O43"/>
  <sheetViews>
    <sheetView showGridLines="0" topLeftCell="A7" zoomScale="70" zoomScaleNormal="70" workbookViewId="0">
      <selection activeCell="A27" sqref="A27"/>
    </sheetView>
  </sheetViews>
  <sheetFormatPr baseColWidth="10" defaultColWidth="11" defaultRowHeight="15"/>
  <cols>
    <col min="1" max="1" width="43" style="20" customWidth="1"/>
    <col min="2" max="2" width="14" style="20" customWidth="1"/>
    <col min="3" max="3" width="13.75" style="20" customWidth="1"/>
    <col min="4" max="4" width="14" style="20" customWidth="1"/>
    <col min="5" max="5" width="14.25" style="20" customWidth="1"/>
    <col min="6" max="6" width="13.125" style="20" hidden="1" customWidth="1"/>
    <col min="7" max="7" width="14" style="20" customWidth="1"/>
    <col min="8" max="8" width="12.625" style="20" bestFit="1" customWidth="1"/>
    <col min="9" max="9" width="12.625" style="20" hidden="1" customWidth="1"/>
    <col min="10" max="10" width="14" style="20" customWidth="1"/>
    <col min="11" max="11" width="12.625" style="20" bestFit="1" customWidth="1"/>
    <col min="12" max="12" width="12.625" style="20" hidden="1" customWidth="1"/>
    <col min="13" max="13" width="14" style="20" customWidth="1"/>
    <col min="14" max="14" width="12.625" style="20" bestFit="1" customWidth="1"/>
    <col min="15" max="15" width="12.625" style="20" hidden="1" customWidth="1"/>
    <col min="16" max="16384" width="11" style="20"/>
  </cols>
  <sheetData>
    <row r="1" spans="1:15" ht="22.5">
      <c r="A1" s="445" t="s">
        <v>645</v>
      </c>
    </row>
    <row r="2" spans="1:15" ht="22.5">
      <c r="A2" s="445" t="str">
        <f>'Base Data'!$B$9</f>
        <v>WWW, Ltd.</v>
      </c>
    </row>
    <row r="3" spans="1:15" ht="26.25" thickBot="1">
      <c r="A3" s="444"/>
      <c r="B3" s="22"/>
    </row>
    <row r="4" spans="1:15" s="447" customFormat="1" ht="21.75" customHeight="1" thickTop="1" thickBot="1">
      <c r="A4" s="452" t="s">
        <v>636</v>
      </c>
      <c r="B4" s="455" t="str">
        <f>CONCATENATE(Parameters!B77,IF(mes0=1,"",CONCATENATE("   (",12-mes0+1," meses)")))</f>
        <v>Year 0:   2026</v>
      </c>
      <c r="C4" s="456"/>
      <c r="D4" s="455" t="str">
        <f>+Parameters!C77</f>
        <v>Year 1:   2027</v>
      </c>
      <c r="E4" s="456"/>
      <c r="F4" s="453" t="s">
        <v>4</v>
      </c>
      <c r="G4" s="455" t="str">
        <f>+Parameters!D77</f>
        <v>Year 2:   2028</v>
      </c>
      <c r="H4" s="456"/>
      <c r="I4" s="453" t="s">
        <v>4</v>
      </c>
      <c r="J4" s="455" t="str">
        <f>+Parameters!E77</f>
        <v>Year 3:   2029</v>
      </c>
      <c r="K4" s="456"/>
      <c r="L4" s="454" t="s">
        <v>4</v>
      </c>
      <c r="M4" s="455" t="str">
        <f>+Parameters!F77</f>
        <v>Year 4:   2030</v>
      </c>
      <c r="N4" s="456"/>
      <c r="O4" s="446" t="s">
        <v>4</v>
      </c>
    </row>
    <row r="5" spans="1:15" s="31" customFormat="1" ht="20.25" customHeight="1" thickTop="1">
      <c r="A5" s="1557" t="s">
        <v>637</v>
      </c>
      <c r="B5" s="485">
        <f t="array" ref="B5:B6" ca="1">'Income St 0'!N5:N6</f>
        <v>7199.9999999999991</v>
      </c>
      <c r="C5" s="2593">
        <f t="array" aca="1" ref="C5:C7" ca="1">IFERROR(B5:B7/B$7,0)</f>
        <v>1</v>
      </c>
      <c r="D5" s="486">
        <f t="array" ref="D5:D6" ca="1">'Income St 1'!N5:N6</f>
        <v>12360</v>
      </c>
      <c r="E5" s="2593">
        <f t="array" aca="1" ref="E5:E7" ca="1">IFERROR(D5:D7/D$7,0)</f>
        <v>1</v>
      </c>
      <c r="F5" s="487">
        <f ca="1">IF(ABS(B5)&gt;0.01,(D5-B5)/B5,"")</f>
        <v>0.7166666666666669</v>
      </c>
      <c r="G5" s="485">
        <f t="array" ref="G5:G6" ca="1">'Income St 2'!N5:N6</f>
        <v>13367.339999999998</v>
      </c>
      <c r="H5" s="2593">
        <f t="array" aca="1" ref="H5:H7" ca="1">IFERROR(G5:G7/G$7,0)</f>
        <v>1</v>
      </c>
      <c r="I5" s="488">
        <f ca="1">IF(ABS(D5)&gt;0.01,(G5-D5)/D5,"")</f>
        <v>8.1499999999999864E-2</v>
      </c>
      <c r="J5" s="485">
        <f t="array" ref="J5:J6" ca="1">'Income St 3'!N5:N6</f>
        <v>14463.334572</v>
      </c>
      <c r="K5" s="2593">
        <f t="array" aca="1" ref="K5:K7" ca="1">IFERROR(J5:J7/J$7,0)</f>
        <v>1</v>
      </c>
      <c r="L5" s="489">
        <f ca="1">IF(ABS(G5)&gt;0.01,(J5-G5)/G5,"")</f>
        <v>8.1990476190476308E-2</v>
      </c>
      <c r="M5" s="485">
        <f t="array" ref="M5:M6" ca="1">'Income St 4'!N5:N6</f>
        <v>15640.070423759998</v>
      </c>
      <c r="N5" s="2593">
        <f t="array" aca="1" ref="N5:N7" ca="1">IFERROR(M5:M7/M$7,0)</f>
        <v>1</v>
      </c>
      <c r="O5" s="464">
        <f ca="1">IF(ABS(J5)&gt;0.01,(M5-J5)/J5,"")</f>
        <v>8.1359927470534818E-2</v>
      </c>
    </row>
    <row r="6" spans="1:15" s="31" customFormat="1" ht="20.25" customHeight="1">
      <c r="A6" s="1558" t="s">
        <v>638</v>
      </c>
      <c r="B6" s="465">
        <v>0</v>
      </c>
      <c r="C6" s="2594">
        <f ca="1"/>
        <v>0</v>
      </c>
      <c r="D6" s="465">
        <v>0</v>
      </c>
      <c r="E6" s="2594">
        <f ca="1"/>
        <v>0</v>
      </c>
      <c r="F6" s="461"/>
      <c r="G6" s="1559">
        <v>0</v>
      </c>
      <c r="H6" s="2594">
        <f ca="1"/>
        <v>0</v>
      </c>
      <c r="I6" s="462"/>
      <c r="J6" s="1559">
        <v>0</v>
      </c>
      <c r="K6" s="2594">
        <f ca="1"/>
        <v>0</v>
      </c>
      <c r="L6" s="463"/>
      <c r="M6" s="1559">
        <v>0</v>
      </c>
      <c r="N6" s="2594">
        <f ca="1"/>
        <v>0</v>
      </c>
      <c r="O6" s="463"/>
    </row>
    <row r="7" spans="1:15" s="31" customFormat="1" ht="20.25" customHeight="1">
      <c r="A7" s="522" t="s">
        <v>639</v>
      </c>
      <c r="B7" s="459">
        <f ca="1">B6+B5</f>
        <v>7199.9999999999991</v>
      </c>
      <c r="C7" s="2595">
        <f ca="1"/>
        <v>1</v>
      </c>
      <c r="D7" s="459">
        <f ca="1">D6+D5</f>
        <v>12360</v>
      </c>
      <c r="E7" s="2595">
        <f ca="1"/>
        <v>1</v>
      </c>
      <c r="F7" s="461"/>
      <c r="G7" s="459">
        <f ca="1">G6+G5</f>
        <v>13367.339999999998</v>
      </c>
      <c r="H7" s="2595">
        <f ca="1"/>
        <v>1</v>
      </c>
      <c r="I7" s="462"/>
      <c r="J7" s="459">
        <f ca="1">J6+J5</f>
        <v>14463.334572</v>
      </c>
      <c r="K7" s="2595">
        <f ca="1"/>
        <v>1</v>
      </c>
      <c r="L7" s="463"/>
      <c r="M7" s="459">
        <f ca="1">M6+M5</f>
        <v>15640.070423759998</v>
      </c>
      <c r="N7" s="2595">
        <f ca="1"/>
        <v>1</v>
      </c>
      <c r="O7" s="463"/>
    </row>
    <row r="8" spans="1:15" s="31" customFormat="1" ht="20.25" customHeight="1">
      <c r="A8" s="522"/>
      <c r="B8" s="459"/>
      <c r="C8" s="2596"/>
      <c r="D8" s="460"/>
      <c r="E8" s="2596"/>
      <c r="F8" s="461"/>
      <c r="G8" s="459"/>
      <c r="H8" s="2596"/>
      <c r="I8" s="462"/>
      <c r="J8" s="459"/>
      <c r="K8" s="2596"/>
      <c r="L8" s="463"/>
      <c r="M8" s="459"/>
      <c r="N8" s="2596"/>
      <c r="O8" s="463"/>
    </row>
    <row r="9" spans="1:15" s="34" customFormat="1" ht="20.25" customHeight="1">
      <c r="A9" s="1558" t="s">
        <v>622</v>
      </c>
      <c r="B9" s="465">
        <f t="array" aca="1" ref="B9:B10" ca="1">'Income St 0'!N9:N10</f>
        <v>720</v>
      </c>
      <c r="C9" s="2594">
        <f t="array" aca="1" ref="C9:C11" ca="1">IFERROR(B9:B11/B$7,0)</f>
        <v>0.10000000000000002</v>
      </c>
      <c r="D9" s="466">
        <f t="array" aca="1" ref="D9:D10" ca="1">'Income St 1'!N9:N10</f>
        <v>1236.0000000000002</v>
      </c>
      <c r="E9" s="2594">
        <f t="array" aca="1" ref="E9:E11" ca="1">IFERROR(D9:D11/D$7,0)</f>
        <v>0.10000000000000002</v>
      </c>
      <c r="F9" s="467">
        <f ca="1">IF(ABS(B9)&gt;0.01,(D9-B9)/B9,"")</f>
        <v>0.71666666666666701</v>
      </c>
      <c r="G9" s="465">
        <f t="array" aca="1" ref="G9:G10" ca="1">'Income St 2'!N9:N10</f>
        <v>1336.7340000000004</v>
      </c>
      <c r="H9" s="2594">
        <f t="array" aca="1" ref="H9:H11" ca="1">IFERROR(G9:G11/G$7,0)</f>
        <v>0.10000000000000005</v>
      </c>
      <c r="I9" s="468">
        <f ca="1">IF(ABS(D9)&gt;0.01,(G9-D9)/D9,"")</f>
        <v>8.1500000000000114E-2</v>
      </c>
      <c r="J9" s="465">
        <f t="array" aca="1" ref="J9:J10" ca="1">'Income St 3'!N9:N10</f>
        <v>1446.3334571999997</v>
      </c>
      <c r="K9" s="2594">
        <f t="array" aca="1" ref="K9:K11" ca="1">IFERROR(J9:J11/J$7,0)</f>
        <v>9.9999999999999978E-2</v>
      </c>
      <c r="L9" s="469">
        <f ca="1">IF(ABS(G9)&gt;0.01,(J9-G9)/G9,"")</f>
        <v>8.1990476190475628E-2</v>
      </c>
      <c r="M9" s="465">
        <f t="array" aca="1" ref="M9:M10" ca="1">'Income St 4'!N9:N10</f>
        <v>1564.0070423760001</v>
      </c>
      <c r="N9" s="2594">
        <f t="array" aca="1" ref="N9:N11" ca="1">IFERROR(M9:M11/M$7,0)</f>
        <v>0.10000000000000002</v>
      </c>
      <c r="O9" s="469">
        <f ca="1">IF(ABS(J9)&gt;0.01,(M9-J9)/J9,"")</f>
        <v>8.1359927470535207E-2</v>
      </c>
    </row>
    <row r="10" spans="1:15" s="34" customFormat="1" ht="20.25" customHeight="1">
      <c r="A10" s="1558" t="s">
        <v>640</v>
      </c>
      <c r="B10" s="465">
        <f ca="1"/>
        <v>0</v>
      </c>
      <c r="C10" s="2594">
        <f ca="1"/>
        <v>0</v>
      </c>
      <c r="D10" s="466">
        <f ca="1"/>
        <v>0</v>
      </c>
      <c r="E10" s="2594">
        <f ca="1"/>
        <v>0</v>
      </c>
      <c r="F10" s="1562"/>
      <c r="G10" s="465">
        <f ca="1"/>
        <v>0</v>
      </c>
      <c r="H10" s="2594">
        <f ca="1"/>
        <v>0</v>
      </c>
      <c r="I10" s="473"/>
      <c r="J10" s="465">
        <f ca="1"/>
        <v>0</v>
      </c>
      <c r="K10" s="2594">
        <f ca="1"/>
        <v>0</v>
      </c>
      <c r="L10" s="474"/>
      <c r="M10" s="465">
        <f ca="1"/>
        <v>0</v>
      </c>
      <c r="N10" s="2594">
        <f ca="1"/>
        <v>0</v>
      </c>
      <c r="O10" s="469"/>
    </row>
    <row r="11" spans="1:15" s="34" customFormat="1" ht="20.25" customHeight="1">
      <c r="A11" s="1563" t="s">
        <v>627</v>
      </c>
      <c r="B11" s="481">
        <f ca="1">B9+B10</f>
        <v>720</v>
      </c>
      <c r="C11" s="2595">
        <f ca="1"/>
        <v>0.10000000000000002</v>
      </c>
      <c r="D11" s="482">
        <f ca="1">D9+D10</f>
        <v>1236.0000000000002</v>
      </c>
      <c r="E11" s="2595">
        <f ca="1"/>
        <v>0.10000000000000002</v>
      </c>
      <c r="F11" s="483"/>
      <c r="G11" s="482">
        <f ca="1">G9+G10</f>
        <v>1336.7340000000004</v>
      </c>
      <c r="H11" s="2595">
        <f ca="1"/>
        <v>0.10000000000000005</v>
      </c>
      <c r="I11" s="483"/>
      <c r="J11" s="482">
        <f ca="1">J9+J10</f>
        <v>1446.3334571999997</v>
      </c>
      <c r="K11" s="2595">
        <f ca="1"/>
        <v>9.9999999999999978E-2</v>
      </c>
      <c r="L11" s="484"/>
      <c r="M11" s="482">
        <f ca="1">M9+M10</f>
        <v>1564.0070423760001</v>
      </c>
      <c r="N11" s="2595">
        <f ca="1"/>
        <v>0.10000000000000002</v>
      </c>
      <c r="O11" s="469"/>
    </row>
    <row r="12" spans="1:15" s="34" customFormat="1" ht="20.25" customHeight="1">
      <c r="A12" s="1561"/>
      <c r="B12" s="470"/>
      <c r="C12" s="2597"/>
      <c r="D12" s="471"/>
      <c r="E12" s="2597"/>
      <c r="F12" s="473"/>
      <c r="G12" s="471"/>
      <c r="H12" s="2597"/>
      <c r="I12" s="473"/>
      <c r="J12" s="471"/>
      <c r="K12" s="2597"/>
      <c r="L12" s="474"/>
      <c r="M12" s="471"/>
      <c r="N12" s="2597"/>
      <c r="O12" s="469"/>
    </row>
    <row r="13" spans="1:15" s="31" customFormat="1" ht="20.25" customHeight="1" thickBot="1">
      <c r="A13" s="457" t="s">
        <v>628</v>
      </c>
      <c r="B13" s="490">
        <f ca="1">'Income St 0'!N13</f>
        <v>6480</v>
      </c>
      <c r="C13" s="2598">
        <f ca="1">IFERROR(B13/B$5,0)</f>
        <v>0.90000000000000013</v>
      </c>
      <c r="D13" s="491">
        <f ca="1">D7-D11</f>
        <v>11124</v>
      </c>
      <c r="E13" s="2598">
        <f ca="1">IFERROR(D13/D$5,0)</f>
        <v>0.9</v>
      </c>
      <c r="F13" s="493">
        <f ca="1">IF(ABS(B13)&gt;0.01,(D13-B13)/B13,"")</f>
        <v>0.71666666666666667</v>
      </c>
      <c r="G13" s="491">
        <f ca="1">G7-G11</f>
        <v>12030.605999999998</v>
      </c>
      <c r="H13" s="2598">
        <f ca="1">IFERROR(G13/G$5,0)</f>
        <v>0.89999999999999991</v>
      </c>
      <c r="I13" s="493">
        <f ca="1">IF(ABS(D13)&gt;0.01,(G13-D13)/D13,"")</f>
        <v>8.1499999999999809E-2</v>
      </c>
      <c r="J13" s="491">
        <f ca="1">J7-J11</f>
        <v>13017.001114799999</v>
      </c>
      <c r="K13" s="2598">
        <f ca="1">IFERROR(J13/J$5,0)</f>
        <v>0.9</v>
      </c>
      <c r="L13" s="494">
        <f ca="1">IF(ABS(G13)&gt;0.01,(J13-G13)/G13,"")</f>
        <v>8.1990476190476322E-2</v>
      </c>
      <c r="M13" s="491">
        <f ca="1">M7-M11</f>
        <v>14076.063381383998</v>
      </c>
      <c r="N13" s="2598">
        <f ca="1">IFERROR(M13/M$5,0)</f>
        <v>0.89999999999999991</v>
      </c>
      <c r="O13" s="451">
        <f ca="1">IF(ABS(J13)&gt;0.01,(M13-J13)/J13,"")</f>
        <v>8.1359927470534776E-2</v>
      </c>
    </row>
    <row r="14" spans="1:15" s="31" customFormat="1" ht="15.75" thickBot="1">
      <c r="A14" s="521"/>
      <c r="B14" s="495"/>
      <c r="C14" s="2596"/>
      <c r="D14" s="496"/>
      <c r="E14" s="2596"/>
      <c r="F14" s="497"/>
      <c r="G14" s="495"/>
      <c r="H14" s="2596"/>
      <c r="I14" s="498"/>
      <c r="J14" s="495"/>
      <c r="K14" s="2596"/>
      <c r="L14" s="499"/>
      <c r="M14" s="495"/>
      <c r="N14" s="2596"/>
      <c r="O14" s="451"/>
    </row>
    <row r="15" spans="1:15" s="34" customFormat="1" ht="20.25" customHeight="1">
      <c r="A15" s="933" t="s">
        <v>629</v>
      </c>
      <c r="B15" s="485">
        <f>'Fixed Expenses 0'!N15+'Fixed Expenses 0'!N25</f>
        <v>14400</v>
      </c>
      <c r="C15" s="2593">
        <f ca="1">IFERROR(B15:B18/B$5,0)</f>
        <v>2.0000000000000004</v>
      </c>
      <c r="D15" s="486">
        <f>'Fixed Expenses 1'!N15+'Fixed Expenses 1'!N25</f>
        <v>14976</v>
      </c>
      <c r="E15" s="2593">
        <f ca="1">IFERROR(D15:D18/D$5,0)</f>
        <v>1.2116504854368932</v>
      </c>
      <c r="F15" s="487">
        <f>IF(ABS(B15)&gt;0.01,(D15-B15)/B15,"")</f>
        <v>0.04</v>
      </c>
      <c r="G15" s="485">
        <f>'Fixed Expenses 2'!N15+'Fixed Expenses 2'!N25</f>
        <v>15575.04</v>
      </c>
      <c r="H15" s="2593">
        <f ca="1">IFERROR(G15:G18/G$5,0)</f>
        <v>1.1651562689360788</v>
      </c>
      <c r="I15" s="488">
        <f>IF(ABS(D15)&gt;0.01,(G15-D15)/D15,"")</f>
        <v>4.0000000000000056E-2</v>
      </c>
      <c r="J15" s="485">
        <f>'Fixed Expenses 3'!N15+'Fixed Expenses 3'!N25</f>
        <v>16198.041600000004</v>
      </c>
      <c r="K15" s="2593">
        <f ca="1">IFERROR(J15:J18/J$5,0)</f>
        <v>1.1199382493272523</v>
      </c>
      <c r="L15" s="489">
        <f>IF(ABS(G15)&gt;0.01,(J15-G15)/G15,"")</f>
        <v>4.0000000000000209E-2</v>
      </c>
      <c r="M15" s="485">
        <f>'Fixed Expenses 4'!N15+'Fixed Expenses 4'!N25</f>
        <v>16845.963263999998</v>
      </c>
      <c r="N15" s="2593">
        <f ca="1">IFERROR(M15:M18/M$5,0)</f>
        <v>1.0771027755992735</v>
      </c>
      <c r="O15" s="469">
        <f>IF(ABS(J15)&gt;0.01,(M15-J15)/J15,"")</f>
        <v>3.9999999999999626E-2</v>
      </c>
    </row>
    <row r="16" spans="1:15" s="34" customFormat="1" ht="20.25" customHeight="1">
      <c r="A16" s="2768" t="s">
        <v>630</v>
      </c>
      <c r="B16" s="1559">
        <f>'Fixed Expenses 0'!N20</f>
        <v>1032</v>
      </c>
      <c r="C16" s="2769"/>
      <c r="D16" s="2770">
        <f>'Fixed Expenses 1'!N20</f>
        <v>960</v>
      </c>
      <c r="E16" s="2769"/>
      <c r="F16" s="2771"/>
      <c r="G16" s="1559">
        <f ca="1">'Fixed Expenses 2'!N20</f>
        <v>960</v>
      </c>
      <c r="H16" s="2769"/>
      <c r="I16" s="2772"/>
      <c r="J16" s="1559">
        <f ca="1">'Fixed Expenses 3'!N20</f>
        <v>960</v>
      </c>
      <c r="K16" s="2769"/>
      <c r="L16" s="2773"/>
      <c r="M16" s="1559">
        <f ca="1">'Fixed Expenses 4'!N20</f>
        <v>960</v>
      </c>
      <c r="N16" s="2769"/>
      <c r="O16" s="469"/>
    </row>
    <row r="17" spans="1:15" s="34" customFormat="1" ht="20.25" customHeight="1">
      <c r="A17" s="932" t="s">
        <v>530</v>
      </c>
      <c r="B17" s="465">
        <f ca="1">'Fixed Expenses 0'!N55+'VAT 0'!O13</f>
        <v>237.59999999999994</v>
      </c>
      <c r="C17" s="2594">
        <f t="shared" ref="C17:E18" ca="1" si="0">IFERROR(B17:B19/B$5,0)</f>
        <v>3.2999999999999995E-2</v>
      </c>
      <c r="D17" s="466">
        <f ca="1">'Fixed Expenses 1'!N55+'VAT 1'!O13</f>
        <v>393.26399999999995</v>
      </c>
      <c r="E17" s="2594">
        <f t="shared" ca="1" si="0"/>
        <v>3.1817475728155339E-2</v>
      </c>
      <c r="F17" s="467">
        <f ca="1">IF(ABS(B17)&gt;0.01,(D17-B17)/B17,"")</f>
        <v>0.65515151515151537</v>
      </c>
      <c r="G17" s="465">
        <f ca="1">'Fixed Expenses 2'!N55+'VAT 2'!O13</f>
        <v>424.38275999999996</v>
      </c>
      <c r="H17" s="2594">
        <f ca="1">IFERROR(G17:G19/G$5,0)</f>
        <v>3.1747734403404122E-2</v>
      </c>
      <c r="I17" s="468">
        <f ca="1">IF(ABS(D17)&gt;0.01,(G17-D17)/D17,"")</f>
        <v>7.9129439765653634E-2</v>
      </c>
      <c r="J17" s="465">
        <f ca="1">'Fixed Expenses 3'!N55+'VAT 3'!O13</f>
        <v>458.19709956000014</v>
      </c>
      <c r="K17" s="2594">
        <f ca="1">IFERROR(J17:J19/J$5,0)</f>
        <v>3.1679907373990887E-2</v>
      </c>
      <c r="L17" s="469">
        <f ca="1">IF(ABS(G17)&gt;0.01,(J17-G17)/G17,"")</f>
        <v>7.9678871875003082E-2</v>
      </c>
      <c r="M17" s="465">
        <f ca="1">'Fixed Expenses 4'!N55+'VAT 4'!O13</f>
        <v>494.47105760880004</v>
      </c>
      <c r="N17" s="2594">
        <f ca="1">IFERROR(M17:M19/M$5,0)</f>
        <v>3.1615654163398912E-2</v>
      </c>
      <c r="O17" s="469">
        <f ca="1">IF(ABS(J17)&gt;0.01,(M17-J17)/J17,"")</f>
        <v>7.9166712499125907E-2</v>
      </c>
    </row>
    <row r="18" spans="1:15" s="31" customFormat="1" ht="20.25" customHeight="1" thickBot="1">
      <c r="A18" s="457" t="s">
        <v>641</v>
      </c>
      <c r="B18" s="490">
        <f ca="1">SUM(B15:B17)</f>
        <v>15669.6</v>
      </c>
      <c r="C18" s="2598">
        <f t="shared" ca="1" si="0"/>
        <v>2.1763333333333335</v>
      </c>
      <c r="D18" s="490">
        <f ca="1">SUM(D15:D17)</f>
        <v>16329.263999999999</v>
      </c>
      <c r="E18" s="2598">
        <f t="shared" ca="1" si="0"/>
        <v>1.3211378640776699</v>
      </c>
      <c r="F18" s="492">
        <f ca="1">IF(ABS(B18)&gt;0.01,(D18-B18)/B18,"")</f>
        <v>4.2098330525348372E-2</v>
      </c>
      <c r="G18" s="490">
        <f ca="1">SUM(G15:G17)</f>
        <v>16959.422760000001</v>
      </c>
      <c r="H18" s="2598">
        <f ca="1">IFERROR(G18:G20/G$5,0)</f>
        <v>1.2687208345115786</v>
      </c>
      <c r="I18" s="493">
        <f ca="1">IF(ABS(D18)&gt;0.01,(G18-D18)/D18,"")</f>
        <v>3.8590763184427793E-2</v>
      </c>
      <c r="J18" s="490">
        <f ca="1">SUM(J15:J17)</f>
        <v>17616.238699560003</v>
      </c>
      <c r="K18" s="2598">
        <f ca="1">IFERROR(J18:J20/J$5,0)</f>
        <v>1.2179928917404568</v>
      </c>
      <c r="L18" s="494">
        <f ca="1">IF(ABS(G18)&gt;0.01,(J18-G18)/G18,"")</f>
        <v>3.8728673071889472E-2</v>
      </c>
      <c r="M18" s="490">
        <f ca="1">SUM(M15:M17)</f>
        <v>18300.434321608798</v>
      </c>
      <c r="N18" s="2598">
        <f ca="1">IFERROR(M18:M20/M$5,0)</f>
        <v>1.1700992275461395</v>
      </c>
      <c r="O18" s="451">
        <f ca="1">IF(ABS(J18)&gt;0.01,(M18-J18)/J18,"")</f>
        <v>3.8838916395126079E-2</v>
      </c>
    </row>
    <row r="19" spans="1:15" s="31" customFormat="1" ht="15.75" thickBot="1">
      <c r="A19" s="521"/>
      <c r="B19" s="495"/>
      <c r="C19" s="2596"/>
      <c r="D19" s="496"/>
      <c r="E19" s="2596"/>
      <c r="F19" s="497"/>
      <c r="G19" s="495"/>
      <c r="H19" s="2596"/>
      <c r="I19" s="498"/>
      <c r="J19" s="495"/>
      <c r="K19" s="2596"/>
      <c r="L19" s="499"/>
      <c r="M19" s="495"/>
      <c r="N19" s="2596"/>
      <c r="O19" s="451"/>
    </row>
    <row r="20" spans="1:15" ht="36.75" customHeight="1" thickBot="1">
      <c r="A20" s="1953" t="s">
        <v>125</v>
      </c>
      <c r="B20" s="1954">
        <f ca="1">B13-B18</f>
        <v>-9189.6</v>
      </c>
      <c r="C20" s="2599">
        <f ca="1">IFERROR(B20/B$5,0)</f>
        <v>-1.2763333333333335</v>
      </c>
      <c r="D20" s="1954">
        <f ca="1">D13-D18</f>
        <v>-5205.2639999999992</v>
      </c>
      <c r="E20" s="2599">
        <f ca="1">IFERROR(D20/D$5,0)</f>
        <v>-0.42113786407766984</v>
      </c>
      <c r="F20" s="1955"/>
      <c r="G20" s="1954">
        <f ca="1">G13-G18</f>
        <v>-4928.8167600000033</v>
      </c>
      <c r="H20" s="2599">
        <f ca="1">IFERROR(G20/G$5,0)</f>
        <v>-0.3687208345115785</v>
      </c>
      <c r="I20" s="1955"/>
      <c r="J20" s="1954">
        <f ca="1">J13-J18</f>
        <v>-4599.2375847600033</v>
      </c>
      <c r="K20" s="2599">
        <f ca="1">IFERROR(J20/J$5,0)</f>
        <v>-0.31799289174045686</v>
      </c>
      <c r="L20" s="1955"/>
      <c r="M20" s="1954">
        <f ca="1">M13-M18</f>
        <v>-4224.3709402248005</v>
      </c>
      <c r="N20" s="2599">
        <f ca="1">IFERROR(M20/M$5,0)</f>
        <v>-0.27009922754613963</v>
      </c>
    </row>
    <row r="21" spans="1:15" s="31" customFormat="1">
      <c r="A21" s="522"/>
      <c r="B21" s="459"/>
      <c r="C21" s="2595"/>
      <c r="D21" s="460"/>
      <c r="E21" s="2595"/>
      <c r="F21" s="461"/>
      <c r="G21" s="459"/>
      <c r="H21" s="2595"/>
      <c r="I21" s="462"/>
      <c r="J21" s="459"/>
      <c r="K21" s="2595"/>
      <c r="L21" s="463"/>
      <c r="M21" s="459"/>
      <c r="N21" s="2595"/>
      <c r="O21" s="451"/>
    </row>
    <row r="22" spans="1:15" s="34" customFormat="1" ht="20.25" customHeight="1">
      <c r="A22" s="932" t="s">
        <v>631</v>
      </c>
      <c r="B22" s="465">
        <f>'Income St 0'!N22</f>
        <v>0</v>
      </c>
      <c r="C22" s="2594">
        <f t="array" aca="1" ref="C22:C23" ca="1">IFERROR(B22:B23/B$5,0)</f>
        <v>0</v>
      </c>
      <c r="D22" s="466">
        <f>'Income St 1'!N22</f>
        <v>0</v>
      </c>
      <c r="E22" s="2594">
        <f t="array" aca="1" ref="E22:E23" ca="1">IFERROR(D22:D23/D$5,0)</f>
        <v>0</v>
      </c>
      <c r="F22" s="467" t="str">
        <f>IF(ABS(B22)&gt;0.01,(D22-B22)/B22,"")</f>
        <v/>
      </c>
      <c r="G22" s="465">
        <f>'Income St 2'!N22</f>
        <v>0</v>
      </c>
      <c r="H22" s="2594">
        <f t="array" ref="H22:H23" ca="1">IFERROR(G22:G23/G$5,0)</f>
        <v>0</v>
      </c>
      <c r="I22" s="468" t="str">
        <f>IF(ABS(D22)&gt;0.01,(G22-D22)/D22,"")</f>
        <v/>
      </c>
      <c r="J22" s="465">
        <f>'Income St 3'!N22</f>
        <v>0</v>
      </c>
      <c r="K22" s="2594">
        <f t="array" ref="K22:K23" ca="1">IFERROR(J22:J23/J$5,0)</f>
        <v>0</v>
      </c>
      <c r="L22" s="469" t="str">
        <f>IF(ABS(G22)&gt;0.01,(J22-G22)/G22,"")</f>
        <v/>
      </c>
      <c r="M22" s="465">
        <f>'Income St 4'!N22</f>
        <v>0</v>
      </c>
      <c r="N22" s="2594">
        <f t="array" ref="N22:N23" ca="1">IFERROR(M22:M23/M$5,0)</f>
        <v>0</v>
      </c>
      <c r="O22" s="469" t="str">
        <f>IF(ABS(J22)&gt;0.01,(M22-J22)/J22,"")</f>
        <v/>
      </c>
    </row>
    <row r="23" spans="1:15" s="31" customFormat="1" ht="23.25" customHeight="1">
      <c r="A23" s="1952" t="s">
        <v>642</v>
      </c>
      <c r="B23" s="450">
        <f ca="1">B20-B22</f>
        <v>-9189.6</v>
      </c>
      <c r="C23" s="2600">
        <f ca="1"/>
        <v>-1.2763333333333335</v>
      </c>
      <c r="D23" s="2199">
        <f ca="1">D20-D22</f>
        <v>-5205.2639999999992</v>
      </c>
      <c r="E23" s="2600">
        <f ca="1"/>
        <v>-0.42113786407766984</v>
      </c>
      <c r="F23" s="449">
        <f ca="1">IF(ABS(B23)&gt;0.01,(D23-B23)/B23,"")</f>
        <v>-0.43357012274745377</v>
      </c>
      <c r="G23" s="450">
        <f ca="1">G20-G22</f>
        <v>-4928.8167600000033</v>
      </c>
      <c r="H23" s="2600">
        <f ca="1"/>
        <v>-0.3687208345115785</v>
      </c>
      <c r="I23" s="458">
        <f ca="1">IF(ABS(D23)&gt;0.01,(G23-D23)/D23,"")</f>
        <v>-5.3109167949982154E-2</v>
      </c>
      <c r="J23" s="450">
        <f ca="1">J20-J22</f>
        <v>-4599.2375847600033</v>
      </c>
      <c r="K23" s="2600">
        <f ca="1"/>
        <v>-0.31799289174045686</v>
      </c>
      <c r="L23" s="451">
        <f ca="1">IF(ABS(G23)&gt;0.01,(J23-G23)/G23,"")</f>
        <v>-6.6867808500147979E-2</v>
      </c>
      <c r="M23" s="450">
        <f ca="1">M20-M22</f>
        <v>-4224.3709402248005</v>
      </c>
      <c r="N23" s="2600">
        <f ca="1"/>
        <v>-0.27009922754613963</v>
      </c>
      <c r="O23" s="451">
        <f ca="1">IF(ABS(J23)&gt;0.01,(M23-J23)/J23,"")</f>
        <v>-8.1506257858336761E-2</v>
      </c>
    </row>
    <row r="24" spans="1:15" s="31" customFormat="1" ht="15.75" thickBot="1">
      <c r="A24" s="523"/>
      <c r="B24" s="481"/>
      <c r="C24" s="2601"/>
      <c r="D24" s="482"/>
      <c r="E24" s="2601"/>
      <c r="F24" s="472"/>
      <c r="G24" s="481"/>
      <c r="H24" s="2601"/>
      <c r="I24" s="483"/>
      <c r="J24" s="481"/>
      <c r="K24" s="2601"/>
      <c r="L24" s="484"/>
      <c r="M24" s="481"/>
      <c r="N24" s="2601"/>
      <c r="O24" s="451"/>
    </row>
    <row r="25" spans="1:15" s="34" customFormat="1" ht="18" customHeight="1">
      <c r="A25" s="933" t="s">
        <v>632</v>
      </c>
      <c r="B25" s="485">
        <f t="array" aca="1" ref="B25:B26" ca="1">'Income St 0'!N25:N26</f>
        <v>0</v>
      </c>
      <c r="C25" s="2593">
        <f t="array" ref="C25:C27" ca="1">IFERROR(B25:B27/B$5,0)</f>
        <v>0</v>
      </c>
      <c r="D25" s="486">
        <f t="array" aca="1" ref="D25:D26" ca="1">'Income St 1'!N25:N26</f>
        <v>0</v>
      </c>
      <c r="E25" s="2593">
        <f t="array" aca="1" ref="E25:E27" ca="1">IFERROR(D25:D27/D$5,0)</f>
        <v>0</v>
      </c>
      <c r="F25" s="487" t="str">
        <f ca="1">IF(ABS(B25)&gt;0.01,(D25-B25)/B25,"")</f>
        <v/>
      </c>
      <c r="G25" s="485">
        <f t="array" aca="1" ref="G25:G26" ca="1">'Income St 2'!N25:N26</f>
        <v>0</v>
      </c>
      <c r="H25" s="2593">
        <f t="array" aca="1" ref="H25:H27" ca="1">IFERROR(G25:G27/G$5,0)</f>
        <v>0</v>
      </c>
      <c r="I25" s="488" t="str">
        <f ca="1">IF(ABS(D25)&gt;0.01,(G25-D25)/D25,"")</f>
        <v/>
      </c>
      <c r="J25" s="485">
        <f t="array" aca="1" ref="J25:J26" ca="1">'Income St 3'!N25:N26</f>
        <v>0</v>
      </c>
      <c r="K25" s="2593">
        <f t="array" aca="1" ref="K25:K27" ca="1">IFERROR(J25:J27/J$5,0)</f>
        <v>0</v>
      </c>
      <c r="L25" s="489" t="str">
        <f ca="1">IF(ABS(G25)&gt;0.01,(J25-G25)/G25,"")</f>
        <v/>
      </c>
      <c r="M25" s="485">
        <f t="array" aca="1" ref="M25:M26" ca="1">'Income St 4'!N25:N26</f>
        <v>0</v>
      </c>
      <c r="N25" s="2593">
        <f t="array" aca="1" ref="N25:N27" ca="1">IFERROR(M25:M27/M$5,0)</f>
        <v>0</v>
      </c>
      <c r="O25" s="469" t="str">
        <f ca="1">IF(ABS(J25)&gt;0.01,(M25-J25)/J25,"")</f>
        <v/>
      </c>
    </row>
    <row r="26" spans="1:15" s="34" customFormat="1" ht="18" customHeight="1">
      <c r="A26" s="932" t="s">
        <v>633</v>
      </c>
      <c r="B26" s="470">
        <f ca="1"/>
        <v>87.11999999999999</v>
      </c>
      <c r="C26" s="2594">
        <f ca="1"/>
        <v>1.21E-2</v>
      </c>
      <c r="D26" s="466">
        <f ca="1"/>
        <v>149.55599999999995</v>
      </c>
      <c r="E26" s="2594">
        <f ca="1"/>
        <v>1.2099999999999996E-2</v>
      </c>
      <c r="F26" s="467">
        <f ca="1">IF(ABS(B26)&gt;0.01,(D26-B26)/B26,"")</f>
        <v>0.71666666666666634</v>
      </c>
      <c r="G26" s="465">
        <f ca="1"/>
        <v>161.74481399999999</v>
      </c>
      <c r="H26" s="2594">
        <f ca="1"/>
        <v>1.2100000000000001E-2</v>
      </c>
      <c r="I26" s="468">
        <f ca="1">IF(ABS(D26)&gt;0.01,(G26-D26)/D26,"")</f>
        <v>8.1500000000000267E-2</v>
      </c>
      <c r="J26" s="465">
        <f ca="1"/>
        <v>175.00634832119999</v>
      </c>
      <c r="K26" s="2594">
        <f ca="1"/>
        <v>1.21E-2</v>
      </c>
      <c r="L26" s="469">
        <f ca="1">IF(ABS(G26)&gt;0.01,(J26-G26)/G26,"")</f>
        <v>8.1990476190476211E-2</v>
      </c>
      <c r="M26" s="465">
        <f ca="1"/>
        <v>189.24485212749605</v>
      </c>
      <c r="N26" s="2594">
        <f ca="1"/>
        <v>1.2100000000000005E-2</v>
      </c>
      <c r="O26" s="469">
        <f ca="1">IF(ABS(J26)&gt;0.01,(M26-J26)/J26,"")</f>
        <v>8.1359927470535207E-2</v>
      </c>
    </row>
    <row r="27" spans="1:15" s="31" customFormat="1" ht="18" customHeight="1" thickBot="1">
      <c r="A27" s="457" t="s">
        <v>634</v>
      </c>
      <c r="B27" s="1760">
        <f ca="1">'Income St 0'!N27</f>
        <v>-87.11999999999999</v>
      </c>
      <c r="C27" s="2664">
        <f ca="1"/>
        <v>-1.21E-2</v>
      </c>
      <c r="D27" s="1760">
        <f ca="1">D25-D26</f>
        <v>-149.55599999999995</v>
      </c>
      <c r="E27" s="2664">
        <f ca="1"/>
        <v>-1.2099999999999996E-2</v>
      </c>
      <c r="F27" s="492">
        <f ca="1">IF(ABS(B27)&gt;0.01,(D27-B27)/B27,"")</f>
        <v>0.71666666666666634</v>
      </c>
      <c r="G27" s="1760">
        <f ca="1">G25-G26</f>
        <v>-161.74481399999999</v>
      </c>
      <c r="H27" s="2664">
        <f ca="1"/>
        <v>-1.2100000000000001E-2</v>
      </c>
      <c r="I27" s="493">
        <f ca="1">IF(ABS(D27)&gt;0.01,(G27-D27)/D27,"")</f>
        <v>8.1500000000000267E-2</v>
      </c>
      <c r="J27" s="1760">
        <f ca="1">J25-J26</f>
        <v>-175.00634832119999</v>
      </c>
      <c r="K27" s="2664">
        <f ca="1"/>
        <v>-1.21E-2</v>
      </c>
      <c r="L27" s="494">
        <f ca="1">IF(ABS(G27)&gt;0.01,(J27-G27)/G27,"")</f>
        <v>8.1990476190476211E-2</v>
      </c>
      <c r="M27" s="1760">
        <f ca="1">M25-M26</f>
        <v>-189.24485212749605</v>
      </c>
      <c r="N27" s="2664">
        <f ca="1"/>
        <v>-1.2100000000000005E-2</v>
      </c>
      <c r="O27" s="451">
        <f ca="1">IF(ABS(J27)&gt;0.01,(M27-J27)/J27,"")</f>
        <v>8.1359927470535207E-2</v>
      </c>
    </row>
    <row r="28" spans="1:15" s="31" customFormat="1" ht="15.75" thickBot="1">
      <c r="A28" s="521"/>
      <c r="B28" s="495"/>
      <c r="C28" s="2596"/>
      <c r="D28" s="496"/>
      <c r="E28" s="2596"/>
      <c r="F28" s="497"/>
      <c r="G28" s="495"/>
      <c r="H28" s="2596"/>
      <c r="I28" s="498"/>
      <c r="J28" s="495"/>
      <c r="K28" s="2596"/>
      <c r="L28" s="499"/>
      <c r="M28" s="495"/>
      <c r="N28" s="2596"/>
      <c r="O28" s="451"/>
    </row>
    <row r="29" spans="1:15" s="31" customFormat="1" ht="20.25" customHeight="1" thickBot="1">
      <c r="A29" s="524" t="s">
        <v>643</v>
      </c>
      <c r="B29" s="513">
        <f ca="1">'Income St 0'!N29</f>
        <v>-9276.7199999999993</v>
      </c>
      <c r="C29" s="2599">
        <f ca="1">IFERROR(B29/B$5,0)</f>
        <v>-1.2884333333333333</v>
      </c>
      <c r="D29" s="513">
        <f ca="1">'Income St 1'!N29</f>
        <v>-5354.82</v>
      </c>
      <c r="E29" s="2599">
        <f ca="1">IFERROR(D29/D$5,0)</f>
        <v>-0.4332378640776699</v>
      </c>
      <c r="F29" s="505">
        <f ca="1">IF(ABS(B29)&gt;0.01,(D29-B29)/B29,"")</f>
        <v>-0.4227679610896955</v>
      </c>
      <c r="G29" s="513">
        <f ca="1">'Income St 2'!N29</f>
        <v>-5090.561574000003</v>
      </c>
      <c r="H29" s="2599">
        <f ca="1">IFERROR(G29/G$5,0)</f>
        <v>-0.3808208345115785</v>
      </c>
      <c r="I29" s="506">
        <f ca="1">IF(ABS(D29)&gt;0.01,(G29-D29)/D29,"")</f>
        <v>-4.9349637522829282E-2</v>
      </c>
      <c r="J29" s="513">
        <f ca="1">'Income St 3'!N29</f>
        <v>-4774.2439330812003</v>
      </c>
      <c r="K29" s="2599">
        <f ca="1">IFERROR(J29/J$5,0)</f>
        <v>-0.3300928917404567</v>
      </c>
      <c r="L29" s="507">
        <f ca="1">IF(ABS(G29)&gt;0.01,(J29-G29)/G29,"")</f>
        <v>-6.2138064007395993E-2</v>
      </c>
      <c r="M29" s="513">
        <f ca="1">'Income St 4'!N29</f>
        <v>-4413.615792352296</v>
      </c>
      <c r="N29" s="2599">
        <f ca="1">IFERROR(M29/M$5,0)</f>
        <v>-0.28219922754613963</v>
      </c>
      <c r="O29" s="477">
        <f ca="1">IF(ABS(J29)&gt;0.01,(M29-J29)/J29,"")</f>
        <v>-7.5536178248052407E-2</v>
      </c>
    </row>
    <row r="30" spans="1:15" s="31" customFormat="1">
      <c r="A30" s="525"/>
      <c r="B30" s="500"/>
      <c r="C30" s="2602"/>
      <c r="D30" s="502"/>
      <c r="E30" s="2602"/>
      <c r="F30" s="501"/>
      <c r="G30" s="500"/>
      <c r="H30" s="2602"/>
      <c r="I30" s="503"/>
      <c r="J30" s="500"/>
      <c r="K30" s="2602"/>
      <c r="L30" s="504"/>
      <c r="M30" s="502"/>
      <c r="N30" s="2602"/>
      <c r="O30" s="477"/>
    </row>
    <row r="31" spans="1:15" s="34" customFormat="1" ht="20.25" customHeight="1">
      <c r="A31" s="520" t="str">
        <f>"Income Tax ( "&amp;IF(isoc=0,'Base Data'!$I$43,'Base Data'!$I$44)&amp;" )"</f>
        <v>Income Tax ( C.I.T )</v>
      </c>
      <c r="B31" s="478">
        <f ca="1">'Corporate Income Tax'!B15+'Personal Income Tax'!K22*'Personal Income Tax'!K19</f>
        <v>0</v>
      </c>
      <c r="C31" s="2594">
        <f ca="1">IFERROR(B31/B$5,0)</f>
        <v>0</v>
      </c>
      <c r="D31" s="478">
        <f ca="1">'Corporate Income Tax'!D15+'Personal Income Tax'!L22*'Personal Income Tax'!L19</f>
        <v>0</v>
      </c>
      <c r="E31" s="2594">
        <f ca="1">IFERROR(D31/D$5,0)</f>
        <v>0</v>
      </c>
      <c r="F31" s="475" t="str">
        <f ca="1">IF(ABS(B31)&gt;0.01,(D31-B31)/B31,"")</f>
        <v/>
      </c>
      <c r="G31" s="478">
        <f ca="1">'Corporate Income Tax'!G15+'Personal Income Tax'!M22*'Personal Income Tax'!M19</f>
        <v>0</v>
      </c>
      <c r="H31" s="2594">
        <f ca="1">IFERROR(G31/G$5,0)</f>
        <v>0</v>
      </c>
      <c r="I31" s="476" t="str">
        <f ca="1">IF(ABS(D31)&gt;0.01,(G31-D31)/D31,"")</f>
        <v/>
      </c>
      <c r="J31" s="478">
        <f ca="1">'Corporate Income Tax'!J15+'Personal Income Tax'!N22*'Personal Income Tax'!N19</f>
        <v>0</v>
      </c>
      <c r="K31" s="2594">
        <f ca="1">IFERROR(J31/J$5,0)</f>
        <v>0</v>
      </c>
      <c r="L31" s="477" t="str">
        <f ca="1">IF(ABS(G31)&gt;0.01,(J31-G31)/G31,"")</f>
        <v/>
      </c>
      <c r="M31" s="479">
        <f ca="1">'Corporate Income Tax'!M15+'Personal Income Tax'!O22*'Personal Income Tax'!O19</f>
        <v>0</v>
      </c>
      <c r="N31" s="2594">
        <f ca="1">IFERROR(M31/M$5,0)</f>
        <v>0</v>
      </c>
      <c r="O31" s="477" t="str">
        <f ca="1">IF(ABS(J31)&gt;0.01,(M31-J31)/J31,"")</f>
        <v/>
      </c>
    </row>
    <row r="32" spans="1:15" s="34" customFormat="1" ht="15.75" thickBot="1">
      <c r="A32" s="526"/>
      <c r="B32" s="508"/>
      <c r="C32" s="2603"/>
      <c r="D32" s="510"/>
      <c r="E32" s="2603"/>
      <c r="F32" s="509"/>
      <c r="G32" s="508"/>
      <c r="H32" s="2603"/>
      <c r="I32" s="511"/>
      <c r="J32" s="508"/>
      <c r="K32" s="2603"/>
      <c r="L32" s="512"/>
      <c r="M32" s="510"/>
      <c r="N32" s="2603"/>
      <c r="O32" s="480"/>
    </row>
    <row r="33" spans="1:15" s="34" customFormat="1" ht="22.5" customHeight="1" thickBot="1">
      <c r="A33" s="524" t="s">
        <v>644</v>
      </c>
      <c r="B33" s="513">
        <f ca="1">B29-B31</f>
        <v>-9276.7199999999993</v>
      </c>
      <c r="C33" s="2599">
        <f ca="1">IFERROR(B33/B$5,0)</f>
        <v>-1.2884333333333333</v>
      </c>
      <c r="D33" s="514">
        <f ca="1">D29-D31</f>
        <v>-5354.82</v>
      </c>
      <c r="E33" s="2599">
        <f ca="1">IFERROR(D33/D$5,0)</f>
        <v>-0.4332378640776699</v>
      </c>
      <c r="F33" s="505">
        <f ca="1">IF(ABS(B33)&gt;0.01,(D33-B33)/B33,"")</f>
        <v>-0.4227679610896955</v>
      </c>
      <c r="G33" s="513">
        <f ca="1">G29-G31</f>
        <v>-5090.561574000003</v>
      </c>
      <c r="H33" s="2599">
        <f ca="1">IFERROR(G33/G$5,0)</f>
        <v>-0.3808208345115785</v>
      </c>
      <c r="I33" s="506">
        <f ca="1">IF(ABS(D33)&gt;0.01,(G33-D33)/D33,"")</f>
        <v>-4.9349637522829282E-2</v>
      </c>
      <c r="J33" s="513">
        <f ca="1">J29-J31</f>
        <v>-4774.2439330812003</v>
      </c>
      <c r="K33" s="2599">
        <f ca="1">IFERROR(J33/J$5,0)</f>
        <v>-0.3300928917404567</v>
      </c>
      <c r="L33" s="507">
        <f ca="1">IF(ABS(G33)&gt;0.01,(J33-G33)/G33,"")</f>
        <v>-6.2138064007395993E-2</v>
      </c>
      <c r="M33" s="514">
        <f ca="1">M29-M31</f>
        <v>-4413.615792352296</v>
      </c>
      <c r="N33" s="2599">
        <f ca="1">IFERROR(M33/M$5,0)</f>
        <v>-0.28219922754613963</v>
      </c>
      <c r="O33" s="448">
        <f ca="1">IF(ABS(J33)&gt;0.01,(M33-J33)/J33,"")</f>
        <v>-7.5536178248052407E-2</v>
      </c>
    </row>
    <row r="34" spans="1:15">
      <c r="A34" s="1971" t="str">
        <f>'Executive Summary'!B53</f>
        <v/>
      </c>
      <c r="D34" s="159"/>
    </row>
    <row r="35" spans="1:15">
      <c r="A35" s="1409" t="str">
        <f>'Corporate Income Tax'!A35</f>
        <v>All quantities are expressed in Euros</v>
      </c>
      <c r="D35" s="159"/>
    </row>
    <row r="36" spans="1:15">
      <c r="A36" s="1409" t="str">
        <f>IF(mes0=1,"",CONCATENATE("Only ",12-mes0+1," months of activity in ",'Base Data'!B18,": ",B4," ( from ",LEFT('Base Data'!F21,LEN('Base Data'!F21)-8)," till ",Parameters!$B$72," )"))</f>
        <v/>
      </c>
      <c r="D36" s="159"/>
    </row>
    <row r="37" spans="1:15">
      <c r="A37" s="1409" t="str">
        <f>IF(irpf&lt;&gt;0,CONCATENATE("Forma jurídica: ",'Base Data'!B24,"  No sujeto a Imp. de Sociedades sino a I.R.P.F."),"")</f>
        <v/>
      </c>
      <c r="D37" s="159"/>
    </row>
    <row r="38" spans="1:15">
      <c r="A38" s="1409" t="str">
        <f>IF(A37="","","Las cuentas de resultados reflejan el resultado contable, NO el computable para el IRPF")</f>
        <v/>
      </c>
      <c r="D38" s="159"/>
    </row>
    <row r="39" spans="1:15">
      <c r="D39" s="159"/>
    </row>
    <row r="40" spans="1:15">
      <c r="D40" s="159"/>
    </row>
    <row r="41" spans="1:15">
      <c r="D41" s="159"/>
    </row>
    <row r="42" spans="1:15">
      <c r="D42" s="159"/>
    </row>
    <row r="43" spans="1:15">
      <c r="D43" s="159"/>
    </row>
  </sheetData>
  <sheetProtection sheet="1" objects="1" scenarios="1"/>
  <phoneticPr fontId="7" type="noConversion"/>
  <printOptions horizontalCentered="1" verticalCentered="1"/>
  <pageMargins left="0.61" right="0.61" top="0.33" bottom="0.45" header="0.11811023622047245" footer="0.11811023622047245"/>
  <pageSetup paperSize="9" scale="62" orientation="landscape" horizontalDpi="300" verticalDpi="300" r:id="rId1"/>
  <headerFooter alignWithMargins="0">
    <oddFooter>&amp;C&amp;"Tahoma,Normal"&amp;10&amp;A</oddFooter>
  </headerFooter>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0">
    <pageSetUpPr fitToPage="1"/>
  </sheetPr>
  <dimension ref="A1:O35"/>
  <sheetViews>
    <sheetView showGridLines="0" zoomScale="85" workbookViewId="0">
      <selection activeCell="A3" sqref="A3"/>
    </sheetView>
  </sheetViews>
  <sheetFormatPr baseColWidth="10" defaultColWidth="11" defaultRowHeight="15"/>
  <cols>
    <col min="1" max="1" width="29" style="20" customWidth="1"/>
    <col min="2" max="2" width="11.25" style="20" customWidth="1"/>
    <col min="3" max="3" width="10.5" style="20" customWidth="1"/>
    <col min="4" max="4" width="11.25" style="20" customWidth="1"/>
    <col min="5" max="6" width="10.5" style="20" customWidth="1"/>
    <col min="7" max="7" width="11.25" style="20" customWidth="1"/>
    <col min="8" max="9" width="10.5" style="20" customWidth="1"/>
    <col min="10" max="10" width="11.25" style="20" customWidth="1"/>
    <col min="11" max="11" width="10.5" style="20" customWidth="1"/>
    <col min="12" max="12" width="11.625" style="20" customWidth="1"/>
    <col min="13" max="13" width="11.25" style="20" customWidth="1"/>
    <col min="14" max="15" width="10.5" style="20" customWidth="1"/>
    <col min="16" max="16384" width="11" style="20"/>
  </cols>
  <sheetData>
    <row r="1" spans="1:15" ht="25.5">
      <c r="A1" s="936" t="str">
        <f>'Base Data'!$J$44</f>
        <v>Corporate Income Tax</v>
      </c>
      <c r="I1" s="934" t="str">
        <f>IF(isoc=0,CONCATENATE("Legal (Taxation) Form: ",'Base Data'!B24),"")</f>
        <v/>
      </c>
      <c r="J1" s="934"/>
      <c r="M1" s="934"/>
    </row>
    <row r="2" spans="1:15" ht="25.5">
      <c r="A2" s="936" t="str">
        <f>'Base Data'!$B$9</f>
        <v>WWW, Ltd.</v>
      </c>
      <c r="I2" s="934" t="str">
        <f>IF(isoc=0,"Not subject to "&amp;'Base Data'!$H$44,"")</f>
        <v/>
      </c>
      <c r="J2" s="934"/>
      <c r="M2" s="934"/>
    </row>
    <row r="3" spans="1:15" ht="23.25">
      <c r="I3" s="934" t="str">
        <f>IF(isoc=0,"SUBJECT TO "&amp;'Base Data'!$H$43,"")</f>
        <v/>
      </c>
      <c r="J3" s="934"/>
      <c r="M3" s="934"/>
    </row>
    <row r="4" spans="1:15" ht="23.25">
      <c r="F4" s="935"/>
      <c r="H4" s="2406"/>
    </row>
    <row r="5" spans="1:15" ht="23.25" thickBot="1">
      <c r="A5" s="445" t="str">
        <f>"Tax Quotes &amp; Payments on account of "&amp;'Base Data'!$H$44</f>
        <v>Tax Quotes &amp; Payments on account of Corporate Income Tax</v>
      </c>
      <c r="B5" s="23"/>
      <c r="D5" s="23"/>
      <c r="E5" s="23"/>
      <c r="F5" s="23"/>
      <c r="G5" s="23"/>
      <c r="H5" s="23"/>
      <c r="I5" s="23"/>
      <c r="J5" s="23"/>
      <c r="K5" s="23"/>
      <c r="L5" s="23"/>
      <c r="M5" s="23"/>
      <c r="N5" s="23"/>
      <c r="O5" s="23"/>
    </row>
    <row r="6" spans="1:15" s="34" customFormat="1" ht="20.25" customHeight="1" thickBot="1">
      <c r="A6" s="968"/>
      <c r="B6" s="969" t="str">
        <f>Parameters!D$65</f>
        <v>2026</v>
      </c>
      <c r="C6" s="970" t="s">
        <v>3</v>
      </c>
      <c r="D6" s="971" t="str">
        <f>Parameters!E$65</f>
        <v>2027</v>
      </c>
      <c r="E6" s="972" t="s">
        <v>10</v>
      </c>
      <c r="F6" s="453" t="s">
        <v>646</v>
      </c>
      <c r="G6" s="973" t="str">
        <f>Parameters!F$65</f>
        <v>2028</v>
      </c>
      <c r="H6" s="972" t="s">
        <v>3</v>
      </c>
      <c r="I6" s="970" t="str">
        <f>$F6</f>
        <v>diff</v>
      </c>
      <c r="J6" s="974" t="str">
        <f>Parameters!G$65</f>
        <v>2029</v>
      </c>
      <c r="K6" s="972" t="s">
        <v>3</v>
      </c>
      <c r="L6" s="970" t="str">
        <f>$F6</f>
        <v>diff</v>
      </c>
      <c r="M6" s="973" t="str">
        <f>Parameters!H$65</f>
        <v>2030</v>
      </c>
      <c r="N6" s="970" t="s">
        <v>3</v>
      </c>
      <c r="O6" s="970" t="str">
        <f>$F6</f>
        <v>diff</v>
      </c>
    </row>
    <row r="7" spans="1:15" s="34" customFormat="1" ht="20.25" customHeight="1">
      <c r="A7" s="939" t="s">
        <v>649</v>
      </c>
      <c r="B7" s="946">
        <f ca="1">IF('Yearly Income St'!B29&lt;0,0,IF(SUM(resprevio)&gt;0,0,IF('Yearly Income St'!B29&gt;-SUM(resprevio),-SUM(resprevio),'Yearly Income St'!B29)))</f>
        <v>0</v>
      </c>
      <c r="C7" s="942"/>
      <c r="D7" s="943">
        <f ca="1">IF('Yearly Income St'!D29&lt;0,0,IF(B9=0,0,IF('Yearly Income St'!D29&gt;B9,B9,'Yearly Income St'!D29)))</f>
        <v>0</v>
      </c>
      <c r="E7" s="944"/>
      <c r="F7" s="945"/>
      <c r="G7" s="946">
        <f ca="1">IF('Yearly Income St'!G29&lt;0,0,IF(D9=0,0,IF('Yearly Income St'!G29&gt;D9,D9,'Yearly Income St'!G29)))</f>
        <v>0</v>
      </c>
      <c r="H7" s="944"/>
      <c r="I7" s="947"/>
      <c r="J7" s="943">
        <f ca="1">IF('Yearly Income St'!J29&lt;0,0,IF(G9=0,0,IF('Yearly Income St'!J29&gt;G9,G9,'Yearly Income St'!J29)))</f>
        <v>0</v>
      </c>
      <c r="K7" s="944"/>
      <c r="L7" s="948"/>
      <c r="M7" s="946">
        <f ca="1">IF('Yearly Income St'!M29&lt;0,0,IF(J9=0,0,IF('Yearly Income St'!M29&gt;J9,J9,'Yearly Income St'!M29)))</f>
        <v>0</v>
      </c>
      <c r="N7" s="944"/>
      <c r="O7" s="947"/>
    </row>
    <row r="8" spans="1:15" ht="18" customHeight="1">
      <c r="A8" s="937"/>
      <c r="B8" s="949"/>
      <c r="C8" s="950"/>
      <c r="D8" s="951"/>
      <c r="E8" s="952"/>
      <c r="F8" s="953"/>
      <c r="G8" s="949"/>
      <c r="H8" s="952"/>
      <c r="I8" s="954"/>
      <c r="J8" s="951"/>
      <c r="K8" s="952"/>
      <c r="L8" s="953"/>
      <c r="M8" s="949"/>
      <c r="N8" s="952"/>
      <c r="O8" s="954"/>
    </row>
    <row r="9" spans="1:15" s="34" customFormat="1" ht="18" customHeight="1">
      <c r="A9" s="938" t="s">
        <v>648</v>
      </c>
      <c r="B9" s="1723">
        <f ca="1">IF('Balance Sheet Statements (EU)'!$D$28+'Balance Sheet Statements (EU)'!$D$30&lt;0,
      IF('Yearly Income St'!B29&lt;0,
          -'Yearly Income St'!B29-'Balance Sheet Statements (EU)'!$D$28-'Balance Sheet Statements (EU)'!$D$30,
           IF('Yearly Income St'!B29&gt;-'Balance Sheet Statements (EU)'!$D$28-'Balance Sheet Statements (EU)'!$D$30,
                0,
               -'Yearly Income St'!B29-'Balance Sheet Statements (EU)'!$D$28-'Balance Sheet Statements (EU)'!$D$30)),
     IF('Yearly Income St'!B29&gt;0,
          0,
          IF('Balance Sheet Statements (EU)'!$D$28+'Balance Sheet Statements (EU)'!$D$30&gt;-'Yearly Income St'!B29,
              -'Yearly Income St'!B29,
              -'Balance Sheet Statements (EU)'!$D$28-'Balance Sheet Statements (EU)'!$D$30-'Yearly Income St'!B29)))</f>
        <v>9941.7199999999993</v>
      </c>
      <c r="C9" s="962">
        <f ca="1">IFERROR(B9/'Yearly Income St'!B$5,0)</f>
        <v>1.3807944444444444</v>
      </c>
      <c r="D9" s="1634">
        <f ca="1">IF('Yearly Income St'!D29-B9&lt;0,-'Yearly Income St'!D29+B9,0)</f>
        <v>15296.539999999999</v>
      </c>
      <c r="E9" s="1406">
        <f ca="1">IFERROR(D9/'Yearly Income St'!D$5,0)</f>
        <v>1.237584142394822</v>
      </c>
      <c r="F9" s="961">
        <f ca="1">IF(ABS(B9)&gt;0.01,(D9-B9)/B9,"")</f>
        <v>0.53862108367566175</v>
      </c>
      <c r="G9" s="1635">
        <f ca="1">IF('Yearly Income St'!G29-D9&lt;0,-'Yearly Income St'!G29+D9,0)</f>
        <v>20387.101574</v>
      </c>
      <c r="H9" s="1406">
        <f ca="1">IFERROR(G9/'Yearly Income St'!G$5,0)</f>
        <v>1.5251427414878356</v>
      </c>
      <c r="I9" s="961">
        <f ca="1">IF(ABS(D9)&gt;0.01,(G9-D9)/D9,"")</f>
        <v>0.33279170152204363</v>
      </c>
      <c r="J9" s="1634">
        <f ca="1">IF('Yearly Income St'!J29-G9&lt;0,-'Yearly Income St'!J29+G9,0)</f>
        <v>25161.345507081202</v>
      </c>
      <c r="K9" s="1406">
        <f ca="1">IFERROR(J9/'Yearly Income St'!J$5,0)</f>
        <v>1.7396642096485688</v>
      </c>
      <c r="L9" s="958">
        <f ca="1">IF(ABS(G9)&gt;0.01,(J9-G9)/G9,"")</f>
        <v>0.23417963145726764</v>
      </c>
      <c r="M9" s="1635">
        <f ca="1">IF('Yearly Income St'!M29-J9&lt;0,-'Yearly Income St'!M29+J9,0)</f>
        <v>29574.961299433497</v>
      </c>
      <c r="N9" s="1406">
        <f ca="1">IFERROR(M9/'Yearly Income St'!M$5,0)</f>
        <v>1.8909736655983316</v>
      </c>
      <c r="O9" s="961">
        <f ca="1">IF(ABS(J9)&gt;0.01,(M9-J9)/J9,"")</f>
        <v>0.17541255061698363</v>
      </c>
    </row>
    <row r="10" spans="1:15" s="34" customFormat="1" ht="18" customHeight="1">
      <c r="A10" s="1633"/>
      <c r="B10" s="1635"/>
      <c r="C10" s="1636"/>
      <c r="D10" s="1634"/>
      <c r="E10" s="1637"/>
      <c r="F10" s="960"/>
      <c r="G10" s="1635"/>
      <c r="H10" s="1637"/>
      <c r="I10" s="959"/>
      <c r="J10" s="1634"/>
      <c r="K10" s="1637"/>
      <c r="L10" s="960"/>
      <c r="M10" s="1635"/>
      <c r="N10" s="1637"/>
      <c r="O10" s="959"/>
    </row>
    <row r="11" spans="1:15" s="34" customFormat="1" ht="18" customHeight="1">
      <c r="A11" s="940" t="s">
        <v>650</v>
      </c>
      <c r="B11" s="1635">
        <f ca="1">IF(isoc=0,0,IF(B9&gt;0,0,'Yearly Income St'!B29+IF(SUM(resprevio)&lt;0,SUM(resprevio),0)))</f>
        <v>0</v>
      </c>
      <c r="C11" s="1636" t="str">
        <f ca="1">IF(B11&lt;&gt;0,B11/'Yearly Income St'!B$5,"")</f>
        <v/>
      </c>
      <c r="D11" s="1634">
        <f ca="1">IF(isoc=0,0,IF('Yearly Income St'!D29-B9&gt;0,'Yearly Income St'!D29-B9,0))</f>
        <v>0</v>
      </c>
      <c r="E11" s="1406" t="str">
        <f ca="1">IF(D11&lt;&gt;0,D11/'Yearly Income St'!D$5,"")</f>
        <v/>
      </c>
      <c r="F11" s="960" t="str">
        <f ca="1">IF(ABS(B11)&gt;0.01,(D11-B11)/B11,"")</f>
        <v/>
      </c>
      <c r="G11" s="1635">
        <f ca="1">IF(isoc=0,0,IF('Yearly Income St'!G29-D9&gt;0,'Yearly Income St'!G29-D9,0))</f>
        <v>0</v>
      </c>
      <c r="H11" s="1406" t="str">
        <f ca="1">IF(G11&lt;&gt;0,G11/'Yearly Income St'!G$5,"")</f>
        <v/>
      </c>
      <c r="I11" s="961" t="str">
        <f ca="1">IF(ABS(D11)&gt;0.01,(G11-D11)/D11,"")</f>
        <v/>
      </c>
      <c r="J11" s="1634">
        <f ca="1">IF(isoc=0,0,IF('Yearly Income St'!J29-G9&gt;0,'Yearly Income St'!J29-G9,0))</f>
        <v>0</v>
      </c>
      <c r="K11" s="1406" t="str">
        <f ca="1">IF(J11&lt;&gt;0,J11/'Yearly Income St'!J$5,"")</f>
        <v/>
      </c>
      <c r="L11" s="958" t="str">
        <f ca="1">IF(ABS(G11)&gt;0.01,(J11-G11)/G11,"")</f>
        <v/>
      </c>
      <c r="M11" s="1635">
        <f ca="1">IF(isoc=0,0,IF('Yearly Income St'!M29-J9&gt;0,'Yearly Income St'!M29-J9,0))</f>
        <v>0</v>
      </c>
      <c r="N11" s="1406" t="str">
        <f ca="1">IF(M11&lt;&gt;0,M11/'Yearly Income St'!M$5,"")</f>
        <v/>
      </c>
      <c r="O11" s="961" t="str">
        <f ca="1">IF(ABS(J11)&gt;0.01,(M11-J11)/J11,"")</f>
        <v/>
      </c>
    </row>
    <row r="12" spans="1:15" s="34" customFormat="1" ht="18" customHeight="1">
      <c r="A12" s="1649" t="str">
        <f>CONCATENATE("Taxable Base at ",TEXT(isoc,"0%"))</f>
        <v>Taxable Base at 25%</v>
      </c>
      <c r="B12" s="1638">
        <f ca="1">MIN(B11,'Base Data'!$C$83)</f>
        <v>0</v>
      </c>
      <c r="C12" s="956" t="str">
        <f t="shared" ref="C12:E13" ca="1" si="0">IF(B$11&lt;&gt;0,B12/B$11,"")</f>
        <v/>
      </c>
      <c r="D12" s="1638">
        <f ca="1">MIN(D11,'Base Data'!$C$83)</f>
        <v>0</v>
      </c>
      <c r="E12" s="957" t="str">
        <f t="shared" ca="1" si="0"/>
        <v/>
      </c>
      <c r="F12" s="1639" t="str">
        <f ca="1">IF(ABS(B12)&gt;0.01,(D12-B12)/B12,"")</f>
        <v/>
      </c>
      <c r="G12" s="1638">
        <f ca="1">MIN(G11,'Base Data'!$C$83)</f>
        <v>0</v>
      </c>
      <c r="H12" s="957" t="str">
        <f ca="1">IF(G$11&lt;&gt;0,G12/G$11,"")</f>
        <v/>
      </c>
      <c r="I12" s="960" t="str">
        <f ca="1">IF(ABS(D12)&gt;0.01,(G12-D12)/D12,"")</f>
        <v/>
      </c>
      <c r="J12" s="1638">
        <f ca="1">MIN(J11,'Base Data'!$C$83)</f>
        <v>0</v>
      </c>
      <c r="K12" s="957" t="str">
        <f ca="1">IF(J$11&lt;&gt;0,J12/J$11,"")</f>
        <v/>
      </c>
      <c r="L12" s="960" t="str">
        <f ca="1">IF(ABS(G12)&gt;0.01,(J12-G12)/G12,"")</f>
        <v/>
      </c>
      <c r="M12" s="1638">
        <f ca="1">MIN(M11,'Base Data'!$C$83)</f>
        <v>0</v>
      </c>
      <c r="N12" s="957" t="str">
        <f ca="1">IF(M$11&lt;&gt;0,M12/M$11,"")</f>
        <v/>
      </c>
      <c r="O12" s="959" t="str">
        <f ca="1">IF(ABS(J12)&gt;0.01,(M12-J12)/J12,"")</f>
        <v/>
      </c>
    </row>
    <row r="13" spans="1:15" s="34" customFormat="1" ht="18" customHeight="1">
      <c r="A13" s="1649" t="str">
        <f>CONCATENATE("Taxable Base at ",TEXT('Base Data'!C37,"0%"))</f>
        <v>Taxable Base at 25%</v>
      </c>
      <c r="B13" s="1638">
        <f ca="1">B11-B12</f>
        <v>0</v>
      </c>
      <c r="C13" s="956" t="str">
        <f t="shared" ca="1" si="0"/>
        <v/>
      </c>
      <c r="D13" s="1638">
        <f ca="1">D11-D12</f>
        <v>0</v>
      </c>
      <c r="E13" s="957" t="str">
        <f t="shared" ca="1" si="0"/>
        <v/>
      </c>
      <c r="F13" s="1640" t="str">
        <f ca="1">IF(ABS(B13)&gt;0.01,(D13-B13)/B13,"")</f>
        <v/>
      </c>
      <c r="G13" s="1638">
        <f ca="1">G11-G12</f>
        <v>0</v>
      </c>
      <c r="H13" s="957" t="str">
        <f ca="1">IF(G$11&lt;&gt;0,G13/G$11,"")</f>
        <v/>
      </c>
      <c r="I13" s="958" t="str">
        <f ca="1">IF(ABS(D13)&gt;0.01,(G13-D13)/D13,"")</f>
        <v/>
      </c>
      <c r="J13" s="1638">
        <f ca="1">J11-J12</f>
        <v>0</v>
      </c>
      <c r="K13" s="957" t="str">
        <f ca="1">IF(J$11&lt;&gt;0,J13/J$11,"")</f>
        <v/>
      </c>
      <c r="L13" s="958" t="str">
        <f ca="1">IF(ABS(G13)&gt;0.01,(J13-G13)/G13,"")</f>
        <v/>
      </c>
      <c r="M13" s="1638">
        <f ca="1">M11-M12</f>
        <v>0</v>
      </c>
      <c r="N13" s="957" t="str">
        <f ca="1">IF(M$11&lt;&gt;0,M13/M$11,"")</f>
        <v/>
      </c>
      <c r="O13" s="961" t="str">
        <f ca="1">IF(ABS(J13)&gt;0.01,(M13-J13)/J13,"")</f>
        <v/>
      </c>
    </row>
    <row r="14" spans="1:15" s="34" customFormat="1" ht="13.5" customHeight="1">
      <c r="A14" s="1649"/>
      <c r="B14" s="1638"/>
      <c r="C14" s="956"/>
      <c r="D14" s="1638"/>
      <c r="E14" s="957"/>
      <c r="F14" s="1640"/>
      <c r="G14" s="1638"/>
      <c r="H14" s="957"/>
      <c r="I14" s="958"/>
      <c r="J14" s="1638"/>
      <c r="K14" s="957"/>
      <c r="L14" s="958"/>
      <c r="M14" s="1638"/>
      <c r="N14" s="957"/>
      <c r="O14" s="961"/>
    </row>
    <row r="15" spans="1:15" s="34" customFormat="1" ht="21.75" customHeight="1">
      <c r="A15" s="940" t="s">
        <v>663</v>
      </c>
      <c r="B15" s="955">
        <f ca="1">B12*isoc+B13*'Base Data'!$C$37</f>
        <v>0</v>
      </c>
      <c r="C15" s="956" t="str">
        <f ca="1">IF(B15&lt;&gt;0,B15/'Yearly Income St'!B$29,"")</f>
        <v/>
      </c>
      <c r="D15" s="955">
        <f ca="1">D12*isoc+D13*'Base Data'!$C$37</f>
        <v>0</v>
      </c>
      <c r="E15" s="957" t="str">
        <f ca="1">IF(D15&lt;&gt;0,D15/'Yearly Income St'!D$29,"")</f>
        <v/>
      </c>
      <c r="F15" s="958" t="str">
        <f ca="1">IF(ABS(B15)&gt;0.01,(D15-B15)/B15,"")</f>
        <v/>
      </c>
      <c r="G15" s="955">
        <f ca="1">G12*isoc+G13*'Base Data'!$C$37</f>
        <v>0</v>
      </c>
      <c r="H15" s="957" t="str">
        <f ca="1">IF(G15&lt;&gt;0,G15/'Yearly Income St'!G$29,"")</f>
        <v/>
      </c>
      <c r="I15" s="959" t="str">
        <f ca="1">IF(ABS(D15)&gt;0.01,(G15-D15)/D15,"")</f>
        <v/>
      </c>
      <c r="J15" s="955">
        <f ca="1">J12*isoc+J13*'Base Data'!$C$37</f>
        <v>0</v>
      </c>
      <c r="K15" s="957" t="str">
        <f ca="1">IF(J15&lt;&gt;0,J15/'Yearly Income St'!J$29,"")</f>
        <v/>
      </c>
      <c r="L15" s="960" t="str">
        <f ca="1">IF(ABS(G15)&gt;0.01,(J15-G15)/G15,"")</f>
        <v/>
      </c>
      <c r="M15" s="955">
        <f ca="1">M12*isoc+M13*'Base Data'!$C$37</f>
        <v>0</v>
      </c>
      <c r="N15" s="957" t="str">
        <f ca="1">IF(M15&lt;&gt;0,M15/'Yearly Income St'!M$29,"")</f>
        <v/>
      </c>
      <c r="O15" s="961" t="str">
        <f ca="1">IF(ABS(J15)&gt;0.01,(M15-J15)/J15,"")</f>
        <v/>
      </c>
    </row>
    <row r="16" spans="1:15" s="34" customFormat="1" ht="18" customHeight="1">
      <c r="A16" s="1633"/>
      <c r="B16" s="1635"/>
      <c r="C16" s="1636"/>
      <c r="D16" s="1634"/>
      <c r="E16" s="1406"/>
      <c r="F16" s="960"/>
      <c r="G16" s="1635"/>
      <c r="H16" s="1406"/>
      <c r="I16" s="961"/>
      <c r="J16" s="1634"/>
      <c r="K16" s="1406"/>
      <c r="L16" s="958"/>
      <c r="M16" s="1635"/>
      <c r="N16" s="1406"/>
      <c r="O16" s="961"/>
    </row>
    <row r="17" spans="1:15" s="34" customFormat="1" ht="18" customHeight="1">
      <c r="A17" s="2005" t="s">
        <v>664</v>
      </c>
      <c r="B17" s="2006" t="str">
        <f>'Base Data'!$B$38</f>
        <v>Current year</v>
      </c>
      <c r="C17" s="2007"/>
      <c r="D17" s="2004">
        <f>'Base Data'!$D$38</f>
        <v>1</v>
      </c>
      <c r="E17" s="1637"/>
      <c r="F17" s="960"/>
      <c r="G17" s="1635"/>
      <c r="H17" s="1637"/>
      <c r="I17" s="959"/>
      <c r="J17" s="1634"/>
      <c r="K17" s="1637"/>
      <c r="L17" s="960"/>
      <c r="M17" s="1635"/>
      <c r="N17" s="1637"/>
      <c r="O17" s="959"/>
    </row>
    <row r="18" spans="1:15" s="34" customFormat="1" ht="18" customHeight="1">
      <c r="A18" s="1641" t="s">
        <v>651</v>
      </c>
      <c r="B18" s="1642">
        <f ca="1">IF($D$17=-1,0,
IF('Income St 0'!$D$31&gt;0,'Income St 0'!$D$31*'Base Data'!$C$39,0))</f>
        <v>0</v>
      </c>
      <c r="C18" s="962" t="str">
        <f ca="1">IF(B18&lt;&gt;0,B18/'Yearly Income St'!B$29,"")</f>
        <v/>
      </c>
      <c r="D18" s="1643">
        <f ca="1">IF($D$17=-1,B19,
IF('Income St 1'!$D$31&gt;0,'Income St 1'!$D$31*'Base Data'!$C$39,0))</f>
        <v>0</v>
      </c>
      <c r="E18" s="1637" t="str">
        <f ca="1">IF(D18&lt;&gt;0,D18/'Yearly Income St'!D$29,"")</f>
        <v/>
      </c>
      <c r="F18" s="958" t="str">
        <f ca="1">IF(ABS(B18)&gt;0.01,(D18-B18)/B18,"")</f>
        <v/>
      </c>
      <c r="G18" s="1642">
        <f ca="1">IF($D$17=-1,D19,
IF('Income St 2'!$D$31&gt;0,'Income St 2'!$D$31*'Base Data'!$C$39,0))</f>
        <v>0</v>
      </c>
      <c r="H18" s="1637"/>
      <c r="I18" s="961" t="str">
        <f ca="1">IF(ABS(D18)&gt;0.01,(G18-D18)/D18,"")</f>
        <v/>
      </c>
      <c r="J18" s="1643">
        <f ca="1">IF($D$17=-1,G19,
IF('Income St 3'!$D$31&gt;0,'Income St 3'!$D$31*'Base Data'!$C$39,0))</f>
        <v>0</v>
      </c>
      <c r="K18" s="1637"/>
      <c r="L18" s="958" t="str">
        <f ca="1">IF(ABS(G18)&gt;0.01,(J18-G18)/G18,"")</f>
        <v/>
      </c>
      <c r="M18" s="1642">
        <f ca="1">IF($D$17=-1,J19,
IF('Income St 4'!$D$31&gt;0,'Income St 4'!$D$31*'Base Data'!$C$39,0))</f>
        <v>0</v>
      </c>
      <c r="N18" s="1637"/>
      <c r="O18" s="961" t="str">
        <f ca="1">IF(ABS(J18)&gt;0.01,(M18-J18)/J18,"")</f>
        <v/>
      </c>
    </row>
    <row r="19" spans="1:15" s="34" customFormat="1" ht="18" customHeight="1">
      <c r="A19" s="1641" t="s">
        <v>652</v>
      </c>
      <c r="B19" s="1642">
        <f ca="1">IF($D$17=-1,IF(AND(isoc&lt;&gt;0,SUM(resprevio)&gt;0,'Initial Funding'!$B$12&gt;0),
          'Initial Funding'!$B$12*'Base Data'!$C$39,   0),
    IF('Income St 0'!$J$31*'Base Data'!$C$39-B18&gt;0,'Income St 0'!$J$31*'Base Data'!$C$39-B18,0))</f>
        <v>0</v>
      </c>
      <c r="C19" s="962" t="str">
        <f ca="1">IF(B19&lt;&gt;0,B19/'Yearly Income St'!B$29,"")</f>
        <v/>
      </c>
      <c r="D19" s="1643">
        <f ca="1">IF($D$17=-1,$B$15*'Base Data'!$C$39,
    IF('Income St 1'!$J$31*'Base Data'!$C$39-D18&gt;0,'Income St 1'!$J$31*'Base Data'!$C$39-D18,0))</f>
        <v>0</v>
      </c>
      <c r="E19" s="1406" t="str">
        <f ca="1">IF(D19&lt;&gt;0,D19/'Yearly Income St'!D$29,"")</f>
        <v/>
      </c>
      <c r="F19" s="958" t="str">
        <f ca="1">IF(ABS(B19)&gt;0.01,(D19-B19)/B19,"")</f>
        <v/>
      </c>
      <c r="G19" s="1642">
        <f ca="1">IF($D$17=-1,$D$15*'Base Data'!$C$39,
    IF('Income St 2'!$J$31*'Base Data'!$C$39-G18&gt;0,'Income St 2'!$J$31*'Base Data'!$C$39-G18,0))</f>
        <v>0</v>
      </c>
      <c r="H19" s="1637"/>
      <c r="I19" s="961" t="str">
        <f ca="1">IF(ABS(D19)&gt;0.01,(G19-D19)/D19,"")</f>
        <v/>
      </c>
      <c r="J19" s="1643">
        <f ca="1">IF($D$17=-1,$G$15*'Base Data'!$C$39,
    IF('Income St 3'!$J$31*'Base Data'!$C$39-J18&gt;0,'Income St 3'!$J$31*'Base Data'!$C$39-J18,0))</f>
        <v>0</v>
      </c>
      <c r="K19" s="1637"/>
      <c r="L19" s="958" t="str">
        <f ca="1">IF(ABS(G19)&gt;0.01,(J19-G19)/G19,"")</f>
        <v/>
      </c>
      <c r="M19" s="1642">
        <f ca="1">IF($D$17=-1,$J$15*'Base Data'!$C$39,
    IF('Income St 4'!$J$31*'Base Data'!$C$39-M18&gt;0,'Income St 4'!$J$31*'Base Data'!$C$39-M18,0))</f>
        <v>0</v>
      </c>
      <c r="N19" s="1637"/>
      <c r="O19" s="961" t="str">
        <f ca="1">IF(ABS(J19)&gt;0.01,(M19-J19)/J19,"")</f>
        <v/>
      </c>
    </row>
    <row r="20" spans="1:15" s="34" customFormat="1" ht="18" customHeight="1">
      <c r="A20" s="1641" t="s">
        <v>653</v>
      </c>
      <c r="B20" s="1642">
        <f ca="1">IF($D$17=-1,B19,
IF('Income St 0'!$L$31*'Base Data'!$C$39-B19-B18&gt;0,'Income St 0'!$L$31*'Base Data'!$C$39-B19-B18,0))</f>
        <v>0</v>
      </c>
      <c r="C20" s="962" t="str">
        <f ca="1">IF(B20&lt;&gt;0,B20/'Yearly Income St'!B$29,"")</f>
        <v/>
      </c>
      <c r="D20" s="1643">
        <f ca="1">IF($D$17=-1,D19,
IF('Income St 1'!$L$31*'Base Data'!$C$39-D19-D18&gt;0,'Income St 1'!$L$31*'Base Data'!$C$39-D19-D18,0))</f>
        <v>0</v>
      </c>
      <c r="E20" s="1406" t="str">
        <f ca="1">IF(D20&lt;&gt;0,D20/'Yearly Income St'!D$29,"")</f>
        <v/>
      </c>
      <c r="F20" s="958" t="str">
        <f ca="1">IF(ABS(B20)&gt;0.01,(D20-B20)/B20,"")</f>
        <v/>
      </c>
      <c r="G20" s="1642">
        <f ca="1">IF($D$17=-1,G19,
IF('Income St 2'!$L$31*'Base Data'!$C$39-G19-G18&gt;0,'Income St 2'!$L$31*'Base Data'!$C$39-G19-G18,0))</f>
        <v>0</v>
      </c>
      <c r="H20" s="1637"/>
      <c r="I20" s="961" t="str">
        <f ca="1">IF(ABS(D20)&gt;0.01,(G20-D20)/D20,"")</f>
        <v/>
      </c>
      <c r="J20" s="1643">
        <f ca="1">IF($D$17=-1,J19,
IF('Income St 3'!$L$31*'Base Data'!$C$39-J19-J18&gt;0,'Income St 3'!$L$31*'Base Data'!$C$39-J19-J18,0))</f>
        <v>0</v>
      </c>
      <c r="K20" s="1637"/>
      <c r="L20" s="958" t="str">
        <f ca="1">IF(ABS(G20)&gt;0.01,(J20-G20)/G20,"")</f>
        <v/>
      </c>
      <c r="M20" s="1642">
        <f ca="1">IF($D$17=-1,M19,
IF('Income St 4'!$L$31*'Base Data'!$C$39-M19-M18&gt;0,'Income St 4'!$L$31*'Base Data'!$C$39-M19-M18,0))</f>
        <v>0</v>
      </c>
      <c r="N20" s="1637"/>
      <c r="O20" s="961" t="str">
        <f ca="1">IF(ABS(J20)&gt;0.01,(M20-J20)/J20,"")</f>
        <v/>
      </c>
    </row>
    <row r="21" spans="1:15" s="34" customFormat="1">
      <c r="A21" s="1644"/>
      <c r="B21" s="1635"/>
      <c r="C21" s="1636"/>
      <c r="D21" s="1634"/>
      <c r="E21" s="1637"/>
      <c r="F21" s="960"/>
      <c r="G21" s="1635"/>
      <c r="H21" s="1637"/>
      <c r="I21" s="959"/>
      <c r="J21" s="1634"/>
      <c r="K21" s="1637"/>
      <c r="L21" s="960"/>
      <c r="M21" s="1635"/>
      <c r="N21" s="1637"/>
      <c r="O21" s="959"/>
    </row>
    <row r="23" spans="1:15" s="34" customFormat="1" ht="21.75" customHeight="1">
      <c r="A23" s="940" t="s">
        <v>661</v>
      </c>
      <c r="B23" s="955">
        <f ca="1">B15-SUM(B18:B20)</f>
        <v>0</v>
      </c>
      <c r="C23" s="962" t="str">
        <f ca="1">IF(B23&lt;&gt;0,B23/'Yearly Income St'!B$29,"")</f>
        <v/>
      </c>
      <c r="D23" s="963">
        <f ca="1">D15-SUM(D18:D20)</f>
        <v>0</v>
      </c>
      <c r="E23" s="1406" t="str">
        <f ca="1">IF(D23&lt;&gt;0,D23/'Yearly Income St'!D$29,"")</f>
        <v/>
      </c>
      <c r="F23" s="1408" t="str">
        <f ca="1">IF(ABS(B23)&gt;0.01,(D23-B23)/B23,"")</f>
        <v/>
      </c>
      <c r="G23" s="955">
        <f ca="1">G15-SUM(G18:G20)</f>
        <v>0</v>
      </c>
      <c r="H23" s="1406" t="str">
        <f ca="1">IF(G23&lt;&gt;0,G23/'Yearly Income St'!G$29,"")</f>
        <v/>
      </c>
      <c r="I23" s="961" t="str">
        <f ca="1">IF(ABS(D23)&gt;0.01,(G23-D23)/D23,"")</f>
        <v/>
      </c>
      <c r="J23" s="963">
        <f ca="1">J15-SUM(J18:J20)</f>
        <v>0</v>
      </c>
      <c r="K23" s="1406" t="str">
        <f ca="1">IF(J23&lt;&gt;0,J23/'Yearly Income St'!J$29,"")</f>
        <v/>
      </c>
      <c r="L23" s="958" t="str">
        <f ca="1">IF(ABS(G23)&gt;0.01,(J23-G23)/G23,"")</f>
        <v/>
      </c>
      <c r="M23" s="955">
        <f ca="1">M15-SUM(M18:M20)</f>
        <v>0</v>
      </c>
      <c r="N23" s="1406" t="str">
        <f ca="1">IF(M23&lt;&gt;0,M23/'Yearly Income St'!M$29,"")</f>
        <v/>
      </c>
      <c r="O23" s="961" t="str">
        <f ca="1">IF(ABS(J23)&gt;0.01,(M23-J23)/J23,"")</f>
        <v/>
      </c>
    </row>
    <row r="24" spans="1:15" s="34" customFormat="1" ht="21.75" customHeight="1">
      <c r="A24" s="940" t="s">
        <v>660</v>
      </c>
      <c r="B24" s="955">
        <f ca="1">'Yearly Income St'!B29-B15</f>
        <v>-9276.7199999999993</v>
      </c>
      <c r="C24" s="962">
        <f ca="1">IF(B24&lt;&gt;0,B24/'Yearly Income St'!B$29,"")</f>
        <v>1</v>
      </c>
      <c r="D24" s="963">
        <f ca="1">'Yearly Income St'!D29-D15</f>
        <v>-5354.82</v>
      </c>
      <c r="E24" s="1406">
        <f ca="1">IF(D24&lt;&gt;0,D24/'Yearly Income St'!D$29,"")</f>
        <v>1</v>
      </c>
      <c r="F24" s="958">
        <f ca="1">IF(ABS(B24)&gt;0.01,(D24-B24)/B24,"")</f>
        <v>-0.4227679610896955</v>
      </c>
      <c r="G24" s="955">
        <f ca="1">'Yearly Income St'!G29-G15</f>
        <v>-5090.561574000003</v>
      </c>
      <c r="H24" s="1406">
        <f ca="1">IF(G24&lt;&gt;0,G24/'Yearly Income St'!G$29,"")</f>
        <v>1</v>
      </c>
      <c r="I24" s="961">
        <f ca="1">IF(ABS(D24)&gt;0.01,(G24-D24)/D24,"")</f>
        <v>-4.9349637522829282E-2</v>
      </c>
      <c r="J24" s="963">
        <f ca="1">'Yearly Income St'!J29-J15</f>
        <v>-4774.2439330812003</v>
      </c>
      <c r="K24" s="1406">
        <f ca="1">IF(J24&lt;&gt;0,J24/'Yearly Income St'!J$29,"")</f>
        <v>1</v>
      </c>
      <c r="L24" s="958">
        <f ca="1">IF(ABS(G24)&gt;0.01,(J24-G24)/G24,"")</f>
        <v>-6.2138064007395993E-2</v>
      </c>
      <c r="M24" s="955">
        <f ca="1">'Yearly Income St'!M29-M15</f>
        <v>-4413.615792352296</v>
      </c>
      <c r="N24" s="1406">
        <f ca="1">IF(M24&lt;&gt;0,M24/'Yearly Income St'!M$29,"")</f>
        <v>1</v>
      </c>
      <c r="O24" s="961">
        <f ca="1">IF(ABS(J24)&gt;0.01,(M24-J24)/J24,"")</f>
        <v>-7.5536178248052407E-2</v>
      </c>
    </row>
    <row r="25" spans="1:15" s="34" customFormat="1" ht="21.75" customHeight="1" thickBot="1">
      <c r="A25" s="941" t="s">
        <v>662</v>
      </c>
      <c r="B25" s="2361">
        <f ca="1">(1-isoc)*B12+(1-'Base Data'!$C$37)*B13
+IF(SUM(resprevio)&gt;0,SUM(resprevio),0)*0</f>
        <v>0</v>
      </c>
      <c r="C25" s="1407" t="str">
        <f ca="1">IF(B25&lt;&gt;0,B25/'Yearly Income St'!B$29,"")</f>
        <v/>
      </c>
      <c r="D25" s="964">
        <f ca="1">(1-isoc)*D12+(1-'Base Data'!$C$37)*D13</f>
        <v>0</v>
      </c>
      <c r="E25" s="1385" t="str">
        <f ca="1">IF(D25&lt;&gt;0,D25/'Yearly Income St'!D$29,"")</f>
        <v/>
      </c>
      <c r="F25" s="965" t="str">
        <f ca="1">IF(ABS(B25)&gt;0.01,(D25-B25)/B25,"")</f>
        <v/>
      </c>
      <c r="G25" s="966">
        <f ca="1">(1-isoc)*G12+(1-'Base Data'!$C$37)*G13</f>
        <v>0</v>
      </c>
      <c r="H25" s="1385" t="str">
        <f ca="1">IF(G25&lt;&gt;0,G25/'Yearly Income St'!G$29,"")</f>
        <v/>
      </c>
      <c r="I25" s="967" t="str">
        <f ca="1">IF(ABS(D25)&gt;0.01,(G25-D25)/D25,"")</f>
        <v/>
      </c>
      <c r="J25" s="964">
        <f ca="1">(1-isoc)*J12+(1-'Base Data'!$C$37)*J13</f>
        <v>0</v>
      </c>
      <c r="K25" s="1385" t="str">
        <f ca="1">IF(J25&lt;&gt;0,J25/'Yearly Income St'!J$29,"")</f>
        <v/>
      </c>
      <c r="L25" s="965" t="str">
        <f ca="1">IF(ABS(G25)&gt;0.01,(J25-G25)/G25,"")</f>
        <v/>
      </c>
      <c r="M25" s="966">
        <f ca="1">(1-isoc)*M12+(1-'Base Data'!$C$37)*M13</f>
        <v>0</v>
      </c>
      <c r="N25" s="1385" t="str">
        <f ca="1">IF(M25&lt;&gt;0,M25/'Yearly Income St'!M$29,"")</f>
        <v/>
      </c>
      <c r="O25" s="967" t="str">
        <f ca="1">IF(ABS(J25)&gt;0.01,(M25-J25)/J25,"")</f>
        <v/>
      </c>
    </row>
    <row r="27" spans="1:15">
      <c r="A27" s="23" t="str">
        <f>IF(mes0=1,"",CONCATENATE("(Only ",12-mes0+1," months of activity in year 0: ",B6,")"))</f>
        <v/>
      </c>
    </row>
    <row r="29" spans="1:15" ht="23.25" thickBot="1">
      <c r="A29" s="445" t="s">
        <v>654</v>
      </c>
      <c r="D29" s="159"/>
    </row>
    <row r="30" spans="1:15" s="34" customFormat="1" ht="19.5" customHeight="1" thickBot="1">
      <c r="A30" s="968"/>
      <c r="B30" s="973" t="str">
        <f>B6</f>
        <v>2026</v>
      </c>
      <c r="C30" s="1645" t="s">
        <v>655</v>
      </c>
      <c r="D30" s="969" t="str">
        <f>D6</f>
        <v>2027</v>
      </c>
      <c r="E30" s="1646" t="s">
        <v>656</v>
      </c>
      <c r="F30" s="1647" t="s">
        <v>657</v>
      </c>
      <c r="G30" s="971" t="str">
        <f>G6</f>
        <v>2028</v>
      </c>
      <c r="H30" s="1646" t="s">
        <v>656</v>
      </c>
      <c r="I30" s="1648" t="s">
        <v>657</v>
      </c>
      <c r="J30" s="973" t="str">
        <f>J6</f>
        <v>2029</v>
      </c>
      <c r="K30" s="1646" t="s">
        <v>656</v>
      </c>
      <c r="L30" s="1648" t="s">
        <v>657</v>
      </c>
      <c r="M30" s="969" t="str">
        <f>M6</f>
        <v>2030</v>
      </c>
      <c r="N30" s="1646" t="s">
        <v>656</v>
      </c>
      <c r="O30" s="1647" t="s">
        <v>657</v>
      </c>
    </row>
    <row r="31" spans="1:15" s="34" customFormat="1" ht="21" customHeight="1">
      <c r="A31" s="1527" t="s">
        <v>658</v>
      </c>
      <c r="B31" s="1377">
        <f ca="1">B$25*Parameters!C42</f>
        <v>0</v>
      </c>
      <c r="C31" s="1378" t="str">
        <f ca="1">IF(B31&lt;&gt;0,B31/B$25,"")</f>
        <v/>
      </c>
      <c r="D31" s="1377">
        <f ca="1">D$25*Parameters!D42</f>
        <v>0</v>
      </c>
      <c r="E31" s="1379" t="str">
        <f ca="1">IF(D31&lt;&gt;0,D31/D$25,"")</f>
        <v/>
      </c>
      <c r="F31" s="1380" t="str">
        <f ca="1">IF(B31&lt;&gt;0,(D31-B31)/B31,"")</f>
        <v/>
      </c>
      <c r="G31" s="1381">
        <f ca="1">G$25*Parameters!E42</f>
        <v>0</v>
      </c>
      <c r="H31" s="1379" t="str">
        <f ca="1">IF(G31&lt;&gt;0,G31/G$25,"")</f>
        <v/>
      </c>
      <c r="I31" s="1382" t="str">
        <f ca="1">IF(D31&lt;&gt;0,(G31-D31)/D31,"")</f>
        <v/>
      </c>
      <c r="J31" s="1377">
        <f ca="1">J$25*Parameters!F42</f>
        <v>0</v>
      </c>
      <c r="K31" s="1379" t="str">
        <f ca="1">IF(J31&lt;&gt;0,J31/J$25,"")</f>
        <v/>
      </c>
      <c r="L31" s="1382" t="str">
        <f ca="1">IF(G31&lt;&gt;0,(J31-G31)/G31,"")</f>
        <v/>
      </c>
      <c r="M31" s="1377">
        <f ca="1">M$25*Parameters!G42</f>
        <v>0</v>
      </c>
      <c r="N31" s="1379" t="str">
        <f ca="1">IF(M31&lt;&gt;0,M31/M$25,"")</f>
        <v/>
      </c>
      <c r="O31" s="1380" t="str">
        <f ca="1">IF(J31&lt;&gt;0,(M31-J31)/J31,"")</f>
        <v/>
      </c>
    </row>
    <row r="32" spans="1:15" s="34" customFormat="1" ht="21" customHeight="1" thickBot="1">
      <c r="A32" s="1528" t="s">
        <v>659</v>
      </c>
      <c r="B32" s="1383">
        <f ca="1">B$25*Parameters!C43</f>
        <v>0</v>
      </c>
      <c r="C32" s="1384" t="str">
        <f ca="1">IF(B32&lt;&gt;0,B32/B$25,"")</f>
        <v/>
      </c>
      <c r="D32" s="1383">
        <f ca="1">D$25*Parameters!D43</f>
        <v>0</v>
      </c>
      <c r="E32" s="1385" t="str">
        <f ca="1">IF(D32&lt;&gt;0,D32/D$25,"")</f>
        <v/>
      </c>
      <c r="F32" s="1386" t="str">
        <f ca="1">IF(B32&lt;&gt;0,(D32-B32)/B32,"")</f>
        <v/>
      </c>
      <c r="G32" s="1387">
        <f ca="1">G$25*Parameters!E43</f>
        <v>0</v>
      </c>
      <c r="H32" s="1385" t="str">
        <f ca="1">IF(G32&lt;&gt;0,G32/G$25,"")</f>
        <v/>
      </c>
      <c r="I32" s="1388" t="str">
        <f ca="1">IF(D32&lt;&gt;0,(G32-D32)/D32,"")</f>
        <v/>
      </c>
      <c r="J32" s="1383">
        <f ca="1">J$25*Parameters!F43</f>
        <v>0</v>
      </c>
      <c r="K32" s="1385" t="str">
        <f ca="1">IF(J32&lt;&gt;0,J32/J$25,"")</f>
        <v/>
      </c>
      <c r="L32" s="1388" t="str">
        <f ca="1">IF(G32&lt;&gt;0,(J32-G32)/G32,"")</f>
        <v/>
      </c>
      <c r="M32" s="1383">
        <f ca="1">M$25*Parameters!G43</f>
        <v>0</v>
      </c>
      <c r="N32" s="1385" t="str">
        <f ca="1">IF(M32&lt;&gt;0,M32/M$25,"")</f>
        <v/>
      </c>
      <c r="O32" s="1386" t="str">
        <f ca="1">IF(J32&lt;&gt;0,(M32-J32)/J32,"")</f>
        <v/>
      </c>
    </row>
    <row r="35" spans="1:1">
      <c r="A35" s="20" t="str">
        <f>CONCATENATE("All quantities are expressed in ",Parameters!$G$11)</f>
        <v>All quantities are expressed in Euros</v>
      </c>
    </row>
  </sheetData>
  <sheetProtection sheet="1" objects="1" scenarios="1"/>
  <phoneticPr fontId="7" type="noConversion"/>
  <printOptions horizontalCentered="1" verticalCentered="1"/>
  <pageMargins left="0.55118110236220474" right="0.75" top="0.52" bottom="1" header="0" footer="0"/>
  <pageSetup paperSize="9" scale="68" orientation="landscape" r:id="rId1"/>
  <headerFooter alignWithMargins="0"/>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0EFB90-782E-4842-AB54-64B348C8E2D3}">
  <sheetPr>
    <tabColor rgb="FFFF0000"/>
  </sheetPr>
  <dimension ref="A2:M30"/>
  <sheetViews>
    <sheetView zoomScale="145" zoomScaleNormal="145" workbookViewId="0">
      <selection activeCell="B9" sqref="B9"/>
    </sheetView>
  </sheetViews>
  <sheetFormatPr baseColWidth="10" defaultColWidth="8" defaultRowHeight="15"/>
  <cols>
    <col min="1" max="1" width="8" style="3126"/>
    <col min="2" max="2" width="19.875" style="3126" customWidth="1"/>
    <col min="3" max="3" width="12.75" style="3126" customWidth="1"/>
    <col min="4" max="4" width="9.375" style="3126" customWidth="1"/>
    <col min="5" max="5" width="8" style="3126"/>
    <col min="6" max="9" width="9.5" style="3126" customWidth="1"/>
    <col min="10" max="11" width="9.375" style="3126" customWidth="1"/>
    <col min="12" max="16384" width="8" style="3126"/>
  </cols>
  <sheetData>
    <row r="2" spans="1:13">
      <c r="B2" s="3126" t="s">
        <v>1217</v>
      </c>
    </row>
    <row r="3" spans="1:13">
      <c r="C3" s="3127" t="s">
        <v>1218</v>
      </c>
    </row>
    <row r="5" spans="1:13">
      <c r="B5" s="3255" t="s">
        <v>1261</v>
      </c>
      <c r="C5" s="3128">
        <v>7.0000000000000007E-2</v>
      </c>
      <c r="D5" s="3254" t="s">
        <v>1263</v>
      </c>
    </row>
    <row r="6" spans="1:13">
      <c r="C6" s="3128">
        <v>0.03</v>
      </c>
      <c r="D6" s="3254" t="s">
        <v>1264</v>
      </c>
    </row>
    <row r="7" spans="1:13">
      <c r="C7" s="3129"/>
    </row>
    <row r="8" spans="1:13">
      <c r="B8" s="3254" t="s">
        <v>1262</v>
      </c>
      <c r="C8" s="3130">
        <v>80</v>
      </c>
      <c r="D8" s="3254" t="s">
        <v>1259</v>
      </c>
      <c r="E8" s="3254" t="s">
        <v>1260</v>
      </c>
    </row>
    <row r="9" spans="1:13">
      <c r="C9" s="3129"/>
    </row>
    <row r="10" spans="1:13" ht="15.75">
      <c r="D10" s="3131" t="s">
        <v>1219</v>
      </c>
      <c r="E10" s="3132">
        <v>0.3060016231390445</v>
      </c>
    </row>
    <row r="11" spans="1:13" ht="15.75" thickBot="1"/>
    <row r="12" spans="1:13" ht="15.75" thickBot="1">
      <c r="B12" s="3256" t="s">
        <v>1265</v>
      </c>
      <c r="C12" s="3133"/>
      <c r="D12" s="3134">
        <v>2023</v>
      </c>
      <c r="E12" s="3135"/>
      <c r="F12" s="3134">
        <f>D12+1</f>
        <v>2024</v>
      </c>
      <c r="G12" s="3135"/>
      <c r="H12" s="3134">
        <f>F12+1</f>
        <v>2025</v>
      </c>
      <c r="I12" s="3135"/>
      <c r="J12" s="3134">
        <f>H12+1</f>
        <v>2026</v>
      </c>
      <c r="K12" s="3135"/>
    </row>
    <row r="13" spans="1:13" s="3136" customFormat="1" ht="15.75" thickBot="1">
      <c r="B13" s="3252" t="s">
        <v>1256</v>
      </c>
      <c r="C13" s="3252" t="s">
        <v>1257</v>
      </c>
      <c r="D13" s="3137" t="s">
        <v>1220</v>
      </c>
      <c r="E13" s="3253" t="s">
        <v>1258</v>
      </c>
      <c r="F13" s="3137" t="s">
        <v>1220</v>
      </c>
      <c r="G13" s="3253" t="s">
        <v>1258</v>
      </c>
      <c r="H13" s="3137" t="s">
        <v>1220</v>
      </c>
      <c r="I13" s="3253" t="s">
        <v>1258</v>
      </c>
      <c r="J13" s="3137" t="s">
        <v>1220</v>
      </c>
      <c r="K13" s="3253" t="s">
        <v>1258</v>
      </c>
    </row>
    <row r="14" spans="1:13">
      <c r="A14" s="3126">
        <v>1</v>
      </c>
      <c r="B14" s="3138">
        <v>0</v>
      </c>
      <c r="C14" s="3139">
        <v>670</v>
      </c>
      <c r="D14" s="3140">
        <v>751.63</v>
      </c>
      <c r="E14" s="3141">
        <f>ROUND(D14*$E$10,0)</f>
        <v>230</v>
      </c>
      <c r="F14" s="3142">
        <v>735.29</v>
      </c>
      <c r="G14" s="3141">
        <f>ROUND(F14*$E$10,0)</f>
        <v>225</v>
      </c>
      <c r="H14" s="3142">
        <v>653.59</v>
      </c>
      <c r="I14" s="3141">
        <f>ROUND(H14*$E$10,0)</f>
        <v>200</v>
      </c>
      <c r="J14" s="3142">
        <v>653.59</v>
      </c>
      <c r="K14" s="3141">
        <v>230</v>
      </c>
      <c r="M14" s="3251">
        <f>K14/J14</f>
        <v>0.35190256888875288</v>
      </c>
    </row>
    <row r="15" spans="1:13">
      <c r="A15" s="3126">
        <v>2</v>
      </c>
      <c r="B15" s="3143">
        <f>+C14</f>
        <v>670</v>
      </c>
      <c r="C15" s="3144">
        <v>900</v>
      </c>
      <c r="D15" s="3145">
        <v>849.67</v>
      </c>
      <c r="E15" s="3146">
        <f t="shared" ref="E15:E28" si="0">ROUND(D15*$E$10,0)</f>
        <v>260</v>
      </c>
      <c r="F15" s="3147">
        <v>816.99</v>
      </c>
      <c r="G15" s="3146">
        <f t="shared" ref="G15:G28" si="1">ROUND(F15*$E$10,0)</f>
        <v>250</v>
      </c>
      <c r="H15" s="3147">
        <v>718.95</v>
      </c>
      <c r="I15" s="3146">
        <f t="shared" ref="I15:I28" si="2">ROUND(H15*$E$10,0)</f>
        <v>220</v>
      </c>
      <c r="J15" s="3147">
        <v>718.95</v>
      </c>
      <c r="K15" s="3146">
        <v>260</v>
      </c>
      <c r="M15" s="3251">
        <f t="shared" ref="M15:M28" si="3">K15/J15</f>
        <v>0.36163850059113983</v>
      </c>
    </row>
    <row r="16" spans="1:13">
      <c r="A16" s="3126">
        <v>3</v>
      </c>
      <c r="B16" s="3143">
        <f t="shared" ref="B16:B28" si="4">+C15</f>
        <v>900</v>
      </c>
      <c r="C16" s="3144">
        <v>1166.69</v>
      </c>
      <c r="D16" s="3145">
        <v>898.69</v>
      </c>
      <c r="E16" s="3146">
        <f t="shared" si="0"/>
        <v>275</v>
      </c>
      <c r="F16" s="3147">
        <v>872.55</v>
      </c>
      <c r="G16" s="3146">
        <f t="shared" si="1"/>
        <v>267</v>
      </c>
      <c r="H16" s="3147">
        <v>849.67</v>
      </c>
      <c r="I16" s="3146">
        <f t="shared" si="2"/>
        <v>260</v>
      </c>
      <c r="J16" s="3147">
        <v>849.67</v>
      </c>
      <c r="K16" s="3146">
        <v>260</v>
      </c>
      <c r="M16" s="3251">
        <f t="shared" si="3"/>
        <v>0.30600115338896278</v>
      </c>
    </row>
    <row r="17" spans="1:13">
      <c r="A17" s="3126">
        <v>4</v>
      </c>
      <c r="B17" s="3143">
        <f t="shared" si="4"/>
        <v>1166.69</v>
      </c>
      <c r="C17" s="3144">
        <v>1300</v>
      </c>
      <c r="D17" s="3145">
        <v>950.98</v>
      </c>
      <c r="E17" s="3146">
        <f>ROUND(D17*$E$10,0)</f>
        <v>291</v>
      </c>
      <c r="F17" s="3147">
        <f>+D17</f>
        <v>950.98</v>
      </c>
      <c r="G17" s="3146">
        <f t="shared" si="1"/>
        <v>291</v>
      </c>
      <c r="H17" s="3147">
        <v>950.98</v>
      </c>
      <c r="I17" s="3146">
        <f t="shared" si="2"/>
        <v>291</v>
      </c>
      <c r="J17" s="3147">
        <v>950.98</v>
      </c>
      <c r="K17" s="3146">
        <v>280</v>
      </c>
      <c r="M17" s="3251">
        <f t="shared" si="3"/>
        <v>0.29443311110643755</v>
      </c>
    </row>
    <row r="18" spans="1:13">
      <c r="A18" s="3126">
        <v>5</v>
      </c>
      <c r="B18" s="3143">
        <f t="shared" si="4"/>
        <v>1300</v>
      </c>
      <c r="C18" s="3144">
        <f>+C17+200</f>
        <v>1500</v>
      </c>
      <c r="D18" s="3145">
        <v>960.78</v>
      </c>
      <c r="E18" s="3146">
        <f>ROUND(D18*$E$10,0)</f>
        <v>294</v>
      </c>
      <c r="F18" s="3147">
        <f>+D18</f>
        <v>960.78</v>
      </c>
      <c r="G18" s="3146">
        <f t="shared" si="1"/>
        <v>294</v>
      </c>
      <c r="H18" s="3147">
        <v>960.78</v>
      </c>
      <c r="I18" s="3146">
        <f t="shared" si="2"/>
        <v>294</v>
      </c>
      <c r="J18" s="3147">
        <v>960.78</v>
      </c>
      <c r="K18" s="3146">
        <v>294</v>
      </c>
      <c r="M18" s="3251">
        <f t="shared" si="3"/>
        <v>0.30600137388371951</v>
      </c>
    </row>
    <row r="19" spans="1:13">
      <c r="A19" s="3126">
        <v>6</v>
      </c>
      <c r="B19" s="3143">
        <f t="shared" si="4"/>
        <v>1500</v>
      </c>
      <c r="C19" s="3144">
        <f>+C18+200</f>
        <v>1700</v>
      </c>
      <c r="D19" s="3148">
        <v>960.78</v>
      </c>
      <c r="E19" s="3146">
        <f>ROUND(D19*$E$10,0)</f>
        <v>294</v>
      </c>
      <c r="F19" s="3147">
        <f>+D19</f>
        <v>960.78</v>
      </c>
      <c r="G19" s="3146">
        <f t="shared" si="1"/>
        <v>294</v>
      </c>
      <c r="H19" s="3147">
        <v>960.78</v>
      </c>
      <c r="I19" s="3146">
        <f t="shared" si="2"/>
        <v>294</v>
      </c>
      <c r="J19" s="3147">
        <v>960.78</v>
      </c>
      <c r="K19" s="3146">
        <v>294</v>
      </c>
      <c r="M19" s="3251">
        <f t="shared" si="3"/>
        <v>0.30600137388371951</v>
      </c>
    </row>
    <row r="20" spans="1:13">
      <c r="A20" s="3126">
        <v>7</v>
      </c>
      <c r="B20" s="3143">
        <f t="shared" si="4"/>
        <v>1700</v>
      </c>
      <c r="C20" s="3144">
        <v>1850</v>
      </c>
      <c r="D20" s="3148">
        <v>1013.07</v>
      </c>
      <c r="E20" s="3146">
        <f>ROUND(D20*$E$10,0)</f>
        <v>310</v>
      </c>
      <c r="F20" s="3147">
        <v>1045.75</v>
      </c>
      <c r="G20" s="3146">
        <f t="shared" si="1"/>
        <v>320</v>
      </c>
      <c r="H20" s="3147">
        <v>1143.79</v>
      </c>
      <c r="I20" s="3146">
        <f t="shared" si="2"/>
        <v>350</v>
      </c>
      <c r="J20" s="3147">
        <v>1143.79</v>
      </c>
      <c r="K20" s="3146">
        <v>350</v>
      </c>
      <c r="M20" s="3251">
        <f t="shared" si="3"/>
        <v>0.30600022731445459</v>
      </c>
    </row>
    <row r="21" spans="1:13">
      <c r="A21" s="3126">
        <v>8</v>
      </c>
      <c r="B21" s="3143">
        <f t="shared" si="4"/>
        <v>1850</v>
      </c>
      <c r="C21" s="3144">
        <v>2030</v>
      </c>
      <c r="D21" s="3145">
        <v>1029.4100000000001</v>
      </c>
      <c r="E21" s="3146">
        <f t="shared" si="0"/>
        <v>315</v>
      </c>
      <c r="F21" s="3147">
        <v>1062.0899999999999</v>
      </c>
      <c r="G21" s="3146">
        <f t="shared" si="1"/>
        <v>325</v>
      </c>
      <c r="H21" s="3147">
        <v>1209.1500000000001</v>
      </c>
      <c r="I21" s="3146">
        <f t="shared" si="2"/>
        <v>370</v>
      </c>
      <c r="J21" s="3147">
        <v>1209.1500000000001</v>
      </c>
      <c r="K21" s="3146">
        <v>370</v>
      </c>
      <c r="M21" s="3251">
        <f t="shared" si="3"/>
        <v>0.30600008270272505</v>
      </c>
    </row>
    <row r="22" spans="1:13">
      <c r="A22" s="3126">
        <v>9</v>
      </c>
      <c r="B22" s="3143">
        <f t="shared" si="4"/>
        <v>2030</v>
      </c>
      <c r="C22" s="3144">
        <v>2330</v>
      </c>
      <c r="D22" s="3145">
        <v>1045.75</v>
      </c>
      <c r="E22" s="3146">
        <f>ROUND(D22*$E$10,0)</f>
        <v>320</v>
      </c>
      <c r="F22" s="3147">
        <v>1078.43</v>
      </c>
      <c r="G22" s="3146">
        <f t="shared" si="1"/>
        <v>330</v>
      </c>
      <c r="H22" s="3147">
        <v>1274.51</v>
      </c>
      <c r="I22" s="3146">
        <f t="shared" si="2"/>
        <v>390</v>
      </c>
      <c r="J22" s="3147">
        <v>1274.51</v>
      </c>
      <c r="K22" s="3146">
        <v>390</v>
      </c>
      <c r="M22" s="3251">
        <f t="shared" si="3"/>
        <v>0.30599995292308418</v>
      </c>
    </row>
    <row r="23" spans="1:13">
      <c r="A23" s="3126">
        <v>10</v>
      </c>
      <c r="B23" s="3143">
        <f t="shared" si="4"/>
        <v>2330</v>
      </c>
      <c r="C23" s="3144">
        <v>2760</v>
      </c>
      <c r="D23" s="3145">
        <v>1078.43</v>
      </c>
      <c r="E23" s="3146">
        <f t="shared" si="0"/>
        <v>330</v>
      </c>
      <c r="F23" s="3147">
        <v>1111.1099999999999</v>
      </c>
      <c r="G23" s="3146">
        <f t="shared" si="1"/>
        <v>340</v>
      </c>
      <c r="H23" s="3147">
        <v>1356.21</v>
      </c>
      <c r="I23" s="3146">
        <f t="shared" si="2"/>
        <v>415</v>
      </c>
      <c r="J23" s="3147">
        <v>1356.21</v>
      </c>
      <c r="K23" s="3146">
        <v>390</v>
      </c>
      <c r="M23" s="3251">
        <f t="shared" si="3"/>
        <v>0.28756608489835644</v>
      </c>
    </row>
    <row r="24" spans="1:13">
      <c r="A24" s="3126">
        <v>11</v>
      </c>
      <c r="B24" s="3143">
        <f t="shared" si="4"/>
        <v>2760</v>
      </c>
      <c r="C24" s="3144">
        <v>3190</v>
      </c>
      <c r="D24" s="3145">
        <v>1143.79</v>
      </c>
      <c r="E24" s="3146">
        <f t="shared" si="0"/>
        <v>350</v>
      </c>
      <c r="F24" s="3147">
        <v>1176.47</v>
      </c>
      <c r="G24" s="3146">
        <f t="shared" si="1"/>
        <v>360</v>
      </c>
      <c r="H24" s="3147">
        <v>1437.91</v>
      </c>
      <c r="I24" s="3146">
        <f t="shared" si="2"/>
        <v>440</v>
      </c>
      <c r="J24" s="3147">
        <v>1537.91</v>
      </c>
      <c r="K24" s="3146">
        <v>440</v>
      </c>
      <c r="M24" s="3251">
        <f t="shared" si="3"/>
        <v>0.28610256777054571</v>
      </c>
    </row>
    <row r="25" spans="1:13">
      <c r="A25" s="3126">
        <v>12</v>
      </c>
      <c r="B25" s="3143">
        <f t="shared" si="4"/>
        <v>3190</v>
      </c>
      <c r="C25" s="3144">
        <v>3620</v>
      </c>
      <c r="D25" s="3145">
        <v>1209.1500000000001</v>
      </c>
      <c r="E25" s="3146">
        <f t="shared" si="0"/>
        <v>370</v>
      </c>
      <c r="F25" s="3147">
        <v>1241.83</v>
      </c>
      <c r="G25" s="3146">
        <f t="shared" si="1"/>
        <v>380</v>
      </c>
      <c r="H25" s="3147">
        <v>1519.61</v>
      </c>
      <c r="I25" s="3146">
        <f t="shared" si="2"/>
        <v>465</v>
      </c>
      <c r="J25" s="3147">
        <v>1537.52</v>
      </c>
      <c r="K25" s="3146">
        <v>500</v>
      </c>
      <c r="M25" s="3251">
        <f t="shared" si="3"/>
        <v>0.32519902180134241</v>
      </c>
    </row>
    <row r="26" spans="1:13">
      <c r="A26" s="3126">
        <v>13</v>
      </c>
      <c r="B26" s="3143">
        <f t="shared" si="4"/>
        <v>3620</v>
      </c>
      <c r="C26" s="3144">
        <v>4050</v>
      </c>
      <c r="D26" s="3145">
        <v>1274.51</v>
      </c>
      <c r="E26" s="3146">
        <f t="shared" si="0"/>
        <v>390</v>
      </c>
      <c r="F26" s="3147">
        <v>1307.19</v>
      </c>
      <c r="G26" s="3146">
        <f t="shared" si="1"/>
        <v>400</v>
      </c>
      <c r="H26" s="3147">
        <v>1601.31</v>
      </c>
      <c r="I26" s="3146">
        <f t="shared" si="2"/>
        <v>490</v>
      </c>
      <c r="J26" s="3147">
        <v>1700</v>
      </c>
      <c r="K26" s="3146">
        <v>530</v>
      </c>
      <c r="M26" s="3251">
        <f t="shared" si="3"/>
        <v>0.31176470588235294</v>
      </c>
    </row>
    <row r="27" spans="1:13">
      <c r="A27" s="3126">
        <v>14</v>
      </c>
      <c r="B27" s="3143">
        <f t="shared" si="4"/>
        <v>4050</v>
      </c>
      <c r="C27" s="3144">
        <v>6000</v>
      </c>
      <c r="D27" s="3145">
        <v>1372.55</v>
      </c>
      <c r="E27" s="3146">
        <f t="shared" si="0"/>
        <v>420</v>
      </c>
      <c r="F27" s="3147">
        <v>1454.25</v>
      </c>
      <c r="G27" s="3146">
        <f t="shared" si="1"/>
        <v>445</v>
      </c>
      <c r="H27" s="3147">
        <v>1732.03</v>
      </c>
      <c r="I27" s="3146">
        <f t="shared" si="2"/>
        <v>530</v>
      </c>
      <c r="J27" s="3147">
        <v>1700</v>
      </c>
      <c r="K27" s="3146">
        <v>590</v>
      </c>
      <c r="M27" s="3251">
        <f t="shared" si="3"/>
        <v>0.34705882352941175</v>
      </c>
    </row>
    <row r="28" spans="1:13" ht="15.75" thickBot="1">
      <c r="A28" s="3126">
        <v>15</v>
      </c>
      <c r="B28" s="3149">
        <f t="shared" si="4"/>
        <v>6000</v>
      </c>
      <c r="C28" s="3150"/>
      <c r="D28" s="3151">
        <v>1633.99</v>
      </c>
      <c r="E28" s="3152">
        <f t="shared" si="0"/>
        <v>500</v>
      </c>
      <c r="F28" s="3153">
        <v>1732.03</v>
      </c>
      <c r="G28" s="3152">
        <f t="shared" si="1"/>
        <v>530</v>
      </c>
      <c r="H28" s="3153">
        <v>1928.1</v>
      </c>
      <c r="I28" s="3152">
        <f t="shared" si="2"/>
        <v>590</v>
      </c>
      <c r="J28" s="3153">
        <v>1700</v>
      </c>
      <c r="K28" s="3152">
        <v>590</v>
      </c>
      <c r="M28" s="3251">
        <f t="shared" si="3"/>
        <v>0.34705882352941175</v>
      </c>
    </row>
    <row r="29" spans="1:13">
      <c r="B29" s="3154"/>
      <c r="C29" s="3154"/>
    </row>
    <row r="30" spans="1:13">
      <c r="B30" s="3154"/>
      <c r="C30" s="3154"/>
    </row>
  </sheetData>
  <sheetProtection sheet="1" objects="1" scenarios="1"/>
  <pageMargins left="0.7" right="0.7" top="0.75" bottom="0.75" header="0.3" footer="0.3"/>
  <pageSetup paperSize="9" orientation="landscape" horizontalDpi="300" verticalDpi="300"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281">
    <pageSetUpPr fitToPage="1"/>
  </sheetPr>
  <dimension ref="A1:V40"/>
  <sheetViews>
    <sheetView showGridLines="0" zoomScaleNormal="100" workbookViewId="0">
      <pane xSplit="2" topLeftCell="C1" activePane="topRight" state="frozenSplit"/>
      <selection activeCell="E23" sqref="E23"/>
      <selection pane="topRight" activeCell="I42" sqref="I42"/>
    </sheetView>
  </sheetViews>
  <sheetFormatPr baseColWidth="10" defaultColWidth="11" defaultRowHeight="15"/>
  <cols>
    <col min="1" max="1" width="21" style="35" customWidth="1"/>
    <col min="2" max="2" width="13.625" style="35" customWidth="1"/>
    <col min="3" max="3" width="13.5" style="35" customWidth="1"/>
    <col min="4" max="7" width="11" style="35"/>
    <col min="8" max="8" width="6.125" style="35" customWidth="1"/>
    <col min="9" max="9" width="16.125" style="35" customWidth="1"/>
    <col min="10" max="10" width="11.875" style="35" bestFit="1" customWidth="1"/>
    <col min="11" max="11" width="12" style="35" customWidth="1"/>
    <col min="12" max="13" width="11" style="35"/>
    <col min="14" max="14" width="10.5" style="35" customWidth="1"/>
    <col min="15" max="16" width="11" style="35"/>
    <col min="17" max="17" width="11.75" style="35" bestFit="1" customWidth="1"/>
    <col min="18" max="22" width="10" style="35" customWidth="1"/>
    <col min="23" max="16384" width="11" style="35"/>
  </cols>
  <sheetData>
    <row r="1" spans="1:22" ht="23.25">
      <c r="A1" s="66" t="str">
        <f>'Base Data'!$J$43&amp;"ation for Self-employees and Freelance Professionals"</f>
        <v>Personal Income Taxation for Self-employees and Freelance Professionals</v>
      </c>
      <c r="K1" s="980" t="str">
        <f>IF(irpf=0,CONCATENATE("Legal Form: ",'Base Data'!B24),"")</f>
        <v>Legal Form: Limited Liability Company  ( LLC )</v>
      </c>
    </row>
    <row r="2" spans="1:22" s="61" customFormat="1" ht="23.25">
      <c r="A2" s="66"/>
      <c r="B2" s="981"/>
      <c r="K2" s="980" t="str">
        <f>IF($K$1="","","Not subject to "&amp;'Base Data'!$H$43)</f>
        <v>Not subject to Personal Income Tax</v>
      </c>
    </row>
    <row r="3" spans="1:22" s="61" customFormat="1" ht="23.25">
      <c r="A3" s="66" t="str">
        <f>'Sales Forecast 0'!A2</f>
        <v>WWW, Ltd.</v>
      </c>
      <c r="B3" s="981"/>
      <c r="K3" s="980" t="str">
        <f>IF(K1="","","SUBJECT TO "&amp;'Base Data'!$H$44)</f>
        <v>SUBJECT TO Corporate Income Tax</v>
      </c>
    </row>
    <row r="4" spans="1:22" s="61" customFormat="1" ht="22.5">
      <c r="A4" s="66"/>
      <c r="B4" s="981"/>
    </row>
    <row r="5" spans="1:22" ht="23.25" thickBot="1">
      <c r="A5" s="66" t="str">
        <f>'Base Data'!$H$43&amp;"ation calculation &amp; declaration data"</f>
        <v>Personal Income Taxation calculation &amp; declaration data</v>
      </c>
    </row>
    <row r="6" spans="1:22" ht="20.25" customHeight="1" thickTop="1" thickBot="1">
      <c r="A6" s="59"/>
      <c r="J6" s="1018" t="str">
        <f>'Base Data'!$H$43&amp;" rates in Spain for Tax Year 2024"</f>
        <v>Personal Income Tax rates in Spain for Tax Year 2024</v>
      </c>
      <c r="K6" s="1019"/>
      <c r="L6" s="1019"/>
      <c r="M6" s="1019"/>
      <c r="N6" s="1020"/>
      <c r="P6" s="2528">
        <v>2018</v>
      </c>
      <c r="R6" s="717" t="str">
        <f>'Base Data'!$I$43&amp;" breakdown calculation"&amp;" per partner"</f>
        <v>P.I.T. breakdown calculation per partner</v>
      </c>
      <c r="S6" s="3063"/>
      <c r="T6" s="3063"/>
      <c r="U6" s="3063"/>
      <c r="V6" s="3064"/>
    </row>
    <row r="7" spans="1:22" ht="37.5" customHeight="1" thickTop="1" thickBot="1">
      <c r="A7" s="999"/>
      <c r="B7" s="1000"/>
      <c r="C7" s="2724" t="str">
        <f t="array" ref="C7:G7">anni</f>
        <v>Year 0:   2026</v>
      </c>
      <c r="D7" s="2725" t="str">
        <v>Year 1:   2027</v>
      </c>
      <c r="E7" s="2726" t="str">
        <v>Year 2:   2028</v>
      </c>
      <c r="F7" s="2724" t="str">
        <v>Year 3:   2029</v>
      </c>
      <c r="G7" s="2727" t="str">
        <v>Year 4:   2030</v>
      </c>
      <c r="J7" s="2407" t="s">
        <v>670</v>
      </c>
      <c r="K7" s="2408" t="s">
        <v>671</v>
      </c>
      <c r="L7" s="2409" t="s">
        <v>673</v>
      </c>
      <c r="M7" s="2410" t="s">
        <v>672</v>
      </c>
      <c r="N7" s="2411" t="s">
        <v>0</v>
      </c>
      <c r="P7" s="2529" t="s">
        <v>1085</v>
      </c>
      <c r="R7" s="2037" t="str">
        <f t="array" ref="R7:V7">anni</f>
        <v>Year 0:   2026</v>
      </c>
      <c r="S7" s="2037" t="str">
        <v>Year 1:   2027</v>
      </c>
      <c r="T7" s="2037" t="str">
        <v>Year 2:   2028</v>
      </c>
      <c r="U7" s="2037" t="str">
        <v>Year 3:   2029</v>
      </c>
      <c r="V7" s="2037" t="str">
        <v>Year 4:   2030</v>
      </c>
    </row>
    <row r="8" spans="1:22">
      <c r="A8" s="1002" t="s">
        <v>688</v>
      </c>
      <c r="B8" s="344"/>
      <c r="C8" s="982"/>
      <c r="D8" s="983"/>
      <c r="E8" s="746"/>
      <c r="F8" s="982"/>
      <c r="G8" s="1003"/>
      <c r="J8" s="1064">
        <v>0</v>
      </c>
      <c r="K8" s="1062">
        <v>5151</v>
      </c>
      <c r="L8" s="995">
        <v>0</v>
      </c>
      <c r="M8" s="996">
        <v>0</v>
      </c>
      <c r="N8" s="1021">
        <v>0</v>
      </c>
      <c r="P8" s="2530">
        <v>0</v>
      </c>
      <c r="R8" s="3066">
        <f>IF(K$20&gt;=$J8,(MIN($K8,K$20)-$J8)*$N8,0)</f>
        <v>0</v>
      </c>
      <c r="S8" s="3067">
        <f t="shared" ref="S8:V15" si="0">IF(L$20&gt;=$J8,(MIN($K8,L$20)-$J8)*$N8,0)</f>
        <v>0</v>
      </c>
      <c r="T8" s="3067">
        <f t="shared" si="0"/>
        <v>0</v>
      </c>
      <c r="U8" s="3067">
        <f t="shared" si="0"/>
        <v>0</v>
      </c>
      <c r="V8" s="3068">
        <f t="shared" si="0"/>
        <v>0</v>
      </c>
    </row>
    <row r="9" spans="1:22">
      <c r="A9" s="1004"/>
      <c r="B9" s="1060" t="s">
        <v>668</v>
      </c>
      <c r="C9" s="2691">
        <f>IF(irpf&lt;&gt;0,'Sales Forecast 0'!$N$25,0)</f>
        <v>0</v>
      </c>
      <c r="D9" s="2692">
        <f>IF(irpf&lt;&gt;0,'Sales Forecast 1'!$N$25,0)</f>
        <v>0</v>
      </c>
      <c r="E9" s="2693">
        <f>IF(irpf&lt;&gt;0,'Sales Forecast 2'!$N$25,0)</f>
        <v>0</v>
      </c>
      <c r="F9" s="2691">
        <f>IF(irpf&lt;&gt;0,'Sales Forecast 3'!$N$25,0)</f>
        <v>0</v>
      </c>
      <c r="G9" s="2694">
        <f>IF(irpf&lt;&gt;0,'Sales Forecast 4'!$N$25,0)</f>
        <v>0</v>
      </c>
      <c r="J9" s="1065">
        <v>5550</v>
      </c>
      <c r="K9" s="1063">
        <v>12449.99</v>
      </c>
      <c r="L9" s="997">
        <f t="shared" ref="L9:M13" si="1">$N9/2</f>
        <v>9.5000000000000001E-2</v>
      </c>
      <c r="M9" s="998">
        <f t="shared" si="1"/>
        <v>9.5000000000000001E-2</v>
      </c>
      <c r="N9" s="1022">
        <v>0.19</v>
      </c>
      <c r="O9" s="975"/>
      <c r="P9" s="2530">
        <v>0.16</v>
      </c>
      <c r="R9" s="3069">
        <f t="shared" ref="R9:R15" si="2">IF(K$20&gt;=$J9,(MIN($K9,K$20)-$J9)*$N9,0)</f>
        <v>0</v>
      </c>
      <c r="S9" s="3065">
        <f t="shared" si="0"/>
        <v>0</v>
      </c>
      <c r="T9" s="3065">
        <f t="shared" si="0"/>
        <v>0</v>
      </c>
      <c r="U9" s="3065">
        <f t="shared" si="0"/>
        <v>0</v>
      </c>
      <c r="V9" s="3070">
        <f t="shared" si="0"/>
        <v>0</v>
      </c>
    </row>
    <row r="10" spans="1:22">
      <c r="A10" s="1005"/>
      <c r="B10" s="1061" t="s">
        <v>667</v>
      </c>
      <c r="C10" s="2681">
        <f>IF(irpf&lt;&gt;0,'Income St 0'!$N$6,0)</f>
        <v>0</v>
      </c>
      <c r="D10" s="2682">
        <f>IF(irpf&lt;&gt;0,'Income St 1'!$N$6,0)</f>
        <v>0</v>
      </c>
      <c r="E10" s="2683">
        <f>IF(irpf&lt;&gt;0,'Income St 2'!$N$6,0)</f>
        <v>0</v>
      </c>
      <c r="F10" s="2681">
        <f>IF(irpf&lt;&gt;0,'Income St 3'!$N$6,0)</f>
        <v>0</v>
      </c>
      <c r="G10" s="2684">
        <f>IF(irpf&lt;&gt;0,'Income St 4'!$N$6,0)</f>
        <v>0</v>
      </c>
      <c r="J10" s="1066">
        <v>12450</v>
      </c>
      <c r="K10" s="1063">
        <v>20199.990000000002</v>
      </c>
      <c r="L10" s="997">
        <f t="shared" si="1"/>
        <v>0.12</v>
      </c>
      <c r="M10" s="998">
        <f t="shared" si="1"/>
        <v>0.12</v>
      </c>
      <c r="N10" s="1022">
        <v>0.24</v>
      </c>
      <c r="O10" s="975"/>
      <c r="P10" s="2530">
        <v>0.24</v>
      </c>
      <c r="R10" s="3069">
        <f t="shared" si="2"/>
        <v>0</v>
      </c>
      <c r="S10" s="3065">
        <f t="shared" si="0"/>
        <v>0</v>
      </c>
      <c r="T10" s="3065">
        <f t="shared" si="0"/>
        <v>0</v>
      </c>
      <c r="U10" s="3065">
        <f t="shared" si="0"/>
        <v>0</v>
      </c>
      <c r="V10" s="3070">
        <f t="shared" si="0"/>
        <v>0</v>
      </c>
    </row>
    <row r="11" spans="1:22">
      <c r="A11" s="1005"/>
      <c r="B11" s="1059" t="s">
        <v>666</v>
      </c>
      <c r="C11" s="2681">
        <f>C9+C10</f>
        <v>0</v>
      </c>
      <c r="D11" s="2682">
        <f>D9+D10</f>
        <v>0</v>
      </c>
      <c r="E11" s="2683">
        <f>E9+E10</f>
        <v>0</v>
      </c>
      <c r="F11" s="2681">
        <f>F9+F10</f>
        <v>0</v>
      </c>
      <c r="G11" s="2684">
        <f>G9+G10</f>
        <v>0</v>
      </c>
      <c r="J11" s="1066">
        <v>20200</v>
      </c>
      <c r="K11" s="1063">
        <v>35199.99</v>
      </c>
      <c r="L11" s="997">
        <f t="shared" si="1"/>
        <v>0.15</v>
      </c>
      <c r="M11" s="998">
        <f t="shared" si="1"/>
        <v>0.15</v>
      </c>
      <c r="N11" s="1022">
        <v>0.3</v>
      </c>
      <c r="O11" s="975"/>
      <c r="P11" s="2530">
        <v>0.3</v>
      </c>
      <c r="R11" s="3069">
        <f t="shared" si="2"/>
        <v>0</v>
      </c>
      <c r="S11" s="3065">
        <f t="shared" si="0"/>
        <v>0</v>
      </c>
      <c r="T11" s="3065">
        <f t="shared" si="0"/>
        <v>0</v>
      </c>
      <c r="U11" s="3065">
        <f t="shared" si="0"/>
        <v>0</v>
      </c>
      <c r="V11" s="3070">
        <f t="shared" si="0"/>
        <v>0</v>
      </c>
    </row>
    <row r="12" spans="1:22">
      <c r="A12" s="1005"/>
      <c r="B12" s="976"/>
      <c r="C12" s="984"/>
      <c r="D12" s="985"/>
      <c r="E12" s="986"/>
      <c r="F12" s="984"/>
      <c r="G12" s="1006"/>
      <c r="J12" s="1066">
        <v>35200</v>
      </c>
      <c r="K12" s="1063">
        <v>59999.99</v>
      </c>
      <c r="L12" s="997">
        <f t="shared" si="1"/>
        <v>0.185</v>
      </c>
      <c r="M12" s="998">
        <f t="shared" si="1"/>
        <v>0.185</v>
      </c>
      <c r="N12" s="1022">
        <v>0.37</v>
      </c>
      <c r="O12" s="975"/>
      <c r="P12" s="2530">
        <v>0.37</v>
      </c>
      <c r="R12" s="3069">
        <f t="shared" si="2"/>
        <v>0</v>
      </c>
      <c r="S12" s="3065">
        <f t="shared" si="0"/>
        <v>0</v>
      </c>
      <c r="T12" s="3065">
        <f t="shared" si="0"/>
        <v>0</v>
      </c>
      <c r="U12" s="3065">
        <f t="shared" si="0"/>
        <v>0</v>
      </c>
      <c r="V12" s="3070">
        <f t="shared" si="0"/>
        <v>0</v>
      </c>
    </row>
    <row r="13" spans="1:22">
      <c r="A13" s="1007"/>
      <c r="B13" s="1058" t="s">
        <v>674</v>
      </c>
      <c r="C13" s="2681">
        <f>IF(irpf&lt;&gt;0,'DC Distr 0'!$N$28,0)</f>
        <v>0</v>
      </c>
      <c r="D13" s="2682">
        <f>IF(irpf&lt;&gt;0,'DC Distr 1'!$N$28,0)</f>
        <v>0</v>
      </c>
      <c r="E13" s="2683">
        <f>IF(irpf&lt;&gt;0,'DC Distr 2'!$N$28,0)</f>
        <v>0</v>
      </c>
      <c r="F13" s="2681">
        <f>IF(irpf&lt;&gt;0,'DC Distr 3'!$N$28,0)</f>
        <v>0</v>
      </c>
      <c r="G13" s="2684">
        <f>IF(irpf&lt;&gt;0,'DC Distr 4'!$N$28,0)</f>
        <v>0</v>
      </c>
      <c r="J13" s="1066">
        <v>60000</v>
      </c>
      <c r="K13" s="1063">
        <v>175000.19</v>
      </c>
      <c r="L13" s="997">
        <f t="shared" si="1"/>
        <v>0.22500000000000001</v>
      </c>
      <c r="M13" s="998">
        <f t="shared" si="1"/>
        <v>0.22500000000000001</v>
      </c>
      <c r="N13" s="1022">
        <v>0.45</v>
      </c>
      <c r="O13" s="975"/>
      <c r="P13" s="2530">
        <v>0.45</v>
      </c>
      <c r="R13" s="3069">
        <f t="shared" si="2"/>
        <v>0</v>
      </c>
      <c r="S13" s="3065">
        <f t="shared" si="0"/>
        <v>0</v>
      </c>
      <c r="T13" s="3065">
        <f t="shared" si="0"/>
        <v>0</v>
      </c>
      <c r="U13" s="3065">
        <f t="shared" si="0"/>
        <v>0</v>
      </c>
      <c r="V13" s="3070">
        <f t="shared" si="0"/>
        <v>0</v>
      </c>
    </row>
    <row r="14" spans="1:22">
      <c r="A14" s="1007"/>
      <c r="B14" s="1058" t="s">
        <v>629</v>
      </c>
      <c r="C14" s="2681">
        <f>IF(irpf&lt;&gt;0,'Fixed Expenses 0'!N27-SUM('Fixed Expenses Summary'!B5:B6),0)</f>
        <v>0</v>
      </c>
      <c r="D14" s="2682">
        <f>IF(irpf&lt;&gt;0,'Fixed Expenses 1'!N27-SUM('Fixed Expenses Summary'!C5:C6),0)</f>
        <v>0</v>
      </c>
      <c r="E14" s="2683">
        <f>IF(irpf&lt;&gt;0,'Fixed Expenses 2'!$N$27-SUM('Fixed Expenses Summary'!D5:D6),0)</f>
        <v>0</v>
      </c>
      <c r="F14" s="2681">
        <f>IF(irpf&lt;&gt;0,'Fixed Expenses 3'!$N$27-SUM('Fixed Expenses Summary'!E5:E6),0)</f>
        <v>0</v>
      </c>
      <c r="G14" s="2684">
        <f>IF(irpf&lt;&gt;0,'Fixed Expenses 4'!$N$27-SUM('Fixed Expenses Summary'!F5:F6),0)</f>
        <v>0</v>
      </c>
      <c r="J14" s="1066">
        <v>175000.2</v>
      </c>
      <c r="K14" s="1063">
        <v>300000.19</v>
      </c>
      <c r="L14" s="997">
        <f t="shared" ref="L14:M14" si="3">$N14/2</f>
        <v>0.22500000000000001</v>
      </c>
      <c r="M14" s="998">
        <f t="shared" si="3"/>
        <v>0.22500000000000001</v>
      </c>
      <c r="N14" s="1022">
        <v>0.45</v>
      </c>
      <c r="O14" s="975"/>
      <c r="P14" s="2530">
        <f>+P13</f>
        <v>0.45</v>
      </c>
      <c r="R14" s="3069">
        <f t="shared" si="2"/>
        <v>0</v>
      </c>
      <c r="S14" s="3065">
        <f t="shared" si="0"/>
        <v>0</v>
      </c>
      <c r="T14" s="3065">
        <f t="shared" si="0"/>
        <v>0</v>
      </c>
      <c r="U14" s="3065">
        <f t="shared" si="0"/>
        <v>0</v>
      </c>
      <c r="V14" s="3070">
        <f t="shared" si="0"/>
        <v>0</v>
      </c>
    </row>
    <row r="15" spans="1:22" ht="15.75" thickBot="1">
      <c r="A15" s="1007"/>
      <c r="B15" s="1058" t="s">
        <v>530</v>
      </c>
      <c r="C15" s="2681">
        <f>IF(irpf&lt;&gt;0,'Fixed Expenses 0'!$N$55,0)</f>
        <v>0</v>
      </c>
      <c r="D15" s="2682">
        <f>IF(irpf&lt;&gt;0,'Fixed Expenses 1'!$N$55,0)</f>
        <v>0</v>
      </c>
      <c r="E15" s="2683">
        <f>IF(irpf&lt;&gt;0,'Fixed Expenses 2'!$N$55,0)</f>
        <v>0</v>
      </c>
      <c r="F15" s="2681">
        <f>IF(irpf&lt;&gt;0,'Fixed Expenses 3'!$N$55,0)</f>
        <v>0</v>
      </c>
      <c r="G15" s="2684">
        <f>IF(irpf&lt;&gt;0,'Fixed Expenses 4'!$N$55,0)</f>
        <v>0</v>
      </c>
      <c r="I15" s="977"/>
      <c r="J15" s="1067">
        <v>300000.2</v>
      </c>
      <c r="K15" s="1023"/>
      <c r="L15" s="1024">
        <f>$N15/2</f>
        <v>0.23499999999999999</v>
      </c>
      <c r="M15" s="1025">
        <f t="shared" ref="M15" si="4">$N15/2</f>
        <v>0.23499999999999999</v>
      </c>
      <c r="N15" s="1026">
        <v>0.47</v>
      </c>
      <c r="P15" s="2531">
        <v>0.47</v>
      </c>
      <c r="R15" s="3071">
        <f t="shared" si="2"/>
        <v>0</v>
      </c>
      <c r="S15" s="3072">
        <f t="shared" si="0"/>
        <v>0</v>
      </c>
      <c r="T15" s="3072">
        <f t="shared" si="0"/>
        <v>0</v>
      </c>
      <c r="U15" s="3072">
        <f t="shared" si="0"/>
        <v>0</v>
      </c>
      <c r="V15" s="3073">
        <f t="shared" si="0"/>
        <v>0</v>
      </c>
    </row>
    <row r="16" spans="1:22" ht="16.5" thickTop="1" thickBot="1">
      <c r="A16" s="1007"/>
      <c r="B16" s="1058" t="s">
        <v>20</v>
      </c>
      <c r="C16" s="2685">
        <f t="array" ref="C16:G16">IF(irpf&lt;&gt;0,Amortizations!D41:H41,0)</f>
        <v>0</v>
      </c>
      <c r="D16" s="2685">
        <v>0</v>
      </c>
      <c r="E16" s="2686">
        <v>0</v>
      </c>
      <c r="F16" s="2685">
        <v>0</v>
      </c>
      <c r="G16" s="2687">
        <v>0</v>
      </c>
      <c r="R16" s="3074">
        <f>SUM(R8:R15)</f>
        <v>0</v>
      </c>
      <c r="S16" s="3075">
        <f t="shared" ref="S16:V16" si="5">SUM(S8:S15)</f>
        <v>0</v>
      </c>
      <c r="T16" s="3075">
        <f t="shared" si="5"/>
        <v>0</v>
      </c>
      <c r="U16" s="3075">
        <f t="shared" si="5"/>
        <v>0</v>
      </c>
      <c r="V16" s="3076">
        <f t="shared" si="5"/>
        <v>0</v>
      </c>
    </row>
    <row r="17" spans="1:17" ht="16.5" thickTop="1" thickBot="1">
      <c r="A17" s="1007"/>
      <c r="B17" s="2412" t="s">
        <v>675</v>
      </c>
      <c r="C17" s="2685">
        <f>IF(irpf&lt;&gt;0,-'Yearly Income St'!B27,0)</f>
        <v>0</v>
      </c>
      <c r="D17" s="2688">
        <f>IF(irpf&lt;&gt;0,-'Yearly Income St'!D27,0)</f>
        <v>0</v>
      </c>
      <c r="E17" s="2686">
        <f>IF(irpf&lt;&gt;0,-'Yearly Income St'!G27,0)</f>
        <v>0</v>
      </c>
      <c r="F17" s="2689">
        <f>IF(irpf&lt;&gt;0,-'Yearly Income St'!J27,0)</f>
        <v>0</v>
      </c>
      <c r="G17" s="2690">
        <f>IF(irpf&lt;&gt;0,-'Yearly Income St'!M27,0)</f>
        <v>0</v>
      </c>
      <c r="I17" s="1028" t="s">
        <v>687</v>
      </c>
      <c r="J17" s="1029"/>
      <c r="K17" s="1029"/>
      <c r="L17" s="1029"/>
      <c r="M17" s="1030"/>
      <c r="N17" s="1015"/>
      <c r="O17" s="1016"/>
    </row>
    <row r="18" spans="1:17" ht="36.75" customHeight="1" thickBot="1">
      <c r="A18" s="1007"/>
      <c r="B18" s="1059" t="s">
        <v>676</v>
      </c>
      <c r="C18" s="2699">
        <f>SUM(C13:C17)</f>
        <v>0</v>
      </c>
      <c r="D18" s="2700">
        <f>SUM(D13:D17)</f>
        <v>0</v>
      </c>
      <c r="E18" s="2701">
        <f>SUM(E13:E17)</f>
        <v>0</v>
      </c>
      <c r="F18" s="2699">
        <f>SUM(F13:F17)</f>
        <v>0</v>
      </c>
      <c r="G18" s="2702">
        <f>SUM(G13:G17)</f>
        <v>0</v>
      </c>
      <c r="I18" s="1017"/>
      <c r="J18" s="2413" t="s">
        <v>681</v>
      </c>
      <c r="K18" s="2037" t="str">
        <f t="array" ref="K18:O18">anni</f>
        <v>Year 0:   2026</v>
      </c>
      <c r="L18" s="2038" t="str">
        <v>Year 1:   2027</v>
      </c>
      <c r="M18" s="2037" t="str">
        <v>Year 2:   2028</v>
      </c>
      <c r="N18" s="2037" t="str">
        <v>Year 3:   2029</v>
      </c>
      <c r="O18" s="2039" t="str">
        <v>Year 4:   2030</v>
      </c>
    </row>
    <row r="19" spans="1:17">
      <c r="A19" s="1005"/>
      <c r="B19" s="349"/>
      <c r="C19" s="987"/>
      <c r="D19" s="877"/>
      <c r="E19" s="988"/>
      <c r="F19" s="987"/>
      <c r="G19" s="1008"/>
      <c r="I19" s="1031"/>
      <c r="J19" s="2414" t="s">
        <v>669</v>
      </c>
      <c r="K19" s="1362">
        <f>MAX('Detailed Staff'!O23,1)</f>
        <v>1</v>
      </c>
      <c r="L19" s="1361">
        <f>MAX('Detailed Staff'!O42,1)</f>
        <v>1</v>
      </c>
      <c r="M19" s="1362">
        <f>MAX('Detailed Staff'!O61,1)</f>
        <v>1</v>
      </c>
      <c r="N19" s="1362">
        <f>MAX('Detailed Staff'!O80,1)</f>
        <v>1</v>
      </c>
      <c r="O19" s="3109">
        <f>MAX('Detailed Staff'!O99,1)</f>
        <v>1</v>
      </c>
    </row>
    <row r="20" spans="1:17" ht="15.75" thickBot="1">
      <c r="A20" s="1009"/>
      <c r="B20" s="979" t="str">
        <f>'Base Data'!$I$43&amp;" Taxation Base "</f>
        <v xml:space="preserve">P.I.T. Taxation Base </v>
      </c>
      <c r="C20" s="2703">
        <f t="array" ref="C20:G20">IF(C11:G11-C18:G18&lt;0,0,C11:G11-C18:G18)</f>
        <v>0</v>
      </c>
      <c r="D20" s="2704">
        <v>0</v>
      </c>
      <c r="E20" s="2705">
        <v>0</v>
      </c>
      <c r="F20" s="2703">
        <v>0</v>
      </c>
      <c r="G20" s="2706">
        <v>0</v>
      </c>
      <c r="I20" s="1007"/>
      <c r="J20" s="1059" t="s">
        <v>682</v>
      </c>
      <c r="K20" s="3110">
        <f t="array" ref="K20:O20">IF(C20:G20=0,0,C20:G20/K19:O19)</f>
        <v>0</v>
      </c>
      <c r="L20" s="3111">
        <v>0</v>
      </c>
      <c r="M20" s="3110">
        <v>0</v>
      </c>
      <c r="N20" s="3110">
        <v>0</v>
      </c>
      <c r="O20" s="3112">
        <v>0</v>
      </c>
    </row>
    <row r="21" spans="1:17" ht="15.75" thickBot="1">
      <c r="A21" s="1001"/>
      <c r="B21" s="699"/>
      <c r="C21" s="989"/>
      <c r="D21" s="990"/>
      <c r="E21" s="991"/>
      <c r="F21" s="989"/>
      <c r="G21" s="1010"/>
      <c r="I21" s="1005"/>
      <c r="J21" s="349"/>
      <c r="K21" s="987"/>
      <c r="L21" s="877"/>
      <c r="M21" s="987"/>
      <c r="N21" s="987"/>
      <c r="O21" s="1008"/>
    </row>
    <row r="22" spans="1:17">
      <c r="A22" s="1011" t="s">
        <v>677</v>
      </c>
      <c r="B22" s="983"/>
      <c r="C22" s="992"/>
      <c r="D22" s="993"/>
      <c r="E22" s="994"/>
      <c r="F22" s="992"/>
      <c r="G22" s="1012"/>
      <c r="I22" s="1007"/>
      <c r="J22" s="1059" t="s">
        <v>684</v>
      </c>
      <c r="K22" s="3110">
        <f t="shared" ref="K22:O22" si="6">R16</f>
        <v>0</v>
      </c>
      <c r="L22" s="3110">
        <f t="shared" si="6"/>
        <v>0</v>
      </c>
      <c r="M22" s="3110">
        <f t="shared" si="6"/>
        <v>0</v>
      </c>
      <c r="N22" s="3110">
        <f t="shared" si="6"/>
        <v>0</v>
      </c>
      <c r="O22" s="3112">
        <f t="shared" si="6"/>
        <v>0</v>
      </c>
    </row>
    <row r="23" spans="1:17">
      <c r="A23" s="1007"/>
      <c r="B23" s="1058" t="s">
        <v>678</v>
      </c>
      <c r="C23" s="2681">
        <f ca="1">'Personal Income Tax Calc.'!N9</f>
        <v>0</v>
      </c>
      <c r="D23" s="2682">
        <f ca="1">'Personal Income Tax Calc.'!N18</f>
        <v>0</v>
      </c>
      <c r="E23" s="2683">
        <f ca="1">'Personal Income Tax Calc.'!N27</f>
        <v>0</v>
      </c>
      <c r="F23" s="2681">
        <f ca="1">'Personal Income Tax Calc.'!N36</f>
        <v>0</v>
      </c>
      <c r="G23" s="2684">
        <f ca="1">'Personal Income Tax Calc.'!N45</f>
        <v>0</v>
      </c>
      <c r="I23" s="1007"/>
      <c r="J23" s="1059" t="s">
        <v>683</v>
      </c>
      <c r="K23" s="3113">
        <f t="array" ref="K23:O23" ca="1">IF(K19:O19=0,0,C25:G25/K19:O19)</f>
        <v>0</v>
      </c>
      <c r="L23" s="3114">
        <f ca="1"/>
        <v>0</v>
      </c>
      <c r="M23" s="3113">
        <f ca="1"/>
        <v>0</v>
      </c>
      <c r="N23" s="3113">
        <f ca="1"/>
        <v>0</v>
      </c>
      <c r="O23" s="3115">
        <f ca="1"/>
        <v>0</v>
      </c>
    </row>
    <row r="24" spans="1:17">
      <c r="A24" s="1007"/>
      <c r="B24" s="1058" t="s">
        <v>679</v>
      </c>
      <c r="C24" s="2681">
        <f ca="1">SUM('Personal Income Tax Calc.'!C13:N13)</f>
        <v>0</v>
      </c>
      <c r="D24" s="2682">
        <f ca="1">SUM('Personal Income Tax Calc.'!C22:N22)</f>
        <v>0</v>
      </c>
      <c r="E24" s="2683">
        <f ca="1">SUM('Personal Income Tax Calc.'!C31:N31)</f>
        <v>0</v>
      </c>
      <c r="F24" s="2681">
        <f ca="1">SUM('Personal Income Tax Calc.'!C40:N40)</f>
        <v>0</v>
      </c>
      <c r="G24" s="2684">
        <f ca="1">SUM('Personal Income Tax Calc.'!C49:N49)</f>
        <v>0</v>
      </c>
      <c r="I24" s="1005"/>
      <c r="J24" s="349"/>
      <c r="K24" s="987"/>
      <c r="L24" s="877"/>
      <c r="M24" s="987"/>
      <c r="N24" s="987"/>
      <c r="O24" s="1008"/>
    </row>
    <row r="25" spans="1:17" ht="15.75" thickBot="1">
      <c r="A25" s="1013"/>
      <c r="B25" s="1014" t="s">
        <v>680</v>
      </c>
      <c r="C25" s="2695">
        <f t="array" ref="C25:G25" ca="1">C23:G23+C24:G24</f>
        <v>0</v>
      </c>
      <c r="D25" s="2696">
        <f ca="1"/>
        <v>0</v>
      </c>
      <c r="E25" s="2697">
        <f ca="1"/>
        <v>0</v>
      </c>
      <c r="F25" s="2695">
        <f ca="1"/>
        <v>0</v>
      </c>
      <c r="G25" s="2698">
        <f ca="1"/>
        <v>0</v>
      </c>
      <c r="I25" s="1007"/>
      <c r="J25" s="1059" t="s">
        <v>685</v>
      </c>
      <c r="K25" s="3110">
        <f t="array" ref="K25:O25" ca="1">K22:O22-K23:O23</f>
        <v>0</v>
      </c>
      <c r="L25" s="3111">
        <f ca="1"/>
        <v>0</v>
      </c>
      <c r="M25" s="3110">
        <f ca="1"/>
        <v>0</v>
      </c>
      <c r="N25" s="3110">
        <f ca="1"/>
        <v>0</v>
      </c>
      <c r="O25" s="3112">
        <f ca="1"/>
        <v>0</v>
      </c>
    </row>
    <row r="26" spans="1:17" s="61" customFormat="1" ht="18.75" customHeight="1" thickTop="1" thickBot="1">
      <c r="A26" s="59"/>
      <c r="B26" s="60"/>
      <c r="I26" s="1001"/>
      <c r="J26" s="1360" t="s">
        <v>686</v>
      </c>
      <c r="K26" s="3116">
        <f ca="1">IF(K25=0,'Personal Income Tax Calc.'!N11,0)</f>
        <v>0</v>
      </c>
      <c r="L26" s="3117">
        <f ca="1">IF(L25=0,'Personal Income Tax Calc.'!N20,0)</f>
        <v>0</v>
      </c>
      <c r="M26" s="3116">
        <f ca="1">IF(M25=0,'Personal Income Tax Calc.'!N29,0)</f>
        <v>0</v>
      </c>
      <c r="N26" s="3116">
        <f ca="1">IF(N25=0,'Personal Income Tax Calc.'!N38,0)</f>
        <v>0</v>
      </c>
      <c r="O26" s="3118">
        <f ca="1">IF(O25=0,'Personal Income Tax Calc.'!N47,0)</f>
        <v>0</v>
      </c>
      <c r="Q26" s="230"/>
    </row>
    <row r="27" spans="1:17" s="61" customFormat="1" ht="18.75" customHeight="1" thickBot="1">
      <c r="A27" s="35"/>
      <c r="B27" s="245" t="s">
        <v>690</v>
      </c>
      <c r="C27" s="1548">
        <f>+J9</f>
        <v>5550</v>
      </c>
      <c r="D27" s="35"/>
      <c r="E27" s="35"/>
      <c r="F27" s="35"/>
      <c r="G27" s="35"/>
      <c r="I27" s="1027"/>
      <c r="J27" s="2415" t="s">
        <v>689</v>
      </c>
      <c r="K27" s="3119">
        <f t="array" ref="K27:O27">IF(K20:O20=0,0,K22:O22/K20:O20)</f>
        <v>0</v>
      </c>
      <c r="L27" s="3120">
        <v>0</v>
      </c>
      <c r="M27" s="3119">
        <v>0</v>
      </c>
      <c r="N27" s="3121">
        <v>0</v>
      </c>
      <c r="O27" s="3122">
        <v>0</v>
      </c>
      <c r="Q27" s="230"/>
    </row>
    <row r="28" spans="1:17" ht="15.75" thickBot="1"/>
    <row r="29" spans="1:17" ht="15.75" thickBot="1">
      <c r="I29" s="2561"/>
      <c r="J29" s="2562" t="s">
        <v>1052</v>
      </c>
      <c r="K29" s="3123">
        <f>IF(K19&gt;0,K20/K19/12,0)</f>
        <v>0</v>
      </c>
      <c r="L29" s="3124">
        <f>IF(L19&gt;0,L20/L19/12,0)</f>
        <v>0</v>
      </c>
      <c r="M29" s="3123">
        <f>IF(M19&gt;0,M20/M19/12,0)</f>
        <v>0</v>
      </c>
      <c r="N29" s="3123">
        <f>IF(N19&gt;0,N20/N19/12,0)</f>
        <v>0</v>
      </c>
      <c r="O29" s="3125">
        <f>IF(O19&gt;0,O20/O19/12,0)</f>
        <v>0</v>
      </c>
    </row>
    <row r="30" spans="1:17" ht="19.5" thickBot="1">
      <c r="A30" s="3083" t="s">
        <v>1216</v>
      </c>
      <c r="B30" s="60"/>
      <c r="C30" s="61"/>
      <c r="D30" s="61"/>
      <c r="E30" s="61"/>
      <c r="F30" s="61"/>
      <c r="G30" s="61"/>
    </row>
    <row r="31" spans="1:17" ht="24" thickBot="1">
      <c r="A31" s="3084"/>
      <c r="B31" s="3085"/>
      <c r="C31" s="3086" t="str">
        <f t="array" ref="C31:G31">anni</f>
        <v>Year 0:   2026</v>
      </c>
      <c r="D31" s="3087" t="str">
        <v>Year 1:   2027</v>
      </c>
      <c r="E31" s="3088" t="str">
        <v>Year 2:   2028</v>
      </c>
      <c r="F31" s="3088" t="str">
        <v>Year 3:   2029</v>
      </c>
      <c r="G31" s="3086" t="str">
        <v>Year 4:   2030</v>
      </c>
    </row>
    <row r="32" spans="1:17">
      <c r="A32" s="3156"/>
      <c r="B32" s="3157" t="s">
        <v>1215</v>
      </c>
      <c r="C32" s="3186"/>
      <c r="D32" s="3187">
        <f ca="1">C20+'Fixed Expenses 0'!$N$18+'Corporate Income Tax'!B32</f>
        <v>1032</v>
      </c>
      <c r="E32" s="3188">
        <f ca="1">D20+'Fixed Expenses 1'!$N$18+'Corporate Income Tax'!D32</f>
        <v>960</v>
      </c>
      <c r="F32" s="3188">
        <f ca="1">E20+'Fixed Expenses 2'!$N$18+'Corporate Income Tax'!G32</f>
        <v>960</v>
      </c>
      <c r="G32" s="3186">
        <f ca="1">F20+'Fixed Expenses 3'!$N$18+'Corporate Income Tax'!J32</f>
        <v>960</v>
      </c>
    </row>
    <row r="33" spans="1:7">
      <c r="A33" s="372"/>
      <c r="B33" s="3100" t="s">
        <v>1214</v>
      </c>
      <c r="C33" s="3155">
        <v>0</v>
      </c>
      <c r="D33" s="3090">
        <f ca="1">D32/(finTemporada-inicioTemporada+1)/K19</f>
        <v>86</v>
      </c>
      <c r="E33" s="3091">
        <f ca="1">E32/(finTemporada-inicioTemporada+1)/L19</f>
        <v>80</v>
      </c>
      <c r="F33" s="3091">
        <f ca="1">F32/(finTemporada-inicioTemporada+1)/M19</f>
        <v>80</v>
      </c>
      <c r="G33" s="3089">
        <f ca="1">G32/(finTemporada-inicioTemporada+1)/N19</f>
        <v>80</v>
      </c>
    </row>
    <row r="34" spans="1:7">
      <c r="A34" s="372"/>
      <c r="B34" s="3092" t="s">
        <v>1209</v>
      </c>
      <c r="C34" s="3093">
        <f>'Base Data'!B15</f>
        <v>2026</v>
      </c>
      <c r="D34" s="3094">
        <f t="shared" ref="D34:G34" si="7">C34+1</f>
        <v>2027</v>
      </c>
      <c r="E34" s="3095">
        <f t="shared" si="7"/>
        <v>2028</v>
      </c>
      <c r="F34" s="3095">
        <f t="shared" si="7"/>
        <v>2029</v>
      </c>
      <c r="G34" s="3093">
        <f t="shared" si="7"/>
        <v>2030</v>
      </c>
    </row>
    <row r="35" spans="1:7">
      <c r="A35" s="372"/>
      <c r="B35" s="3096" t="s">
        <v>1210</v>
      </c>
      <c r="C35" s="3097">
        <v>1</v>
      </c>
      <c r="D35" s="3098">
        <f>MATCH(C34,'RETA 2023'!$D$12:$K$12,1)</f>
        <v>7</v>
      </c>
      <c r="E35" s="3099">
        <f>_xlfn.IFNA(MATCH(D34,'RETA 2023'!$D$12:$K$12,1),MAX($C35:D35))</f>
        <v>7</v>
      </c>
      <c r="F35" s="3099">
        <f>_xlfn.IFNA(MATCH(E34,'RETA 2023'!$D$12:$K$12,1),MAX($C35:E35))</f>
        <v>7</v>
      </c>
      <c r="G35" s="3097">
        <f>_xlfn.IFNA(MATCH(F34,'RETA 2023'!$D$12:$K$12,1),MAX($C35:F35))</f>
        <v>7</v>
      </c>
    </row>
    <row r="36" spans="1:7">
      <c r="A36" s="372"/>
      <c r="B36" s="3100" t="s">
        <v>1213</v>
      </c>
      <c r="C36" s="3101">
        <f ca="1">INDEX(OFFSET('RETA 2023'!$D$14,0,(C35-1),15,1),MATCH(C33,'RETA 2023'!$B$14:$B$28,1))</f>
        <v>751.63</v>
      </c>
      <c r="D36" s="3102">
        <f ca="1">INDEX(OFFSET('RETA 2023'!$D$14,0,(D35-1),15,1),MATCH(D33,'RETA 2023'!$B$14:$B$28,1))</f>
        <v>653.59</v>
      </c>
      <c r="E36" s="3103">
        <f ca="1">INDEX(OFFSET('RETA 2023'!$D$14,0,(E35-1),15,1),MATCH(E33,'RETA 2023'!$B$14:$B$28,1))</f>
        <v>653.59</v>
      </c>
      <c r="F36" s="3103">
        <f ca="1">INDEX(OFFSET('RETA 2023'!$D$14,0,(F35-1),15,1),MATCH(F33,'RETA 2023'!$B$14:$B$28,1))</f>
        <v>653.59</v>
      </c>
      <c r="G36" s="3101">
        <f ca="1">INDEX(OFFSET('RETA 2023'!$D$14,0,(G35-1),15,1),MATCH(G33,'RETA 2023'!$B$14:$B$28,1))</f>
        <v>653.59</v>
      </c>
    </row>
    <row r="37" spans="1:7" ht="15.75" thickBot="1">
      <c r="A37" s="3104"/>
      <c r="B37" s="3105" t="s">
        <v>1212</v>
      </c>
      <c r="C37" s="3106">
        <f ca="1">INDEX(OFFSET('RETA 2023'!$D$14,0,(C35-1)+1,15,1),MATCH(C33,'RETA 2023'!$B$14:$B$28,1))</f>
        <v>230</v>
      </c>
      <c r="D37" s="3107">
        <f ca="1">INDEX(OFFSET('RETA 2023'!$D$14,0,(D35-1)+1,15,1),MATCH(D33,'RETA 2023'!$B$14:$B$28,1))</f>
        <v>230</v>
      </c>
      <c r="E37" s="3108">
        <f ca="1">INDEX(OFFSET('RETA 2023'!$D$14,0,(E35-1)+1,15,1),MATCH(E33,'RETA 2023'!$B$14:$B$28,1))</f>
        <v>230</v>
      </c>
      <c r="F37" s="3108">
        <f ca="1">INDEX(OFFSET('RETA 2023'!$D$14,0,(F35-1)+1,15,1),MATCH(F33,'RETA 2023'!$B$14:$B$28,1))</f>
        <v>230</v>
      </c>
      <c r="G37" s="3106">
        <f ca="1">INDEX(OFFSET('RETA 2023'!$D$14,0,(G35-1)+1,15,1),MATCH(G33,'RETA 2023'!$B$14:$B$28,1))</f>
        <v>230</v>
      </c>
    </row>
    <row r="38" spans="1:7" ht="15.75" thickBot="1"/>
    <row r="39" spans="1:7">
      <c r="A39" s="3156"/>
      <c r="B39" s="3157" t="s">
        <v>1221</v>
      </c>
      <c r="C39" s="3158">
        <v>0</v>
      </c>
      <c r="D39" s="3159">
        <f ca="1">D37-C37</f>
        <v>0</v>
      </c>
      <c r="E39" s="3160">
        <f ca="1">E37-D37</f>
        <v>0</v>
      </c>
      <c r="F39" s="3158">
        <f ca="1">F37-E37</f>
        <v>0</v>
      </c>
      <c r="G39" s="3158">
        <f ca="1">G37-F37</f>
        <v>0</v>
      </c>
    </row>
    <row r="40" spans="1:7" ht="15.75" thickBot="1">
      <c r="A40" s="3104"/>
      <c r="B40" s="3161" t="s">
        <v>1211</v>
      </c>
      <c r="C40" s="3162">
        <v>0</v>
      </c>
      <c r="D40" s="3163">
        <f ca="1">D39*IF(mes0&gt;finTemporada,0,IF(mes0&lt;=inicioTemporada,finTemporada-inicioTemporada,MIN(finTemporada,mes0)-inicioTemporada))*K19</f>
        <v>0</v>
      </c>
      <c r="E40" s="3164">
        <f ca="1">E39*(finTemporada-inicioTemporada)*L19</f>
        <v>0</v>
      </c>
      <c r="F40" s="3162">
        <f ca="1">F39*(finTemporada-inicioTemporada)*M19</f>
        <v>0</v>
      </c>
      <c r="G40" s="3162">
        <f ca="1">G39*(finTemporada-inicioTemporada)*N19</f>
        <v>0</v>
      </c>
    </row>
  </sheetData>
  <sheetProtection sheet="1" objects="1" scenarios="1"/>
  <phoneticPr fontId="7" type="noConversion"/>
  <printOptions horizontalCentered="1"/>
  <pageMargins left="0.56999999999999995" right="0.75" top="0.46" bottom="1" header="0" footer="0"/>
  <pageSetup paperSize="9" scale="68" orientation="landscape" horizontalDpi="300" r:id="rId1"/>
  <headerFooter alignWithMargins="0"/>
  <rowBreaks count="1" manualBreakCount="1">
    <brk id="35" max="16383"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A2493F3-2453-4CB7-8FD0-FF41F0375E97}">
          <x14:formula1>
            <xm:f>'D:\Mis Documentos\Dropbox\PEF Plan Financiero\[PEF-2022-22_05_24-ES - copia RETA 2023.xlsx]RETA 2023'!#REF!</xm:f>
          </x14:formula1>
          <xm:sqref>C33</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20">
    <tabColor indexed="42"/>
    <pageSetUpPr fitToPage="1"/>
  </sheetPr>
  <dimension ref="A1:S57"/>
  <sheetViews>
    <sheetView topLeftCell="A7" zoomScale="75" zoomScaleNormal="75" workbookViewId="0">
      <pane xSplit="1" topLeftCell="B1" activePane="topRight" state="frozenSplit"/>
      <selection activeCell="E22" sqref="E22"/>
      <selection pane="topRight" activeCell="E22" sqref="E22"/>
    </sheetView>
  </sheetViews>
  <sheetFormatPr baseColWidth="10" defaultColWidth="11" defaultRowHeight="12.75"/>
  <cols>
    <col min="1" max="1" width="26.375" style="275" customWidth="1"/>
    <col min="2" max="2" width="9.75" style="277" customWidth="1"/>
    <col min="3" max="3" width="10.5" style="86" customWidth="1"/>
    <col min="4" max="8" width="11.75" style="86" customWidth="1"/>
    <col min="9" max="13" width="11.5" style="86" customWidth="1"/>
    <col min="14" max="14" width="10.125" style="86" customWidth="1"/>
    <col min="15" max="15" width="9.5" style="275" customWidth="1"/>
    <col min="16" max="16384" width="11" style="86"/>
  </cols>
  <sheetData>
    <row r="1" spans="1:15" ht="25.5">
      <c r="A1" s="936" t="s">
        <v>710</v>
      </c>
      <c r="B1" s="1049"/>
      <c r="E1" s="163" t="str">
        <f>Parameters!B$77</f>
        <v>Year 0:   2026</v>
      </c>
      <c r="F1" s="291"/>
      <c r="M1" s="1050"/>
      <c r="O1" s="86"/>
    </row>
    <row r="2" spans="1:15" s="534" customFormat="1" ht="25.5">
      <c r="A2" s="162" t="str">
        <f>'Base Data'!B9</f>
        <v>WWW, Ltd.</v>
      </c>
      <c r="B2" s="1049"/>
      <c r="D2" s="1051"/>
      <c r="E2" s="159"/>
    </row>
    <row r="3" spans="1:15" ht="21" customHeight="1">
      <c r="A3" s="86"/>
      <c r="B3" s="1036"/>
      <c r="O3" s="86"/>
    </row>
    <row r="4" spans="1:15" ht="25.5">
      <c r="A4" s="162" t="str">
        <f>"Sales ("&amp;'Base Data'!$A$28&amp;" incl.)"</f>
        <v>Sales (VAT incl.)</v>
      </c>
      <c r="B4" s="1036"/>
      <c r="E4" s="163"/>
      <c r="F4" s="163"/>
      <c r="O4" s="86"/>
    </row>
    <row r="5" spans="1:15" ht="5.25" customHeight="1" thickBot="1"/>
    <row r="6" spans="1:15" s="1032" customFormat="1" ht="16.149999999999999" customHeight="1" thickBot="1">
      <c r="A6" s="165" t="s">
        <v>617</v>
      </c>
      <c r="B6" s="2044" t="str">
        <f t="array" ref="B6:M6">meses</f>
        <v>January</v>
      </c>
      <c r="C6" s="2045" t="str">
        <v>February</v>
      </c>
      <c r="D6" s="2045" t="str">
        <v>March</v>
      </c>
      <c r="E6" s="2045" t="str">
        <v>April</v>
      </c>
      <c r="F6" s="2045" t="str">
        <v>May</v>
      </c>
      <c r="G6" s="2045" t="str">
        <v>June</v>
      </c>
      <c r="H6" s="2045" t="str">
        <v>July</v>
      </c>
      <c r="I6" s="2045" t="str">
        <v>August</v>
      </c>
      <c r="J6" s="2045" t="str">
        <v>September</v>
      </c>
      <c r="K6" s="2045" t="str">
        <v>October</v>
      </c>
      <c r="L6" s="2045" t="str">
        <v>November</v>
      </c>
      <c r="M6" s="2045" t="str">
        <v>December</v>
      </c>
      <c r="N6" s="2045" t="s">
        <v>0</v>
      </c>
    </row>
    <row r="7" spans="1:15" s="541" customFormat="1" ht="16.149999999999999" customHeight="1">
      <c r="A7" s="2046" t="str">
        <f t="array" ref="A7:A14">productos</f>
        <v>product 1</v>
      </c>
      <c r="B7" s="1033">
        <f t="array" aca="1" ref="B7:M14" ca="1">'Sales Forecast 0'!B17:M24*(1+Parameters!$E24:$E31 - ret_irpf  )</f>
        <v>242</v>
      </c>
      <c r="C7" s="1033">
        <f ca="1"/>
        <v>330</v>
      </c>
      <c r="D7" s="1033">
        <f ca="1"/>
        <v>418.00000000000006</v>
      </c>
      <c r="E7" s="1033">
        <f ca="1"/>
        <v>506</v>
      </c>
      <c r="F7" s="1033">
        <f ca="1"/>
        <v>594</v>
      </c>
      <c r="G7" s="1033">
        <f ca="1"/>
        <v>682</v>
      </c>
      <c r="H7" s="1033">
        <f ca="1"/>
        <v>770</v>
      </c>
      <c r="I7" s="1033">
        <f ca="1"/>
        <v>857.99999999999989</v>
      </c>
      <c r="J7" s="1033">
        <f ca="1"/>
        <v>946</v>
      </c>
      <c r="K7" s="1033">
        <f ca="1"/>
        <v>1034</v>
      </c>
      <c r="L7" s="1033">
        <f ca="1"/>
        <v>1122</v>
      </c>
      <c r="M7" s="1033">
        <f ca="1"/>
        <v>1210</v>
      </c>
      <c r="N7" s="2047">
        <f t="shared" ref="N7:N14" ca="1" si="0">SUM(B7:M7)</f>
        <v>8712</v>
      </c>
    </row>
    <row r="8" spans="1:15" s="541" customFormat="1" ht="16.149999999999999" customHeight="1">
      <c r="A8" s="2048"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7">
        <f t="shared" ca="1" si="0"/>
        <v>0</v>
      </c>
    </row>
    <row r="9" spans="1:15" s="541" customFormat="1" ht="16.149999999999999" customHeight="1">
      <c r="A9" s="2048"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7">
        <f t="shared" ca="1" si="0"/>
        <v>0</v>
      </c>
    </row>
    <row r="10" spans="1:15" s="541" customFormat="1" ht="16.149999999999999" customHeight="1">
      <c r="A10" s="2048"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7">
        <f t="shared" ca="1" si="0"/>
        <v>0</v>
      </c>
    </row>
    <row r="11" spans="1:15" s="541" customFormat="1" ht="16.149999999999999" customHeight="1">
      <c r="A11" s="2048"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7">
        <f t="shared" ca="1" si="0"/>
        <v>0</v>
      </c>
    </row>
    <row r="12" spans="1:15" s="541" customFormat="1" ht="16.149999999999999" customHeight="1">
      <c r="A12" s="2048"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7">
        <f t="shared" ca="1" si="0"/>
        <v>0</v>
      </c>
    </row>
    <row r="13" spans="1:15" s="541" customFormat="1" ht="16.149999999999999" customHeight="1">
      <c r="A13" s="2048"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7">
        <f t="shared" ca="1" si="0"/>
        <v>0</v>
      </c>
    </row>
    <row r="14" spans="1:15" s="541" customFormat="1" ht="16.149999999999999" customHeight="1" thickBot="1">
      <c r="A14" s="2049"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7">
        <f t="shared" ca="1" si="0"/>
        <v>0</v>
      </c>
    </row>
    <row r="15" spans="1:15" s="541" customFormat="1" ht="16.149999999999999" customHeight="1" thickBot="1">
      <c r="A15" s="2050" t="s">
        <v>0</v>
      </c>
      <c r="B15" s="2051">
        <f t="shared" ref="B15:N15" ca="1" si="1">SUM(B7:B14)</f>
        <v>242</v>
      </c>
      <c r="C15" s="2051">
        <f t="shared" ca="1" si="1"/>
        <v>330</v>
      </c>
      <c r="D15" s="2051">
        <f t="shared" ca="1" si="1"/>
        <v>418.00000000000006</v>
      </c>
      <c r="E15" s="2051">
        <f t="shared" ca="1" si="1"/>
        <v>506</v>
      </c>
      <c r="F15" s="2051">
        <f t="shared" ca="1" si="1"/>
        <v>594</v>
      </c>
      <c r="G15" s="2051">
        <f t="shared" ca="1" si="1"/>
        <v>682</v>
      </c>
      <c r="H15" s="2051">
        <f t="shared" ca="1" si="1"/>
        <v>770</v>
      </c>
      <c r="I15" s="2051">
        <f t="shared" ca="1" si="1"/>
        <v>857.99999999999989</v>
      </c>
      <c r="J15" s="2051">
        <f t="shared" ca="1" si="1"/>
        <v>946</v>
      </c>
      <c r="K15" s="2051">
        <f t="shared" ca="1" si="1"/>
        <v>1034</v>
      </c>
      <c r="L15" s="2051">
        <f t="shared" ca="1" si="1"/>
        <v>1122</v>
      </c>
      <c r="M15" s="2051">
        <f t="shared" ca="1" si="1"/>
        <v>1210</v>
      </c>
      <c r="N15" s="2051">
        <f t="shared" ca="1" si="1"/>
        <v>8712</v>
      </c>
    </row>
    <row r="16" spans="1:15" s="541" customFormat="1" ht="16.149999999999999" customHeight="1">
      <c r="A16" s="24"/>
    </row>
    <row r="17" spans="1:19" s="318" customFormat="1" ht="22.5">
      <c r="A17" s="318" t="s">
        <v>711</v>
      </c>
      <c r="B17" s="163"/>
      <c r="E17" s="163"/>
      <c r="F17" s="163"/>
    </row>
    <row r="18" spans="1:19" ht="16.5" customHeight="1" thickBot="1">
      <c r="A18" s="86"/>
      <c r="B18" s="86"/>
      <c r="O18" s="86"/>
      <c r="P18" s="1035" t="s">
        <v>708</v>
      </c>
      <c r="Q18" s="1053" t="str">
        <f>Parameters!E65</f>
        <v>2027</v>
      </c>
    </row>
    <row r="19" spans="1:19" s="1032" customFormat="1" ht="28.5" customHeight="1" thickBot="1">
      <c r="A19" s="165" t="s">
        <v>712</v>
      </c>
      <c r="B19" s="2040" t="str">
        <f t="array" ref="B19:M19">'Sales Forecasts'!B5:M5</f>
        <v>January 
2026</v>
      </c>
      <c r="C19" s="2040" t="str">
        <v>February 
2026</v>
      </c>
      <c r="D19" s="2040" t="str">
        <v>March 
2026</v>
      </c>
      <c r="E19" s="2040" t="str">
        <v>April 
2026</v>
      </c>
      <c r="F19" s="2040" t="str">
        <v>May 
2026</v>
      </c>
      <c r="G19" s="2040" t="str">
        <v>June 
2026</v>
      </c>
      <c r="H19" s="2040" t="str">
        <v>July 
2026</v>
      </c>
      <c r="I19" s="2040" t="str">
        <v>August 
2026</v>
      </c>
      <c r="J19" s="2040" t="str">
        <v>September 
2026</v>
      </c>
      <c r="K19" s="2040" t="str">
        <v>October 
2026</v>
      </c>
      <c r="L19" s="2040" t="str">
        <v>November 
2026</v>
      </c>
      <c r="M19" s="2040" t="str">
        <v>December 
2026</v>
      </c>
      <c r="N19" s="2040" t="str">
        <f t="array" ref="N19:S19">'Collections &amp; Payments 1'!B19:G19</f>
        <v>January 
2027</v>
      </c>
      <c r="O19" s="2040" t="str">
        <v>February 
2027</v>
      </c>
      <c r="P19" s="2040" t="str">
        <v>March 
2027</v>
      </c>
      <c r="Q19" s="2040" t="str">
        <v>April 
2027</v>
      </c>
      <c r="R19" s="2040" t="str">
        <v>May 
2027</v>
      </c>
      <c r="S19" s="2040" t="str">
        <v>June 
2027</v>
      </c>
    </row>
    <row r="20" spans="1:19" s="534" customFormat="1" ht="16.149999999999999" customHeight="1">
      <c r="A20" s="2041" t="s">
        <v>704</v>
      </c>
      <c r="B20" s="1037">
        <f t="array" aca="1" ref="B20" ca="1">SUM('Cashing &amp; Payment Policies'!$B$7:$B$14*B7:B14)</f>
        <v>242</v>
      </c>
      <c r="C20" s="1037">
        <f t="array" aca="1" ref="C20" ca="1">SUM('Cashing &amp; Payment Policies'!$B$7:$B$14*C7:C14)</f>
        <v>330</v>
      </c>
      <c r="D20" s="1037">
        <f t="array" aca="1" ref="D20" ca="1">SUM('Cashing &amp; Payment Policies'!$B$7:$B$14*D7:D14)</f>
        <v>418.00000000000006</v>
      </c>
      <c r="E20" s="1037">
        <f t="array" aca="1" ref="E20" ca="1">SUM('Cashing &amp; Payment Policies'!$B$7:$B$14*E7:E14)</f>
        <v>506</v>
      </c>
      <c r="F20" s="1037">
        <f t="array" aca="1" ref="F20" ca="1">SUM('Cashing &amp; Payment Policies'!$B$7:$B$14*F7:F14)</f>
        <v>594</v>
      </c>
      <c r="G20" s="1037">
        <f t="array" aca="1" ref="G20" ca="1">SUM('Cashing &amp; Payment Policies'!$B$7:$B$14*G7:G14)</f>
        <v>682</v>
      </c>
      <c r="H20" s="1037">
        <f t="array" aca="1" ref="H20" ca="1">SUM('Cashing &amp; Payment Policies'!$B$7:$B$14*H7:H14)</f>
        <v>770</v>
      </c>
      <c r="I20" s="1037">
        <f t="array" aca="1" ref="I20" ca="1">SUM('Cashing &amp; Payment Policies'!$B$7:$B$14*I7:I14)</f>
        <v>857.99999999999989</v>
      </c>
      <c r="J20" s="1037">
        <f t="array" aca="1" ref="J20" ca="1">SUM('Cashing &amp; Payment Policies'!$B$7:$B$14*J7:J14)</f>
        <v>946</v>
      </c>
      <c r="K20" s="1037">
        <f t="array" aca="1" ref="K20" ca="1">SUM('Cashing &amp; Payment Policies'!$B$7:$B$14*K7:K14)</f>
        <v>1034</v>
      </c>
      <c r="L20" s="1037">
        <f t="array" aca="1" ref="L20" ca="1">SUM('Cashing &amp; Payment Policies'!$B$7:$B$14*L7:L14)</f>
        <v>1122</v>
      </c>
      <c r="M20" s="1037">
        <f t="array" aca="1" ref="M20" ca="1">SUM('Cashing &amp; Payment Policies'!$B$7:$B$14*M7:M14)</f>
        <v>1210</v>
      </c>
      <c r="N20" s="1037"/>
      <c r="O20" s="1037"/>
      <c r="P20" s="1037"/>
      <c r="Q20" s="1037"/>
      <c r="R20" s="1037"/>
      <c r="S20" s="1037"/>
    </row>
    <row r="21" spans="1:19" s="541" customFormat="1" ht="16.149999999999999" customHeight="1">
      <c r="A21" s="2421">
        <v>30</v>
      </c>
      <c r="B21" s="1038"/>
      <c r="C21" s="1037">
        <f t="array" aca="1" ref="C21" ca="1">SUM('Cashing &amp; Payment Policies'!$C$7:$C$14*B$7:B$14)</f>
        <v>0</v>
      </c>
      <c r="D21" s="1037">
        <f t="array" aca="1" ref="D21" ca="1">SUM('Cashing &amp; Payment Policies'!$C$7:$C$14*C$7:C$14)</f>
        <v>0</v>
      </c>
      <c r="E21" s="1037">
        <f t="array" aca="1" ref="E21" ca="1">SUM('Cashing &amp; Payment Policies'!$C$7:$C$14*D$7:D$14)</f>
        <v>0</v>
      </c>
      <c r="F21" s="1037">
        <f t="array" aca="1" ref="F21" ca="1">SUM('Cashing &amp; Payment Policies'!$C$7:$C$14*E$7:E$14)</f>
        <v>0</v>
      </c>
      <c r="G21" s="1037">
        <f t="array" aca="1" ref="G21" ca="1">SUM('Cashing &amp; Payment Policies'!$C$7:$C$14*F$7:F$14)</f>
        <v>0</v>
      </c>
      <c r="H21" s="1037">
        <f t="array" aca="1" ref="H21" ca="1">SUM('Cashing &amp; Payment Policies'!$C$7:$C$14*G$7:G$14)</f>
        <v>0</v>
      </c>
      <c r="I21" s="1037">
        <f t="array" aca="1" ref="I21" ca="1">SUM('Cashing &amp; Payment Policies'!$C$7:$C$14*H$7:H$14)</f>
        <v>0</v>
      </c>
      <c r="J21" s="1037">
        <f t="array" aca="1" ref="J21" ca="1">SUM('Cashing &amp; Payment Policies'!$C$7:$C$14*I$7:I$14)</f>
        <v>0</v>
      </c>
      <c r="K21" s="1037">
        <f t="array" aca="1" ref="K21" ca="1">SUM('Cashing &amp; Payment Policies'!$C$7:$C$14*J$7:J$14)</f>
        <v>0</v>
      </c>
      <c r="L21" s="1037">
        <f t="array" aca="1" ref="L21" ca="1">SUM('Cashing &amp; Payment Policies'!$C$7:$C$14*K$7:K$14)</f>
        <v>0</v>
      </c>
      <c r="M21" s="1037">
        <f t="array" aca="1" ref="M21" ca="1">SUM('Cashing &amp; Payment Policies'!$C$7:$C$14*L$7:L$14)</f>
        <v>0</v>
      </c>
      <c r="N21" s="1037">
        <f t="array" aca="1" ref="N21" ca="1">SUM('Cashing &amp; Payment Policies'!$C$7:$C$14*M$7:M$14)</f>
        <v>0</v>
      </c>
      <c r="O21" s="1037"/>
      <c r="P21" s="1037"/>
      <c r="Q21" s="1037"/>
      <c r="R21" s="1037"/>
      <c r="S21" s="1037"/>
    </row>
    <row r="22" spans="1:19" s="534" customFormat="1" ht="16.149999999999999" customHeight="1">
      <c r="A22" s="2421">
        <v>60</v>
      </c>
      <c r="B22" s="1038"/>
      <c r="C22" s="1038"/>
      <c r="D22" s="1037">
        <f t="array" aca="1" ref="D22" ca="1">SUM('Cashing &amp; Payment Policies'!$D$7:$D$14*B$7:B$14)</f>
        <v>0</v>
      </c>
      <c r="E22" s="1037">
        <f t="array" aca="1" ref="E22" ca="1">SUM('Cashing &amp; Payment Policies'!$D$7:$D$14*C$7:C$14)</f>
        <v>0</v>
      </c>
      <c r="F22" s="1037">
        <f t="array" aca="1" ref="F22" ca="1">SUM('Cashing &amp; Payment Policies'!$D$7:$D$14*D$7:D$14)</f>
        <v>0</v>
      </c>
      <c r="G22" s="1037">
        <f t="array" aca="1" ref="G22" ca="1">SUM('Cashing &amp; Payment Policies'!$D$7:$D$14*E$7:E$14)</f>
        <v>0</v>
      </c>
      <c r="H22" s="1037">
        <f t="array" aca="1" ref="H22" ca="1">SUM('Cashing &amp; Payment Policies'!$D$7:$D$14*F$7:F$14)</f>
        <v>0</v>
      </c>
      <c r="I22" s="1037">
        <f t="array" aca="1" ref="I22" ca="1">SUM('Cashing &amp; Payment Policies'!$D$7:$D$14*G$7:G$14)</f>
        <v>0</v>
      </c>
      <c r="J22" s="1037">
        <f t="array" aca="1" ref="J22" ca="1">SUM('Cashing &amp; Payment Policies'!$D$7:$D$14*H$7:H$14)</f>
        <v>0</v>
      </c>
      <c r="K22" s="1037">
        <f t="array" aca="1" ref="K22" ca="1">SUM('Cashing &amp; Payment Policies'!$D$7:$D$14*I$7:I$14)</f>
        <v>0</v>
      </c>
      <c r="L22" s="1037">
        <f t="array" aca="1" ref="L22" ca="1">SUM('Cashing &amp; Payment Policies'!$D$7:$D$14*J$7:J$14)</f>
        <v>0</v>
      </c>
      <c r="M22" s="1037">
        <f t="array" aca="1" ref="M22" ca="1">SUM('Cashing &amp; Payment Policies'!$D$7:$D$14*K$7:K$14)</f>
        <v>0</v>
      </c>
      <c r="N22" s="1037">
        <f t="array" aca="1" ref="N22" ca="1">SUM('Cashing &amp; Payment Policies'!$D$7:$D$14*L$7:L$14)</f>
        <v>0</v>
      </c>
      <c r="O22" s="1037">
        <f t="array" aca="1" ref="O22" ca="1">SUM('Cashing &amp; Payment Policies'!$D$7:$D$14*M$7:M$14)</f>
        <v>0</v>
      </c>
      <c r="P22" s="1037"/>
      <c r="Q22" s="1037"/>
      <c r="R22" s="1037"/>
      <c r="S22" s="1037"/>
    </row>
    <row r="23" spans="1:19" s="534" customFormat="1" ht="16.149999999999999" customHeight="1">
      <c r="A23" s="2421">
        <v>90</v>
      </c>
      <c r="B23" s="1038"/>
      <c r="C23" s="1038"/>
      <c r="D23" s="1038"/>
      <c r="E23" s="1037">
        <f t="array" aca="1" ref="E23" ca="1">SUM('Cashing &amp; Payment Policies'!$E$7:$E$14*B$7:B$14)</f>
        <v>0</v>
      </c>
      <c r="F23" s="1037">
        <f t="array" aca="1" ref="F23" ca="1">SUM('Cashing &amp; Payment Policies'!$E$7:$E$14*C$7:C$14)</f>
        <v>0</v>
      </c>
      <c r="G23" s="1037">
        <f t="array" aca="1" ref="G23" ca="1">SUM('Cashing &amp; Payment Policies'!$E$7:$E$14*D$7:D$14)</f>
        <v>0</v>
      </c>
      <c r="H23" s="1037">
        <f t="array" aca="1" ref="H23" ca="1">SUM('Cashing &amp; Payment Policies'!$E$7:$E$14*E$7:E$14)</f>
        <v>0</v>
      </c>
      <c r="I23" s="1037">
        <f t="array" aca="1" ref="I23" ca="1">SUM('Cashing &amp; Payment Policies'!$E$7:$E$14*F$7:F$14)</f>
        <v>0</v>
      </c>
      <c r="J23" s="1037">
        <f t="array" aca="1" ref="J23" ca="1">SUM('Cashing &amp; Payment Policies'!$E$7:$E$14*G$7:G$14)</f>
        <v>0</v>
      </c>
      <c r="K23" s="1037">
        <f t="array" aca="1" ref="K23" ca="1">SUM('Cashing &amp; Payment Policies'!$E$7:$E$14*H$7:H$14)</f>
        <v>0</v>
      </c>
      <c r="L23" s="1037">
        <f t="array" aca="1" ref="L23" ca="1">SUM('Cashing &amp; Payment Policies'!$E$7:$E$14*I$7:I$14)</f>
        <v>0</v>
      </c>
      <c r="M23" s="1037">
        <f t="array" aca="1" ref="M23" ca="1">SUM('Cashing &amp; Payment Policies'!$E$7:$E$14*J$7:J$14)</f>
        <v>0</v>
      </c>
      <c r="N23" s="1037">
        <f t="array" aca="1" ref="N23" ca="1">SUM('Cashing &amp; Payment Policies'!$E$7:$E$14*K$7:K$14)</f>
        <v>0</v>
      </c>
      <c r="O23" s="1037">
        <f t="array" aca="1" ref="O23" ca="1">SUM('Cashing &amp; Payment Policies'!$E$7:$E$14*L$7:L$14)</f>
        <v>0</v>
      </c>
      <c r="P23" s="1037">
        <f t="array" aca="1" ref="P23" ca="1">SUM('Cashing &amp; Payment Policies'!$E$7:$E$14*M$7:M$14)</f>
        <v>0</v>
      </c>
      <c r="Q23" s="1037"/>
      <c r="R23" s="1037"/>
      <c r="S23" s="1037"/>
    </row>
    <row r="24" spans="1:19" s="534" customFormat="1" ht="16.149999999999999" customHeight="1">
      <c r="A24" s="2421">
        <v>120</v>
      </c>
      <c r="B24" s="1038"/>
      <c r="C24" s="1038"/>
      <c r="D24" s="1038"/>
      <c r="E24" s="1038"/>
      <c r="F24" s="1037">
        <f t="array" aca="1" ref="F24" ca="1">SUM('Cashing &amp; Payment Policies'!$F$7:$F$14*B$7:B$14)</f>
        <v>0</v>
      </c>
      <c r="G24" s="1037">
        <f t="array" aca="1" ref="G24" ca="1">SUM('Cashing &amp; Payment Policies'!$F$7:$F$14*C$7:C$14)</f>
        <v>0</v>
      </c>
      <c r="H24" s="1037">
        <f t="array" aca="1" ref="H24" ca="1">SUM('Cashing &amp; Payment Policies'!$F$7:$F$14*D$7:D$14)</f>
        <v>0</v>
      </c>
      <c r="I24" s="1037">
        <f t="array" aca="1" ref="I24" ca="1">SUM('Cashing &amp; Payment Policies'!$F$7:$F$14*E$7:E$14)</f>
        <v>0</v>
      </c>
      <c r="J24" s="1037">
        <f t="array" aca="1" ref="J24" ca="1">SUM('Cashing &amp; Payment Policies'!$F$7:$F$14*F$7:F$14)</f>
        <v>0</v>
      </c>
      <c r="K24" s="1037">
        <f t="array" aca="1" ref="K24" ca="1">SUM('Cashing &amp; Payment Policies'!$F$7:$F$14*G$7:G$14)</f>
        <v>0</v>
      </c>
      <c r="L24" s="1037">
        <f t="array" aca="1" ref="L24" ca="1">SUM('Cashing &amp; Payment Policies'!$F$7:$F$14*H$7:H$14)</f>
        <v>0</v>
      </c>
      <c r="M24" s="1037">
        <f t="array" aca="1" ref="M24" ca="1">SUM('Cashing &amp; Payment Policies'!$F$7:$F$14*I$7:I$14)</f>
        <v>0</v>
      </c>
      <c r="N24" s="1037">
        <f t="array" aca="1" ref="N24" ca="1">SUM('Cashing &amp; Payment Policies'!$F$7:$F$14*J$7:J$14)</f>
        <v>0</v>
      </c>
      <c r="O24" s="1037">
        <f t="array" aca="1" ref="O24" ca="1">SUM('Cashing &amp; Payment Policies'!$F$7:$F$14*K$7:K$14)</f>
        <v>0</v>
      </c>
      <c r="P24" s="1037">
        <f t="array" aca="1" ref="P24" ca="1">SUM('Cashing &amp; Payment Policies'!$F$7:$F$14*L$7:L$14)</f>
        <v>0</v>
      </c>
      <c r="Q24" s="1037">
        <f t="array" aca="1" ref="Q24" ca="1">SUM('Cashing &amp; Payment Policies'!$F$7:$F$14*M$7:M$14)</f>
        <v>0</v>
      </c>
      <c r="R24" s="1037"/>
      <c r="S24" s="1037"/>
    </row>
    <row r="25" spans="1:19" s="534" customFormat="1" ht="16.149999999999999" customHeight="1">
      <c r="A25" s="2421">
        <v>150</v>
      </c>
      <c r="B25" s="1038"/>
      <c r="C25" s="1038"/>
      <c r="D25" s="1038"/>
      <c r="E25" s="1038"/>
      <c r="F25" s="1038"/>
      <c r="G25" s="1037">
        <f t="array" aca="1" ref="G25" ca="1">SUM('Cashing &amp; Payment Policies'!$G$7:$G$14*B$7:B$14)</f>
        <v>0</v>
      </c>
      <c r="H25" s="1037">
        <f t="array" aca="1" ref="H25" ca="1">SUM('Cashing &amp; Payment Policies'!$G$7:$G$14*C$7:C$14)</f>
        <v>0</v>
      </c>
      <c r="I25" s="1037">
        <f t="array" aca="1" ref="I25" ca="1">SUM('Cashing &amp; Payment Policies'!$G$7:$G$14*D$7:D$14)</f>
        <v>0</v>
      </c>
      <c r="J25" s="1037">
        <f t="array" aca="1" ref="J25" ca="1">SUM('Cashing &amp; Payment Policies'!$G$7:$G$14*E$7:E$14)</f>
        <v>0</v>
      </c>
      <c r="K25" s="1037">
        <f t="array" aca="1" ref="K25" ca="1">SUM('Cashing &amp; Payment Policies'!$G$7:$G$14*F$7:F$14)</f>
        <v>0</v>
      </c>
      <c r="L25" s="1037">
        <f t="array" aca="1" ref="L25" ca="1">SUM('Cashing &amp; Payment Policies'!$G$7:$G$14*G$7:G$14)</f>
        <v>0</v>
      </c>
      <c r="M25" s="1037">
        <f t="array" aca="1" ref="M25" ca="1">SUM('Cashing &amp; Payment Policies'!$G$7:$G$14*H$7:H$14)</f>
        <v>0</v>
      </c>
      <c r="N25" s="1037">
        <f t="array" aca="1" ref="N25" ca="1">SUM('Cashing &amp; Payment Policies'!$G$7:$G$14*I$7:I$14)</f>
        <v>0</v>
      </c>
      <c r="O25" s="1037">
        <f t="array" aca="1" ref="O25" ca="1">SUM('Cashing &amp; Payment Policies'!$G$7:$G$14*J$7:J$14)</f>
        <v>0</v>
      </c>
      <c r="P25" s="1037">
        <f t="array" aca="1" ref="P25" ca="1">SUM('Cashing &amp; Payment Policies'!$G$7:$G$14*K$7:K$14)</f>
        <v>0</v>
      </c>
      <c r="Q25" s="1037">
        <f t="array" aca="1" ref="Q25" ca="1">SUM('Cashing &amp; Payment Policies'!$G$7:$G$14*L$7:L$14)</f>
        <v>0</v>
      </c>
      <c r="R25" s="1037">
        <f t="array" aca="1" ref="R25" ca="1">SUM('Cashing &amp; Payment Policies'!$G$7:$G$14*M$7:M$14)</f>
        <v>0</v>
      </c>
      <c r="S25" s="1037"/>
    </row>
    <row r="26" spans="1:19" s="534" customFormat="1" ht="16.149999999999999" customHeight="1">
      <c r="A26" s="2421">
        <v>180</v>
      </c>
      <c r="B26" s="1038"/>
      <c r="C26" s="1038"/>
      <c r="D26" s="1038"/>
      <c r="E26" s="1038"/>
      <c r="F26" s="1038"/>
      <c r="G26" s="1038"/>
      <c r="H26" s="1037">
        <f t="array" aca="1" ref="H26" ca="1">SUM('Cashing &amp; Payment Policies'!$H$7:$H$14*B$7:B$14)</f>
        <v>0</v>
      </c>
      <c r="I26" s="1037">
        <f t="array" aca="1" ref="I26" ca="1">SUM('Cashing &amp; Payment Policies'!$H$7:$H$14*C$7:C$14)</f>
        <v>0</v>
      </c>
      <c r="J26" s="1037">
        <f t="array" aca="1" ref="J26" ca="1">SUM('Cashing &amp; Payment Policies'!$H$7:$H$14*D$7:D$14)</f>
        <v>0</v>
      </c>
      <c r="K26" s="1037">
        <f t="array" aca="1" ref="K26" ca="1">SUM('Cashing &amp; Payment Policies'!$H$7:$H$14*E$7:E$14)</f>
        <v>0</v>
      </c>
      <c r="L26" s="1037">
        <f t="array" aca="1" ref="L26" ca="1">SUM('Cashing &amp; Payment Policies'!$H$7:$H$14*F$7:F$14)</f>
        <v>0</v>
      </c>
      <c r="M26" s="1037">
        <f t="array" aca="1" ref="M26" ca="1">SUM('Cashing &amp; Payment Policies'!$H$7:$H$14*G$7:G$14)</f>
        <v>0</v>
      </c>
      <c r="N26" s="1037">
        <f t="array" aca="1" ref="N26" ca="1">SUM('Cashing &amp; Payment Policies'!$H$7:$H$14*H$7:H$14)</f>
        <v>0</v>
      </c>
      <c r="O26" s="1037">
        <f t="array" aca="1" ref="O26" ca="1">SUM('Cashing &amp; Payment Policies'!$H$7:$H$14*I$7:I$14)</f>
        <v>0</v>
      </c>
      <c r="P26" s="1037">
        <f t="array" aca="1" ref="P26" ca="1">SUM('Cashing &amp; Payment Policies'!$H$7:$H$14*J$7:J$14)</f>
        <v>0</v>
      </c>
      <c r="Q26" s="1037">
        <f t="array" aca="1" ref="Q26" ca="1">SUM('Cashing &amp; Payment Policies'!$H$7:$H$14*K$7:K$14)</f>
        <v>0</v>
      </c>
      <c r="R26" s="1037">
        <f t="array" aca="1" ref="R26" ca="1">SUM('Cashing &amp; Payment Policies'!$H$7:$H$14*L$7:L$14)</f>
        <v>0</v>
      </c>
      <c r="S26" s="1037">
        <f t="array" aca="1" ref="S26" ca="1">SUM('Cashing &amp; Payment Policies'!$H$7:$H$14*M$7:M$14)</f>
        <v>0</v>
      </c>
    </row>
    <row r="27" spans="1:19" s="534" customFormat="1" ht="16.149999999999999" customHeight="1">
      <c r="A27" s="2422" t="s">
        <v>705</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3" t="s">
        <v>577</v>
      </c>
      <c r="B28" s="2043">
        <f t="shared" ref="B28:S28" ca="1" si="3">SUM(B20:B27)</f>
        <v>242</v>
      </c>
      <c r="C28" s="2043">
        <f t="shared" ca="1" si="3"/>
        <v>330</v>
      </c>
      <c r="D28" s="2043">
        <f t="shared" ca="1" si="3"/>
        <v>418.00000000000006</v>
      </c>
      <c r="E28" s="2043">
        <f t="shared" ca="1" si="3"/>
        <v>506</v>
      </c>
      <c r="F28" s="2043">
        <f t="shared" ca="1" si="3"/>
        <v>594</v>
      </c>
      <c r="G28" s="2043">
        <f t="shared" ca="1" si="3"/>
        <v>682</v>
      </c>
      <c r="H28" s="2043">
        <f t="shared" ca="1" si="3"/>
        <v>770</v>
      </c>
      <c r="I28" s="2043">
        <f t="shared" ca="1" si="3"/>
        <v>857.99999999999989</v>
      </c>
      <c r="J28" s="2043">
        <f t="shared" ca="1" si="3"/>
        <v>946</v>
      </c>
      <c r="K28" s="2043">
        <f t="shared" ca="1" si="3"/>
        <v>1034</v>
      </c>
      <c r="L28" s="2043">
        <f t="shared" ca="1" si="3"/>
        <v>1122</v>
      </c>
      <c r="M28" s="2043">
        <f t="shared" ca="1" si="3"/>
        <v>1210</v>
      </c>
      <c r="N28" s="2043">
        <f t="shared" ca="1" si="3"/>
        <v>0</v>
      </c>
      <c r="O28" s="2043">
        <f t="shared" ca="1" si="3"/>
        <v>0</v>
      </c>
      <c r="P28" s="2043">
        <f t="shared" ca="1" si="3"/>
        <v>0</v>
      </c>
      <c r="Q28" s="2043">
        <f t="shared" ca="1" si="3"/>
        <v>0</v>
      </c>
      <c r="R28" s="2043">
        <f t="shared" ca="1" si="3"/>
        <v>0</v>
      </c>
      <c r="S28" s="2043">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2027 ( VAT not incl. )</v>
      </c>
      <c r="S30" s="1043">
        <f ca="1">SUM(N28:S28)</f>
        <v>0</v>
      </c>
    </row>
    <row r="31" spans="1:19" s="534" customFormat="1" ht="17.25" customHeight="1" thickBot="1">
      <c r="A31" s="275"/>
      <c r="B31" s="1040"/>
      <c r="O31" s="1041"/>
      <c r="P31" s="1042"/>
      <c r="Q31" s="1042"/>
      <c r="R31" s="1055" t="s">
        <v>709</v>
      </c>
      <c r="S31" s="1044">
        <f ca="1">-SUM(B27:M27)</f>
        <v>0</v>
      </c>
    </row>
    <row r="32" spans="1:19" s="318" customFormat="1" ht="22.5">
      <c r="A32" s="318" t="str">
        <f>"Purchases &amp; Direct Costs ("&amp;'Base Data'!$A$28&amp;" incl.)"</f>
        <v>Purchases &amp; Direct Costs (VAT incl.)</v>
      </c>
      <c r="B32" s="163"/>
      <c r="G32" s="163"/>
      <c r="H32" s="163"/>
    </row>
    <row r="33" spans="1:19" ht="7.5" customHeight="1" thickBot="1">
      <c r="P33" s="541"/>
    </row>
    <row r="34" spans="1:19" ht="15.75" thickBot="1">
      <c r="A34" s="165" t="s">
        <v>707</v>
      </c>
      <c r="B34" s="2044" t="str">
        <f t="array" ref="B34:M34">meses</f>
        <v>January</v>
      </c>
      <c r="C34" s="2044" t="str">
        <v>February</v>
      </c>
      <c r="D34" s="2044" t="str">
        <v>March</v>
      </c>
      <c r="E34" s="2044" t="str">
        <v>April</v>
      </c>
      <c r="F34" s="2044" t="str">
        <v>May</v>
      </c>
      <c r="G34" s="2044" t="str">
        <v>June</v>
      </c>
      <c r="H34" s="2044" t="str">
        <v>July</v>
      </c>
      <c r="I34" s="2044" t="str">
        <v>August</v>
      </c>
      <c r="J34" s="2044" t="str">
        <v>September</v>
      </c>
      <c r="K34" s="2044" t="str">
        <v>October</v>
      </c>
      <c r="L34" s="2044" t="str">
        <v>November</v>
      </c>
      <c r="M34" s="2044" t="str">
        <v>December</v>
      </c>
      <c r="N34" s="2045" t="s">
        <v>0</v>
      </c>
      <c r="O34" s="541"/>
    </row>
    <row r="35" spans="1:19" ht="14.25">
      <c r="A35" s="2046" t="str">
        <f t="array" ref="A35:A42">productos</f>
        <v>product 1</v>
      </c>
      <c r="B35" s="1033">
        <f t="array" aca="1" ref="B35:M42" ca="1">'DC Distr 0'!B46:M53+'DC Distr 0'!B59:M66</f>
        <v>24.2</v>
      </c>
      <c r="C35" s="1033">
        <f ca="1"/>
        <v>33.000000000000007</v>
      </c>
      <c r="D35" s="1033">
        <f ca="1"/>
        <v>41.800000000000011</v>
      </c>
      <c r="E35" s="1033">
        <f ca="1"/>
        <v>50.6</v>
      </c>
      <c r="F35" s="1033">
        <f ca="1"/>
        <v>59.400000000000006</v>
      </c>
      <c r="G35" s="1033">
        <f ca="1"/>
        <v>68.2</v>
      </c>
      <c r="H35" s="1033">
        <f ca="1"/>
        <v>77</v>
      </c>
      <c r="I35" s="1033">
        <f ca="1"/>
        <v>85.8</v>
      </c>
      <c r="J35" s="1033">
        <f ca="1"/>
        <v>94.600000000000009</v>
      </c>
      <c r="K35" s="1033">
        <f ca="1"/>
        <v>103.4</v>
      </c>
      <c r="L35" s="1033">
        <f ca="1"/>
        <v>112.2</v>
      </c>
      <c r="M35" s="1033">
        <f ca="1"/>
        <v>121</v>
      </c>
      <c r="N35" s="2047">
        <f t="shared" ref="N35:N42" ca="1" si="4">SUM(B35:M35)</f>
        <v>871.2</v>
      </c>
      <c r="O35" s="541"/>
    </row>
    <row r="36" spans="1:19" ht="14.25">
      <c r="A36" s="2048"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7">
        <f t="shared" ca="1" si="4"/>
        <v>0</v>
      </c>
      <c r="O36" s="541"/>
    </row>
    <row r="37" spans="1:19" ht="14.25">
      <c r="A37" s="2048"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7">
        <f t="shared" ca="1" si="4"/>
        <v>0</v>
      </c>
      <c r="O37" s="541"/>
    </row>
    <row r="38" spans="1:19" ht="14.25">
      <c r="A38" s="2048"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7">
        <f t="shared" ca="1" si="4"/>
        <v>0</v>
      </c>
      <c r="O38" s="541"/>
    </row>
    <row r="39" spans="1:19" ht="14.25">
      <c r="A39" s="2048"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7">
        <f t="shared" ca="1" si="4"/>
        <v>0</v>
      </c>
      <c r="O39" s="541"/>
    </row>
    <row r="40" spans="1:19" ht="14.25">
      <c r="A40" s="2048"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7">
        <f t="shared" ca="1" si="4"/>
        <v>0</v>
      </c>
      <c r="O40" s="541"/>
    </row>
    <row r="41" spans="1:19" ht="14.25">
      <c r="A41" s="2048"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7">
        <f t="shared" ca="1" si="4"/>
        <v>0</v>
      </c>
      <c r="O41" s="541"/>
    </row>
    <row r="42" spans="1:19" ht="15" thickBot="1">
      <c r="A42" s="2049"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7">
        <f t="shared" ca="1" si="4"/>
        <v>0</v>
      </c>
      <c r="O42" s="541"/>
    </row>
    <row r="43" spans="1:19" ht="15.75" thickBot="1">
      <c r="A43" s="2050" t="s">
        <v>0</v>
      </c>
      <c r="B43" s="2051">
        <f t="shared" ref="B43:N43" ca="1" si="5">SUM(B35:B42)</f>
        <v>24.2</v>
      </c>
      <c r="C43" s="2051">
        <f t="shared" ca="1" si="5"/>
        <v>33.000000000000007</v>
      </c>
      <c r="D43" s="2051">
        <f t="shared" ca="1" si="5"/>
        <v>41.800000000000011</v>
      </c>
      <c r="E43" s="2051">
        <f t="shared" ca="1" si="5"/>
        <v>50.6</v>
      </c>
      <c r="F43" s="2051">
        <f t="shared" ca="1" si="5"/>
        <v>59.400000000000006</v>
      </c>
      <c r="G43" s="2051">
        <f t="shared" ca="1" si="5"/>
        <v>68.2</v>
      </c>
      <c r="H43" s="2051">
        <f t="shared" ca="1" si="5"/>
        <v>77</v>
      </c>
      <c r="I43" s="2051">
        <f t="shared" ca="1" si="5"/>
        <v>85.8</v>
      </c>
      <c r="J43" s="2051">
        <f t="shared" ca="1" si="5"/>
        <v>94.600000000000009</v>
      </c>
      <c r="K43" s="2051">
        <f t="shared" ca="1" si="5"/>
        <v>103.4</v>
      </c>
      <c r="L43" s="2051">
        <f t="shared" ca="1" si="5"/>
        <v>112.2</v>
      </c>
      <c r="M43" s="2051">
        <f t="shared" ca="1" si="5"/>
        <v>121</v>
      </c>
      <c r="N43" s="2051">
        <f t="shared" ca="1" si="5"/>
        <v>871.2</v>
      </c>
      <c r="O43" s="541"/>
    </row>
    <row r="44" spans="1:19">
      <c r="C44" s="541"/>
      <c r="D44" s="541"/>
      <c r="E44" s="541"/>
      <c r="F44" s="541"/>
      <c r="G44" s="541"/>
      <c r="H44" s="541"/>
      <c r="I44" s="541"/>
      <c r="J44" s="541"/>
      <c r="K44" s="541"/>
      <c r="L44" s="541"/>
      <c r="M44" s="541"/>
      <c r="N44" s="541"/>
      <c r="O44" s="541"/>
      <c r="P44" s="541"/>
    </row>
    <row r="45" spans="1:19" s="318" customFormat="1" ht="22.5">
      <c r="A45" s="318" t="str">
        <f>"Purchases &amp; Direct Costs payments ("&amp;'Base Data'!$A$28&amp;" incl.)"</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
        <v>708</v>
      </c>
      <c r="Q46" s="1036" t="str">
        <f>Q18</f>
        <v>2027</v>
      </c>
    </row>
    <row r="47" spans="1:19" ht="27.75" customHeight="1" thickBot="1">
      <c r="A47" s="165" t="s">
        <v>706</v>
      </c>
      <c r="B47" s="2040" t="str">
        <f t="array" ref="B47:S47">B19:S19</f>
        <v>January 
2026</v>
      </c>
      <c r="C47" s="2040" t="str">
        <v>February 
2026</v>
      </c>
      <c r="D47" s="2040" t="str">
        <v>March 
2026</v>
      </c>
      <c r="E47" s="2040" t="str">
        <v>April 
2026</v>
      </c>
      <c r="F47" s="2040" t="str">
        <v>May 
2026</v>
      </c>
      <c r="G47" s="2040" t="str">
        <v>June 
2026</v>
      </c>
      <c r="H47" s="2040" t="str">
        <v>July 
2026</v>
      </c>
      <c r="I47" s="2040" t="str">
        <v>August 
2026</v>
      </c>
      <c r="J47" s="2040" t="str">
        <v>September 
2026</v>
      </c>
      <c r="K47" s="2040" t="str">
        <v>October 
2026</v>
      </c>
      <c r="L47" s="2040" t="str">
        <v>November 
2026</v>
      </c>
      <c r="M47" s="2040" t="str">
        <v>December 
2026</v>
      </c>
      <c r="N47" s="2040" t="str">
        <v>January 
2027</v>
      </c>
      <c r="O47" s="2040" t="str">
        <v>February 
2027</v>
      </c>
      <c r="P47" s="2040" t="str">
        <v>March 
2027</v>
      </c>
      <c r="Q47" s="2040" t="str">
        <v>April 
2027</v>
      </c>
      <c r="R47" s="2040" t="str">
        <v>May 
2027</v>
      </c>
      <c r="S47" s="2040" t="str">
        <v>June 
2027</v>
      </c>
    </row>
    <row r="48" spans="1:19" ht="14.25">
      <c r="A48" s="2041" t="str">
        <f t="array" ref="A48:A54">A20:A26</f>
        <v>In Cash</v>
      </c>
      <c r="B48" s="1033">
        <f t="array" aca="1" ref="B48" ca="1">SUM('Cashing &amp; Payment Policies'!$B$55:$B$62*B$35:B$42)</f>
        <v>24.2</v>
      </c>
      <c r="C48" s="1033">
        <f t="array" aca="1" ref="C48" ca="1">SUM('Cashing &amp; Payment Policies'!$B$55:$B$62*C$35:C$42)</f>
        <v>33.000000000000007</v>
      </c>
      <c r="D48" s="1033">
        <f t="array" aca="1" ref="D48" ca="1">SUM('Cashing &amp; Payment Policies'!$B$55:$B$62*D$35:D$42)</f>
        <v>41.800000000000011</v>
      </c>
      <c r="E48" s="1033">
        <f t="array" aca="1" ref="E48" ca="1">SUM('Cashing &amp; Payment Policies'!$B$55:$B$62*E$35:E$42)</f>
        <v>50.6</v>
      </c>
      <c r="F48" s="1033">
        <f t="array" aca="1" ref="F48" ca="1">SUM('Cashing &amp; Payment Policies'!$B$55:$B$62*F$35:F$42)</f>
        <v>59.400000000000006</v>
      </c>
      <c r="G48" s="1033">
        <f t="array" aca="1" ref="G48" ca="1">SUM('Cashing &amp; Payment Policies'!$B$55:$B$62*G$35:G$42)</f>
        <v>68.2</v>
      </c>
      <c r="H48" s="1033">
        <f t="array" aca="1" ref="H48" ca="1">SUM('Cashing &amp; Payment Policies'!$B$55:$B$62*H$35:H$42)</f>
        <v>77</v>
      </c>
      <c r="I48" s="1033">
        <f t="array" aca="1" ref="I48" ca="1">SUM('Cashing &amp; Payment Policies'!$B$55:$B$62*I$35:I$42)</f>
        <v>85.8</v>
      </c>
      <c r="J48" s="1033">
        <f t="array" aca="1" ref="J48" ca="1">SUM('Cashing &amp; Payment Policies'!$B$55:$B$62*J$35:J$42)</f>
        <v>94.600000000000009</v>
      </c>
      <c r="K48" s="1033">
        <f t="array" aca="1" ref="K48" ca="1">SUM('Cashing &amp; Payment Policies'!$B$55:$B$62*K$35:K$42)</f>
        <v>103.4</v>
      </c>
      <c r="L48" s="1033">
        <f t="array" aca="1" ref="L48" ca="1">SUM('Cashing &amp; Payment Policies'!$B$55:$B$62*L$35:L$42)</f>
        <v>112.2</v>
      </c>
      <c r="M48" s="1033">
        <f t="array" aca="1" ref="M48" ca="1">SUM('Cashing &amp; Payment Policies'!$B$55:$B$62*M$35:M$42)</f>
        <v>121</v>
      </c>
      <c r="N48" s="1033"/>
      <c r="O48" s="1033"/>
      <c r="P48" s="1033"/>
      <c r="Q48" s="1033"/>
      <c r="R48" s="1033"/>
      <c r="S48" s="1033"/>
    </row>
    <row r="49" spans="1:19" ht="14.25">
      <c r="A49" s="2421">
        <v>30</v>
      </c>
      <c r="B49" s="1033"/>
      <c r="C49" s="1033">
        <f t="array" aca="1" ref="C49" ca="1">SUM('Cashing &amp; Payment Policies'!$C$55:$C$62*B$35:B$42)</f>
        <v>0</v>
      </c>
      <c r="D49" s="1033">
        <f t="array" aca="1" ref="D49" ca="1">SUM('Cashing &amp; Payment Policies'!$C$55:$C$62*C$35:C$42)</f>
        <v>0</v>
      </c>
      <c r="E49" s="1033">
        <f t="array" aca="1" ref="E49" ca="1">SUM('Cashing &amp; Payment Policies'!$C$55:$C$62*D$35:D$42)</f>
        <v>0</v>
      </c>
      <c r="F49" s="1033">
        <f t="array" aca="1" ref="F49" ca="1">SUM('Cashing &amp; Payment Policies'!$C$55:$C$62*E$35:E$42)</f>
        <v>0</v>
      </c>
      <c r="G49" s="1033">
        <f t="array" aca="1" ref="G49" ca="1">SUM('Cashing &amp; Payment Policies'!$C$55:$C$62*F$35:F$42)</f>
        <v>0</v>
      </c>
      <c r="H49" s="1033">
        <f t="array" aca="1" ref="H49" ca="1">SUM('Cashing &amp; Payment Policies'!$C$55:$C$62*G$35:G$42)</f>
        <v>0</v>
      </c>
      <c r="I49" s="1033">
        <f t="array" aca="1" ref="I49" ca="1">SUM('Cashing &amp; Payment Policies'!$C$55:$C$62*H$35:H$42)</f>
        <v>0</v>
      </c>
      <c r="J49" s="1033">
        <f t="array" aca="1" ref="J49" ca="1">SUM('Cashing &amp; Payment Policies'!$C$55:$C$62*I$35:I$42)</f>
        <v>0</v>
      </c>
      <c r="K49" s="1033">
        <f t="array" aca="1" ref="K49" ca="1">SUM('Cashing &amp; Payment Policies'!$C$55:$C$62*J$35:J$42)</f>
        <v>0</v>
      </c>
      <c r="L49" s="1033">
        <f t="array" aca="1" ref="L49" ca="1">SUM('Cashing &amp; Payment Policies'!$C$55:$C$62*K$35:K$42)</f>
        <v>0</v>
      </c>
      <c r="M49" s="1033">
        <f t="array" aca="1" ref="M49" ca="1">SUM('Cashing &amp; Payment Policies'!$C$55:$C$62*L$35:L$42)</f>
        <v>0</v>
      </c>
      <c r="N49" s="1033">
        <f t="array" aca="1" ref="N49" ca="1">SUM('Cashing &amp; Payment Policies'!$C$55:$C$62*M$35:M$42)</f>
        <v>0</v>
      </c>
      <c r="O49" s="1033"/>
      <c r="P49" s="1033"/>
      <c r="Q49" s="1033"/>
      <c r="R49" s="1033"/>
      <c r="S49" s="1033"/>
    </row>
    <row r="50" spans="1:19" ht="14.25">
      <c r="A50" s="2421">
        <v>60</v>
      </c>
      <c r="B50" s="1033"/>
      <c r="C50" s="1033"/>
      <c r="D50" s="1033">
        <f t="array" aca="1" ref="D50" ca="1">SUM('Cashing &amp; Payment Policies'!$D$55:$D$62*B$35:B$42)</f>
        <v>0</v>
      </c>
      <c r="E50" s="1033">
        <f t="array" aca="1" ref="E50" ca="1">SUM('Cashing &amp; Payment Policies'!$D$55:$D$62*C$35:C$42)</f>
        <v>0</v>
      </c>
      <c r="F50" s="1033">
        <f t="array" aca="1" ref="F50" ca="1">SUM('Cashing &amp; Payment Policies'!$D$55:$D$62*D$35:D$42)</f>
        <v>0</v>
      </c>
      <c r="G50" s="1033">
        <f t="array" aca="1" ref="G50" ca="1">SUM('Cashing &amp; Payment Policies'!$D$55:$D$62*E$35:E$42)</f>
        <v>0</v>
      </c>
      <c r="H50" s="1033">
        <f t="array" aca="1" ref="H50" ca="1">SUM('Cashing &amp; Payment Policies'!$D$55:$D$62*F$35:F$42)</f>
        <v>0</v>
      </c>
      <c r="I50" s="1033">
        <f t="array" aca="1" ref="I50" ca="1">SUM('Cashing &amp; Payment Policies'!$D$55:$D$62*G$35:G$42)</f>
        <v>0</v>
      </c>
      <c r="J50" s="1033">
        <f t="array" aca="1" ref="J50" ca="1">SUM('Cashing &amp; Payment Policies'!$D$55:$D$62*H$35:H$42)</f>
        <v>0</v>
      </c>
      <c r="K50" s="1033">
        <f t="array" aca="1" ref="K50" ca="1">SUM('Cashing &amp; Payment Policies'!$D$55:$D$62*I$35:I$42)</f>
        <v>0</v>
      </c>
      <c r="L50" s="1033">
        <f t="array" aca="1" ref="L50" ca="1">SUM('Cashing &amp; Payment Policies'!$D$55:$D$62*J$35:J$42)</f>
        <v>0</v>
      </c>
      <c r="M50" s="1033">
        <f t="array" aca="1" ref="M50" ca="1">SUM('Cashing &amp; Payment Policies'!$D$55:$D$62*K$35:K$42)</f>
        <v>0</v>
      </c>
      <c r="N50" s="1033">
        <f t="array" aca="1" ref="N50" ca="1">SUM('Cashing &amp; Payment Policies'!$D$55:$D$62*L$35:L$42)</f>
        <v>0</v>
      </c>
      <c r="O50" s="1033">
        <f t="array" aca="1" ref="O50" ca="1">SUM('Cashing &amp; Payment Policies'!$D$55:$D$62*M$35:M$42)</f>
        <v>0</v>
      </c>
      <c r="P50" s="1033"/>
      <c r="Q50" s="1033"/>
      <c r="R50" s="1033"/>
      <c r="S50" s="1033"/>
    </row>
    <row r="51" spans="1:19" ht="14.25">
      <c r="A51" s="2421">
        <v>90</v>
      </c>
      <c r="B51" s="1033"/>
      <c r="C51" s="1033"/>
      <c r="D51" s="1033"/>
      <c r="E51" s="1033">
        <f t="array" aca="1" ref="E51" ca="1">SUM('Cashing &amp; Payment Policies'!$E$55:$E$62*B$35:B$42)</f>
        <v>0</v>
      </c>
      <c r="F51" s="1033">
        <f t="array" aca="1" ref="F51" ca="1">SUM('Cashing &amp; Payment Policies'!$E$55:$E$62*C$35:C$42)</f>
        <v>0</v>
      </c>
      <c r="G51" s="1033">
        <f t="array" aca="1" ref="G51" ca="1">SUM('Cashing &amp; Payment Policies'!$E$55:$E$62*D$35:D$42)</f>
        <v>0</v>
      </c>
      <c r="H51" s="1033">
        <f t="array" aca="1" ref="H51" ca="1">SUM('Cashing &amp; Payment Policies'!$E$55:$E$62*E$35:E$42)</f>
        <v>0</v>
      </c>
      <c r="I51" s="1033">
        <f t="array" aca="1" ref="I51" ca="1">SUM('Cashing &amp; Payment Policies'!$E$55:$E$62*F$35:F$42)</f>
        <v>0</v>
      </c>
      <c r="J51" s="1033">
        <f t="array" aca="1" ref="J51" ca="1">SUM('Cashing &amp; Payment Policies'!$E$55:$E$62*G$35:G$42)</f>
        <v>0</v>
      </c>
      <c r="K51" s="1033">
        <f t="array" aca="1" ref="K51" ca="1">SUM('Cashing &amp; Payment Policies'!$E$55:$E$62*H$35:H$42)</f>
        <v>0</v>
      </c>
      <c r="L51" s="1033">
        <f t="array" aca="1" ref="L51" ca="1">SUM('Cashing &amp; Payment Policies'!$E$55:$E$62*I$35:I$42)</f>
        <v>0</v>
      </c>
      <c r="M51" s="1033">
        <f t="array" aca="1" ref="M51" ca="1">SUM('Cashing &amp; Payment Policies'!$E$55:$E$62*J$35:J$42)</f>
        <v>0</v>
      </c>
      <c r="N51" s="1033">
        <f t="array" aca="1" ref="N51" ca="1">SUM('Cashing &amp; Payment Policies'!$E$55:$E$62*K$35:K$42)</f>
        <v>0</v>
      </c>
      <c r="O51" s="1033">
        <f t="array" aca="1" ref="O51" ca="1">SUM('Cashing &amp; Payment Policies'!$E$55:$E$62*L$35:L$42)</f>
        <v>0</v>
      </c>
      <c r="P51" s="1033">
        <f t="array" aca="1" ref="P51" ca="1">SUM('Cashing &amp; Payment Policies'!$E$55:$E$62*M$35:M$42)</f>
        <v>0</v>
      </c>
      <c r="Q51" s="1033"/>
      <c r="R51" s="1033"/>
      <c r="S51" s="1033"/>
    </row>
    <row r="52" spans="1:19" ht="14.25">
      <c r="A52" s="2421">
        <v>120</v>
      </c>
      <c r="B52" s="1033"/>
      <c r="C52" s="1033"/>
      <c r="D52" s="1033"/>
      <c r="E52" s="1033"/>
      <c r="F52" s="1033">
        <f t="array" aca="1" ref="F52" ca="1">SUM('Cashing &amp; Payment Policies'!$F$55:$F$62*B$35:B$42)</f>
        <v>0</v>
      </c>
      <c r="G52" s="1033">
        <f t="array" aca="1" ref="G52" ca="1">SUM('Cashing &amp; Payment Policies'!$F$55:$F$62*C$35:C$42)</f>
        <v>0</v>
      </c>
      <c r="H52" s="1033">
        <f t="array" aca="1" ref="H52" ca="1">SUM('Cashing &amp; Payment Policies'!$F$55:$F$62*D$35:D$42)</f>
        <v>0</v>
      </c>
      <c r="I52" s="1033">
        <f t="array" aca="1" ref="I52" ca="1">SUM('Cashing &amp; Payment Policies'!$F$55:$F$62*E$35:E$42)</f>
        <v>0</v>
      </c>
      <c r="J52" s="1033">
        <f t="array" aca="1" ref="J52" ca="1">SUM('Cashing &amp; Payment Policies'!$F$55:$F$62*F$35:F$42)</f>
        <v>0</v>
      </c>
      <c r="K52" s="1033">
        <f t="array" aca="1" ref="K52" ca="1">SUM('Cashing &amp; Payment Policies'!$F$55:$F$62*G$35:G$42)</f>
        <v>0</v>
      </c>
      <c r="L52" s="1033">
        <f t="array" aca="1" ref="L52" ca="1">SUM('Cashing &amp; Payment Policies'!$F$55:$F$62*H$35:H$42)</f>
        <v>0</v>
      </c>
      <c r="M52" s="1033">
        <f t="array" aca="1" ref="M52" ca="1">SUM('Cashing &amp; Payment Policies'!$F$55:$F$62*I$35:I$42)</f>
        <v>0</v>
      </c>
      <c r="N52" s="1033">
        <f t="array" aca="1" ref="N52" ca="1">SUM('Cashing &amp; Payment Policies'!$F$55:$F$62*J$35:J$42)</f>
        <v>0</v>
      </c>
      <c r="O52" s="1033">
        <f t="array" aca="1" ref="O52" ca="1">SUM('Cashing &amp; Payment Policies'!$F$55:$F$62*K$35:K$42)</f>
        <v>0</v>
      </c>
      <c r="P52" s="1033">
        <f t="array" aca="1" ref="P52" ca="1">SUM('Cashing &amp; Payment Policies'!$F$55:$F$62*L$35:L$42)</f>
        <v>0</v>
      </c>
      <c r="Q52" s="1033">
        <f t="array" aca="1" ref="Q52" ca="1">SUM('Cashing &amp; Payment Policies'!$F$55:$F$62*M$35:M$42)</f>
        <v>0</v>
      </c>
      <c r="R52" s="1033"/>
      <c r="S52" s="1033"/>
    </row>
    <row r="53" spans="1:19" ht="14.25">
      <c r="A53" s="2421">
        <v>150</v>
      </c>
      <c r="B53" s="1033"/>
      <c r="C53" s="1033"/>
      <c r="D53" s="1033"/>
      <c r="E53" s="1033"/>
      <c r="F53" s="1033"/>
      <c r="G53" s="1033">
        <f t="array" aca="1" ref="G53" ca="1">SUM('Cashing &amp; Payment Policies'!$G$55:$G$62*B$35:B$42)</f>
        <v>0</v>
      </c>
      <c r="H53" s="1033">
        <f t="array" aca="1" ref="H53" ca="1">SUM('Cashing &amp; Payment Policies'!$G$55:$G$62*C$35:C$42)</f>
        <v>0</v>
      </c>
      <c r="I53" s="1033">
        <f t="array" aca="1" ref="I53" ca="1">SUM('Cashing &amp; Payment Policies'!$G$55:$G$62*D$35:D$42)</f>
        <v>0</v>
      </c>
      <c r="J53" s="1033">
        <f t="array" aca="1" ref="J53" ca="1">SUM('Cashing &amp; Payment Policies'!$G$55:$G$62*E$35:E$42)</f>
        <v>0</v>
      </c>
      <c r="K53" s="1033">
        <f t="array" aca="1" ref="K53" ca="1">SUM('Cashing &amp; Payment Policies'!$G$55:$G$62*F$35:F$42)</f>
        <v>0</v>
      </c>
      <c r="L53" s="1033">
        <f t="array" aca="1" ref="L53" ca="1">SUM('Cashing &amp; Payment Policies'!$G$55:$G$62*G$35:G$42)</f>
        <v>0</v>
      </c>
      <c r="M53" s="1033">
        <f t="array" aca="1" ref="M53" ca="1">SUM('Cashing &amp; Payment Policies'!$G$55:$G$62*H$35:H$42)</f>
        <v>0</v>
      </c>
      <c r="N53" s="1033">
        <f t="array" aca="1" ref="N53" ca="1">SUM('Cashing &amp; Payment Policies'!$G$55:$G$62*I$35:I$42)</f>
        <v>0</v>
      </c>
      <c r="O53" s="1033">
        <f t="array" aca="1" ref="O53" ca="1">SUM('Cashing &amp; Payment Policies'!$G$55:$G$62*J$35:J$42)</f>
        <v>0</v>
      </c>
      <c r="P53" s="1033">
        <f t="array" aca="1" ref="P53" ca="1">SUM('Cashing &amp; Payment Policies'!$G$55:$G$62*K$35:K$42)</f>
        <v>0</v>
      </c>
      <c r="Q53" s="1033">
        <f t="array" aca="1" ref="Q53" ca="1">SUM('Cashing &amp; Payment Policies'!$G$55:$G$62*L$35:L$42)</f>
        <v>0</v>
      </c>
      <c r="R53" s="1033">
        <f t="array" aca="1" ref="R53" ca="1">SUM('Cashing &amp; Payment Policies'!$G$55:$G$62*M$35:M$42)</f>
        <v>0</v>
      </c>
      <c r="S53" s="1033"/>
    </row>
    <row r="54" spans="1:19" ht="14.25">
      <c r="A54" s="2422">
        <v>180</v>
      </c>
      <c r="B54" s="1033"/>
      <c r="C54" s="1033"/>
      <c r="D54" s="1033"/>
      <c r="E54" s="1033"/>
      <c r="F54" s="1033"/>
      <c r="G54" s="1033"/>
      <c r="H54" s="1033">
        <f t="array" aca="1" ref="H54" ca="1">SUM('Cashing &amp; Payment Policies'!$H$55:$H$62*B$35:B$42)</f>
        <v>0</v>
      </c>
      <c r="I54" s="1033">
        <f t="array" aca="1" ref="I54" ca="1">SUM('Cashing &amp; Payment Policies'!$H$55:$H$62*C$35:C$42)</f>
        <v>0</v>
      </c>
      <c r="J54" s="1033">
        <f t="array" aca="1" ref="J54" ca="1">SUM('Cashing &amp; Payment Policies'!$H$55:$H$62*D$35:D$42)</f>
        <v>0</v>
      </c>
      <c r="K54" s="1033">
        <f t="array" aca="1" ref="K54" ca="1">SUM('Cashing &amp; Payment Policies'!$H$55:$H$62*E$35:E$42)</f>
        <v>0</v>
      </c>
      <c r="L54" s="1033">
        <f t="array" aca="1" ref="L54" ca="1">SUM('Cashing &amp; Payment Policies'!$H$55:$H$62*F$35:F$42)</f>
        <v>0</v>
      </c>
      <c r="M54" s="1033">
        <f t="array" aca="1" ref="M54" ca="1">SUM('Cashing &amp; Payment Policies'!$H$55:$H$62*G$35:G$42)</f>
        <v>0</v>
      </c>
      <c r="N54" s="1033">
        <f t="array" aca="1" ref="N54" ca="1">SUM('Cashing &amp; Payment Policies'!$H$55:$H$62*H$35:H$42)</f>
        <v>0</v>
      </c>
      <c r="O54" s="1033">
        <f t="array" aca="1" ref="O54" ca="1">SUM('Cashing &amp; Payment Policies'!$H$55:$H$62*I$35:I$42)</f>
        <v>0</v>
      </c>
      <c r="P54" s="1033">
        <f t="array" aca="1" ref="P54" ca="1">SUM('Cashing &amp; Payment Policies'!$H$55:$H$62*J$35:J$42)</f>
        <v>0</v>
      </c>
      <c r="Q54" s="1033">
        <f t="array" aca="1" ref="Q54" ca="1">SUM('Cashing &amp; Payment Policies'!$H$55:$H$62*K$35:K$42)</f>
        <v>0</v>
      </c>
      <c r="R54" s="1033">
        <f t="array" aca="1" ref="R54" ca="1">SUM('Cashing &amp; Payment Policies'!$H$55:$H$62*L$35:L$42)</f>
        <v>0</v>
      </c>
      <c r="S54" s="1033">
        <f t="array" aca="1" ref="S54" ca="1">SUM('Cashing &amp; Payment Policies'!$H$55:$H$62*M$35:M$42)</f>
        <v>0</v>
      </c>
    </row>
    <row r="55" spans="1:19" ht="15.75" thickBot="1">
      <c r="A55" s="2423" t="s">
        <v>577</v>
      </c>
      <c r="B55" s="2052">
        <f ca="1">SUM(B48:B54)</f>
        <v>24.2</v>
      </c>
      <c r="C55" s="2052">
        <f t="shared" ref="C55:M55" ca="1" si="6">SUM(C48:C54)</f>
        <v>33.000000000000007</v>
      </c>
      <c r="D55" s="2052">
        <f t="shared" ca="1" si="6"/>
        <v>41.800000000000011</v>
      </c>
      <c r="E55" s="2052">
        <f t="shared" ca="1" si="6"/>
        <v>50.6</v>
      </c>
      <c r="F55" s="2052">
        <f t="shared" ca="1" si="6"/>
        <v>59.400000000000006</v>
      </c>
      <c r="G55" s="2052">
        <f t="shared" ca="1" si="6"/>
        <v>68.2</v>
      </c>
      <c r="H55" s="2052">
        <f t="shared" ca="1" si="6"/>
        <v>77</v>
      </c>
      <c r="I55" s="2052">
        <f t="shared" ca="1" si="6"/>
        <v>85.8</v>
      </c>
      <c r="J55" s="2052">
        <f t="shared" ca="1" si="6"/>
        <v>94.600000000000009</v>
      </c>
      <c r="K55" s="2052">
        <f t="shared" ca="1" si="6"/>
        <v>103.4</v>
      </c>
      <c r="L55" s="2052">
        <f t="shared" ca="1" si="6"/>
        <v>112.2</v>
      </c>
      <c r="M55" s="2052">
        <f t="shared" ca="1" si="6"/>
        <v>121</v>
      </c>
      <c r="N55" s="2052">
        <f t="shared" ref="N55:S55" ca="1" si="7">SUM(N48:N54)</f>
        <v>0</v>
      </c>
      <c r="O55" s="2052">
        <f t="shared" ca="1" si="7"/>
        <v>0</v>
      </c>
      <c r="P55" s="2052">
        <f t="shared" ca="1" si="7"/>
        <v>0</v>
      </c>
      <c r="Q55" s="2052">
        <f t="shared" ca="1" si="7"/>
        <v>0</v>
      </c>
      <c r="R55" s="2052">
        <f t="shared" ca="1" si="7"/>
        <v>0</v>
      </c>
      <c r="S55" s="2052">
        <f t="shared" ca="1" si="7"/>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2027 ( VAT not incl.)</v>
      </c>
      <c r="S57" s="1057">
        <f ca="1">SUM(N55:S55)</f>
        <v>0</v>
      </c>
    </row>
  </sheetData>
  <sheetProtection sheet="1" objects="1" scenarios="1"/>
  <phoneticPr fontId="7" type="noConversion"/>
  <conditionalFormatting sqref="B7:N15">
    <cfRule type="expression" dxfId="18" priority="1" stopIfTrue="1">
      <formula>COLUMN(B6)&lt;=mes0</formula>
    </cfRule>
  </conditionalFormatting>
  <printOptions horizontalCentered="1" verticalCentered="1"/>
  <pageMargins left="0.39370078740157483" right="0.39370078740157483" top="0.38" bottom="0.32" header="0.31496062992125984" footer="0.31496062992125984"/>
  <pageSetup paperSize="9" scale="58" orientation="landscape" horizontalDpi="300" verticalDpi="300" r:id="rId1"/>
  <headerFooter alignWithMargins="0">
    <oddFooter>&amp;C&amp;"Tahoma,Normal"&amp;10&amp;A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21">
    <tabColor indexed="42"/>
    <pageSetUpPr fitToPage="1"/>
  </sheetPr>
  <dimension ref="A1:S57"/>
  <sheetViews>
    <sheetView topLeftCell="A34" zoomScale="85" zoomScaleNormal="85"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275" customWidth="1"/>
    <col min="2" max="2" width="9.75" style="277" customWidth="1"/>
    <col min="3" max="4" width="10" style="86" customWidth="1"/>
    <col min="5" max="5" width="11.375" style="86" customWidth="1"/>
    <col min="6" max="14" width="10" style="86" customWidth="1"/>
    <col min="15" max="15" width="9.5" style="275" customWidth="1"/>
    <col min="16" max="16384" width="11" style="86"/>
  </cols>
  <sheetData>
    <row r="1" spans="1:15" ht="25.5">
      <c r="A1" s="936" t="str">
        <f>'Collections &amp; Payments 0'!A1</f>
        <v xml:space="preserve">Cashing &amp; Payments </v>
      </c>
      <c r="B1" s="1049"/>
      <c r="E1" s="515" t="str">
        <f>Parameters!C$77</f>
        <v>Year 1:   2027</v>
      </c>
      <c r="F1" s="291"/>
      <c r="M1" s="1050"/>
      <c r="O1" s="86"/>
    </row>
    <row r="2" spans="1:15" s="534" customFormat="1" ht="25.5">
      <c r="A2" s="162" t="str">
        <f>'Base Data'!B9</f>
        <v>WWW, Ltd.</v>
      </c>
      <c r="B2" s="1049"/>
      <c r="D2" s="1051"/>
      <c r="E2" s="159"/>
    </row>
    <row r="3" spans="1:15" ht="21" customHeight="1">
      <c r="A3" s="86"/>
      <c r="B3" s="1036"/>
      <c r="O3" s="86"/>
    </row>
    <row r="4" spans="1:15" ht="25.5">
      <c r="A4" s="162" t="str">
        <f>'Collections &amp; Payments 0'!A4</f>
        <v>Sales (VAT incl.)</v>
      </c>
      <c r="B4" s="1036"/>
      <c r="E4" s="163"/>
      <c r="F4" s="163"/>
      <c r="O4" s="86"/>
    </row>
    <row r="5" spans="1:15" ht="5.25" customHeight="1" thickBot="1"/>
    <row r="6" spans="1:15" s="1032" customFormat="1" ht="16.149999999999999" customHeight="1" thickBot="1">
      <c r="A6" s="165" t="str">
        <f>'Collections &amp; Payments 0'!A6</f>
        <v>Sales</v>
      </c>
      <c r="B6" s="2044" t="str">
        <f t="array" ref="B6:M6">meses</f>
        <v>January</v>
      </c>
      <c r="C6" s="2045" t="str">
        <v>February</v>
      </c>
      <c r="D6" s="2045" t="str">
        <v>March</v>
      </c>
      <c r="E6" s="2045" t="str">
        <v>April</v>
      </c>
      <c r="F6" s="2045" t="str">
        <v>May</v>
      </c>
      <c r="G6" s="2045" t="str">
        <v>June</v>
      </c>
      <c r="H6" s="2045" t="str">
        <v>July</v>
      </c>
      <c r="I6" s="2045" t="str">
        <v>August</v>
      </c>
      <c r="J6" s="2045" t="str">
        <v>September</v>
      </c>
      <c r="K6" s="2045" t="str">
        <v>October</v>
      </c>
      <c r="L6" s="2045" t="str">
        <v>November</v>
      </c>
      <c r="M6" s="2045" t="str">
        <v>December</v>
      </c>
      <c r="N6" s="2045" t="s">
        <v>0</v>
      </c>
    </row>
    <row r="7" spans="1:15" s="541" customFormat="1" ht="16.149999999999999" customHeight="1">
      <c r="A7" s="2046" t="str">
        <f t="array" ref="A7:A14">productos</f>
        <v>product 1</v>
      </c>
      <c r="B7" s="1033">
        <f t="array" aca="1" ref="B7:M14" ca="1">'Sales Forecast 1'!B17:M24*(1+Parameters!$E24:$E31 - ret_irpf  )</f>
        <v>1246.3</v>
      </c>
      <c r="C7" s="1033">
        <f ca="1"/>
        <v>1246.3</v>
      </c>
      <c r="D7" s="1033">
        <f ca="1"/>
        <v>1246.3</v>
      </c>
      <c r="E7" s="1033">
        <f ca="1"/>
        <v>1246.3</v>
      </c>
      <c r="F7" s="1033">
        <f ca="1"/>
        <v>1246.3</v>
      </c>
      <c r="G7" s="1033">
        <f ca="1"/>
        <v>1246.3</v>
      </c>
      <c r="H7" s="1033">
        <f ca="1"/>
        <v>1246.3</v>
      </c>
      <c r="I7" s="1033">
        <f ca="1"/>
        <v>1246.3</v>
      </c>
      <c r="J7" s="1033">
        <f ca="1"/>
        <v>1246.3</v>
      </c>
      <c r="K7" s="1033">
        <f ca="1"/>
        <v>1246.3</v>
      </c>
      <c r="L7" s="1033">
        <f ca="1"/>
        <v>1246.3</v>
      </c>
      <c r="M7" s="1033">
        <f ca="1"/>
        <v>1246.3</v>
      </c>
      <c r="N7" s="2047">
        <f t="shared" ref="N7:N14" ca="1" si="0">SUM(B7:M7)</f>
        <v>14955.599999999997</v>
      </c>
    </row>
    <row r="8" spans="1:15" s="541" customFormat="1" ht="16.149999999999999" customHeight="1">
      <c r="A8" s="2048"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7">
        <f t="shared" ca="1" si="0"/>
        <v>0</v>
      </c>
    </row>
    <row r="9" spans="1:15" s="541" customFormat="1" ht="16.149999999999999" customHeight="1">
      <c r="A9" s="2048"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7">
        <f t="shared" ca="1" si="0"/>
        <v>0</v>
      </c>
    </row>
    <row r="10" spans="1:15" s="541" customFormat="1" ht="16.149999999999999" customHeight="1">
      <c r="A10" s="2048"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7">
        <f t="shared" ca="1" si="0"/>
        <v>0</v>
      </c>
    </row>
    <row r="11" spans="1:15" s="541" customFormat="1" ht="16.149999999999999" customHeight="1">
      <c r="A11" s="2048"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7">
        <f t="shared" ca="1" si="0"/>
        <v>0</v>
      </c>
    </row>
    <row r="12" spans="1:15" s="541" customFormat="1" ht="16.149999999999999" customHeight="1">
      <c r="A12" s="2048"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7">
        <f t="shared" ca="1" si="0"/>
        <v>0</v>
      </c>
    </row>
    <row r="13" spans="1:15" s="541" customFormat="1" ht="16.149999999999999" customHeight="1">
      <c r="A13" s="2048"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7">
        <f t="shared" ca="1" si="0"/>
        <v>0</v>
      </c>
    </row>
    <row r="14" spans="1:15" s="541" customFormat="1" ht="16.149999999999999" customHeight="1" thickBot="1">
      <c r="A14" s="2049"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7">
        <f t="shared" ca="1" si="0"/>
        <v>0</v>
      </c>
    </row>
    <row r="15" spans="1:15" s="541" customFormat="1" ht="16.149999999999999" customHeight="1" thickBot="1">
      <c r="A15" s="2050" t="s">
        <v>0</v>
      </c>
      <c r="B15" s="2051">
        <f t="shared" ref="B15:N15" ca="1" si="1">SUM(B7:B14)</f>
        <v>1246.3</v>
      </c>
      <c r="C15" s="2051">
        <f t="shared" ca="1" si="1"/>
        <v>1246.3</v>
      </c>
      <c r="D15" s="2051">
        <f t="shared" ca="1" si="1"/>
        <v>1246.3</v>
      </c>
      <c r="E15" s="2051">
        <f t="shared" ca="1" si="1"/>
        <v>1246.3</v>
      </c>
      <c r="F15" s="2051">
        <f t="shared" ca="1" si="1"/>
        <v>1246.3</v>
      </c>
      <c r="G15" s="2051">
        <f t="shared" ca="1" si="1"/>
        <v>1246.3</v>
      </c>
      <c r="H15" s="2051">
        <f t="shared" ca="1" si="1"/>
        <v>1246.3</v>
      </c>
      <c r="I15" s="2051">
        <f t="shared" ca="1" si="1"/>
        <v>1246.3</v>
      </c>
      <c r="J15" s="2051">
        <f t="shared" ca="1" si="1"/>
        <v>1246.3</v>
      </c>
      <c r="K15" s="2051">
        <f t="shared" ca="1" si="1"/>
        <v>1246.3</v>
      </c>
      <c r="L15" s="2051">
        <f t="shared" ca="1" si="1"/>
        <v>1246.3</v>
      </c>
      <c r="M15" s="2051">
        <f t="shared" ca="1" si="1"/>
        <v>1246.3</v>
      </c>
      <c r="N15" s="2051">
        <f t="shared" ca="1" si="1"/>
        <v>14955.599999999997</v>
      </c>
    </row>
    <row r="16" spans="1:15" s="541" customFormat="1" ht="16.149999999999999" customHeight="1">
      <c r="A16" s="24"/>
    </row>
    <row r="17" spans="1:19" s="318" customFormat="1" ht="22.5">
      <c r="A17" s="318" t="str">
        <f>'Collections &amp; Payments 0'!A17</f>
        <v>Yearly Sales Cashing</v>
      </c>
      <c r="B17" s="163"/>
      <c r="E17" s="163"/>
      <c r="F17" s="163"/>
    </row>
    <row r="18" spans="1:19" ht="16.5" customHeight="1" thickBot="1">
      <c r="A18" s="86"/>
      <c r="B18" s="86"/>
      <c r="O18" s="86"/>
      <c r="P18" s="1035" t="str">
        <f>'Collections &amp; Payments 0'!P18</f>
        <v>Pending for the following year:</v>
      </c>
      <c r="Q18" s="1048" t="str">
        <f>Parameters!F65</f>
        <v>2028</v>
      </c>
    </row>
    <row r="19" spans="1:19" s="1032" customFormat="1" ht="28.5" customHeight="1" thickBot="1">
      <c r="A19" s="165" t="str">
        <f t="array" ref="A19:A27">'Collections &amp; Payments 0'!A19:A27</f>
        <v>Cash Collections</v>
      </c>
      <c r="B19" s="2040" t="str">
        <f t="array" ref="B19:M19">'Sales Forecasts'!B18:M18</f>
        <v>January 
2027</v>
      </c>
      <c r="C19" s="2040" t="str">
        <v>February 
2027</v>
      </c>
      <c r="D19" s="2040" t="str">
        <v>March 
2027</v>
      </c>
      <c r="E19" s="2040" t="str">
        <v>April 
2027</v>
      </c>
      <c r="F19" s="2040" t="str">
        <v>May 
2027</v>
      </c>
      <c r="G19" s="2040" t="str">
        <v>June 
2027</v>
      </c>
      <c r="H19" s="2040" t="str">
        <v>July 
2027</v>
      </c>
      <c r="I19" s="2040" t="str">
        <v>August 
2027</v>
      </c>
      <c r="J19" s="2040" t="str">
        <v>September 
2027</v>
      </c>
      <c r="K19" s="2040" t="str">
        <v>October 
2027</v>
      </c>
      <c r="L19" s="2040" t="str">
        <v>November 
2027</v>
      </c>
      <c r="M19" s="2040" t="str">
        <v>December 
2027</v>
      </c>
      <c r="N19" s="2040" t="str">
        <f t="array" ref="N19:S19">'Collections &amp; Payments 2'!B19:G19</f>
        <v>January 
2028</v>
      </c>
      <c r="O19" s="2040" t="str">
        <v>February 
2028</v>
      </c>
      <c r="P19" s="2040" t="str">
        <v>March 
2028</v>
      </c>
      <c r="Q19" s="2040" t="str">
        <v>April 
2028</v>
      </c>
      <c r="R19" s="2040" t="str">
        <v>May 
2028</v>
      </c>
      <c r="S19" s="2040" t="str">
        <v>June 
2028</v>
      </c>
    </row>
    <row r="20" spans="1:19" s="534" customFormat="1" ht="16.149999999999999" customHeight="1">
      <c r="A20" s="2041" t="str">
        <v>In Cash</v>
      </c>
      <c r="B20" s="1037">
        <f t="array" aca="1" ref="B20" ca="1">SUM('Cashing &amp; Payment Policies'!$B$24:$B$31*B7:B14)</f>
        <v>1246.3</v>
      </c>
      <c r="C20" s="1037">
        <f t="array" aca="1" ref="C20" ca="1">SUM('Cashing &amp; Payment Policies'!$B$24:$B$31*C7:C14)</f>
        <v>1246.3</v>
      </c>
      <c r="D20" s="1037">
        <f t="array" aca="1" ref="D20" ca="1">SUM('Cashing &amp; Payment Policies'!$B$24:$B$31*D7:D14)</f>
        <v>1246.3</v>
      </c>
      <c r="E20" s="1037">
        <f t="array" aca="1" ref="E20" ca="1">SUM('Cashing &amp; Payment Policies'!$B$24:$B$31*E7:E14)</f>
        <v>1246.3</v>
      </c>
      <c r="F20" s="1037">
        <f t="array" aca="1" ref="F20" ca="1">SUM('Cashing &amp; Payment Policies'!$B$24:$B$31*F7:F14)</f>
        <v>1246.3</v>
      </c>
      <c r="G20" s="1037">
        <f t="array" aca="1" ref="G20" ca="1">SUM('Cashing &amp; Payment Policies'!$B$24:$B$31*G7:G14)</f>
        <v>1246.3</v>
      </c>
      <c r="H20" s="1037">
        <f t="array" aca="1" ref="H20" ca="1">SUM('Cashing &amp; Payment Policies'!$B$24:$B$31*H7:H14)</f>
        <v>1246.3</v>
      </c>
      <c r="I20" s="1037">
        <f t="array" aca="1" ref="I20" ca="1">SUM('Cashing &amp; Payment Policies'!$B$24:$B$31*I7:I14)</f>
        <v>1246.3</v>
      </c>
      <c r="J20" s="1037">
        <f t="array" aca="1" ref="J20" ca="1">SUM('Cashing &amp; Payment Policies'!$B$24:$B$31*J7:J14)</f>
        <v>1246.3</v>
      </c>
      <c r="K20" s="1037">
        <f t="array" aca="1" ref="K20" ca="1">SUM('Cashing &amp; Payment Policies'!$B$24:$B$31*K7:K14)</f>
        <v>1246.3</v>
      </c>
      <c r="L20" s="1037">
        <f t="array" aca="1" ref="L20" ca="1">SUM('Cashing &amp; Payment Policies'!$B$24:$B$31*L7:L14)</f>
        <v>1246.3</v>
      </c>
      <c r="M20" s="1037">
        <f t="array" aca="1" ref="M20" ca="1">SUM('Cashing &amp; Payment Policies'!$B$24:$B$31*M7:M14)</f>
        <v>1246.3</v>
      </c>
      <c r="N20" s="1037"/>
      <c r="O20" s="1037"/>
      <c r="P20" s="1037"/>
      <c r="Q20" s="1037"/>
      <c r="R20" s="1037"/>
      <c r="S20" s="1037"/>
    </row>
    <row r="21" spans="1:19" s="541" customFormat="1" ht="16.149999999999999" customHeight="1">
      <c r="A21" s="2421">
        <v>30</v>
      </c>
      <c r="B21" s="1038">
        <f t="array" aca="1" ref="B21:B26" ca="1">'Collections &amp; Payments 0'!N21:N26</f>
        <v>0</v>
      </c>
      <c r="C21" s="1037">
        <f t="array" aca="1" ref="C21" ca="1">SUM('Cashing &amp; Payment Policies'!$C$24:$C$31*B$7:B$14)</f>
        <v>0</v>
      </c>
      <c r="D21" s="1037">
        <f t="array" aca="1" ref="D21" ca="1">SUM('Cashing &amp; Payment Policies'!$C$24:$C$31*C$7:C$14)</f>
        <v>0</v>
      </c>
      <c r="E21" s="1037">
        <f t="array" aca="1" ref="E21" ca="1">SUM('Cashing &amp; Payment Policies'!$C$24:$C$31*D$7:D$14)</f>
        <v>0</v>
      </c>
      <c r="F21" s="1037">
        <f t="array" aca="1" ref="F21" ca="1">SUM('Cashing &amp; Payment Policies'!$C$24:$C$31*E$7:E$14)</f>
        <v>0</v>
      </c>
      <c r="G21" s="1037">
        <f t="array" aca="1" ref="G21" ca="1">SUM('Cashing &amp; Payment Policies'!$C$24:$C$31*F$7:F$14)</f>
        <v>0</v>
      </c>
      <c r="H21" s="1037">
        <f t="array" aca="1" ref="H21" ca="1">SUM('Cashing &amp; Payment Policies'!$C$24:$C$31*G$7:G$14)</f>
        <v>0</v>
      </c>
      <c r="I21" s="1037">
        <f t="array" aca="1" ref="I21" ca="1">SUM('Cashing &amp; Payment Policies'!$C$24:$C$31*H$7:H$14)</f>
        <v>0</v>
      </c>
      <c r="J21" s="1037">
        <f t="array" aca="1" ref="J21" ca="1">SUM('Cashing &amp; Payment Policies'!$C$24:$C$31*I$7:I$14)</f>
        <v>0</v>
      </c>
      <c r="K21" s="1037">
        <f t="array" aca="1" ref="K21" ca="1">SUM('Cashing &amp; Payment Policies'!$C$24:$C$31*J$7:J$14)</f>
        <v>0</v>
      </c>
      <c r="L21" s="1037">
        <f t="array" aca="1" ref="L21" ca="1">SUM('Cashing &amp; Payment Policies'!$C$24:$C$31*K$7:K$14)</f>
        <v>0</v>
      </c>
      <c r="M21" s="1037">
        <f t="array" aca="1" ref="M21" ca="1">SUM('Cashing &amp; Payment Policies'!$C$24:$C$31*L$7:L$14)</f>
        <v>0</v>
      </c>
      <c r="N21" s="1037">
        <f t="array" aca="1" ref="N21" ca="1">SUM('Cashing &amp; Payment Policies'!$C$24:$C$31*M$7:M$14)</f>
        <v>0</v>
      </c>
      <c r="O21" s="1037"/>
      <c r="P21" s="1037"/>
      <c r="Q21" s="1037"/>
      <c r="R21" s="1037"/>
      <c r="S21" s="1037"/>
    </row>
    <row r="22" spans="1:19" s="534" customFormat="1" ht="16.149999999999999" customHeight="1">
      <c r="A22" s="2421">
        <v>60</v>
      </c>
      <c r="B22" s="1038">
        <f ca="1"/>
        <v>0</v>
      </c>
      <c r="C22" s="1038">
        <f t="array" aca="1" ref="C22:C26" ca="1">'Collections &amp; Payments 0'!O22:O26</f>
        <v>0</v>
      </c>
      <c r="D22" s="1037">
        <f t="array" aca="1" ref="D22" ca="1">SUM('Cashing &amp; Payment Policies'!$D$24:$D$31*B$7:B$14)</f>
        <v>0</v>
      </c>
      <c r="E22" s="1037">
        <f t="array" aca="1" ref="E22" ca="1">SUM('Cashing &amp; Payment Policies'!$D$24:$D$31*C$7:C$14)</f>
        <v>0</v>
      </c>
      <c r="F22" s="1037">
        <f t="array" aca="1" ref="F22" ca="1">SUM('Cashing &amp; Payment Policies'!$D$24:$D$31*D$7:D$14)</f>
        <v>0</v>
      </c>
      <c r="G22" s="1037">
        <f t="array" aca="1" ref="G22" ca="1">SUM('Cashing &amp; Payment Policies'!$D$24:$D$31*E$7:E$14)</f>
        <v>0</v>
      </c>
      <c r="H22" s="1037">
        <f t="array" aca="1" ref="H22" ca="1">SUM('Cashing &amp; Payment Policies'!$D$24:$D$31*F$7:F$14)</f>
        <v>0</v>
      </c>
      <c r="I22" s="1037">
        <f t="array" aca="1" ref="I22" ca="1">SUM('Cashing &amp; Payment Policies'!$D$24:$D$31*G$7:G$14)</f>
        <v>0</v>
      </c>
      <c r="J22" s="1037">
        <f t="array" aca="1" ref="J22" ca="1">SUM('Cashing &amp; Payment Policies'!$D$24:$D$31*H$7:H$14)</f>
        <v>0</v>
      </c>
      <c r="K22" s="1037">
        <f t="array" aca="1" ref="K22" ca="1">SUM('Cashing &amp; Payment Policies'!$D$24:$D$31*I$7:I$14)</f>
        <v>0</v>
      </c>
      <c r="L22" s="1037">
        <f t="array" aca="1" ref="L22" ca="1">SUM('Cashing &amp; Payment Policies'!$D$24:$D$31*J$7:J$14)</f>
        <v>0</v>
      </c>
      <c r="M22" s="1037">
        <f t="array" aca="1" ref="M22" ca="1">SUM('Cashing &amp; Payment Policies'!$D$24:$D$31*K$7:K$14)</f>
        <v>0</v>
      </c>
      <c r="N22" s="1037">
        <f t="array" aca="1" ref="N22" ca="1">SUM('Cashing &amp; Payment Policies'!$D$24:$D$31*L$7:L$14)</f>
        <v>0</v>
      </c>
      <c r="O22" s="1037">
        <f t="array" aca="1" ref="O22" ca="1">SUM('Cashing &amp; Payment Policies'!$D$24:$D$31*M$7:M$14)</f>
        <v>0</v>
      </c>
      <c r="P22" s="1037"/>
      <c r="Q22" s="1037"/>
      <c r="R22" s="1037"/>
      <c r="S22" s="1037"/>
    </row>
    <row r="23" spans="1:19" s="534" customFormat="1" ht="16.149999999999999" customHeight="1">
      <c r="A23" s="2421">
        <v>90</v>
      </c>
      <c r="B23" s="1038">
        <f ca="1"/>
        <v>0</v>
      </c>
      <c r="C23" s="1038">
        <f ca="1"/>
        <v>0</v>
      </c>
      <c r="D23" s="1038">
        <f t="array" aca="1" ref="D23:D26" ca="1">'Collections &amp; Payments 0'!P23:P26</f>
        <v>0</v>
      </c>
      <c r="E23" s="1037">
        <f t="array" aca="1" ref="E23" ca="1">SUM('Cashing &amp; Payment Policies'!$E$24:$E$31*B$7:B$14)</f>
        <v>0</v>
      </c>
      <c r="F23" s="1037">
        <f t="array" aca="1" ref="F23" ca="1">SUM('Cashing &amp; Payment Policies'!$E$24:$E$31*C$7:C$14)</f>
        <v>0</v>
      </c>
      <c r="G23" s="1037">
        <f t="array" aca="1" ref="G23" ca="1">SUM('Cashing &amp; Payment Policies'!$E$24:$E$31*D$7:D$14)</f>
        <v>0</v>
      </c>
      <c r="H23" s="1037">
        <f t="array" aca="1" ref="H23" ca="1">SUM('Cashing &amp; Payment Policies'!$E$24:$E$31*E$7:E$14)</f>
        <v>0</v>
      </c>
      <c r="I23" s="1037">
        <f t="array" aca="1" ref="I23" ca="1">SUM('Cashing &amp; Payment Policies'!$E$24:$E$31*F$7:F$14)</f>
        <v>0</v>
      </c>
      <c r="J23" s="1037">
        <f t="array" aca="1" ref="J23" ca="1">SUM('Cashing &amp; Payment Policies'!$E$24:$E$31*G$7:G$14)</f>
        <v>0</v>
      </c>
      <c r="K23" s="1037">
        <f t="array" aca="1" ref="K23" ca="1">SUM('Cashing &amp; Payment Policies'!$E$24:$E$31*H$7:H$14)</f>
        <v>0</v>
      </c>
      <c r="L23" s="1037">
        <f t="array" aca="1" ref="L23" ca="1">SUM('Cashing &amp; Payment Policies'!$E$24:$E$31*I$7:I$14)</f>
        <v>0</v>
      </c>
      <c r="M23" s="1037">
        <f t="array" aca="1" ref="M23" ca="1">SUM('Cashing &amp; Payment Policies'!$E$24:$E$31*J$7:J$14)</f>
        <v>0</v>
      </c>
      <c r="N23" s="1037">
        <f t="array" aca="1" ref="N23" ca="1">SUM('Cashing &amp; Payment Policies'!$E$24:$E$31*K$7:K$14)</f>
        <v>0</v>
      </c>
      <c r="O23" s="1037">
        <f t="array" aca="1" ref="O23" ca="1">SUM('Cashing &amp; Payment Policies'!$E$24:$E$31*L$7:L$14)</f>
        <v>0</v>
      </c>
      <c r="P23" s="1037">
        <f t="array" aca="1" ref="P23" ca="1">SUM('Cashing &amp; Payment Policies'!$E$24:$E$31*M$7:M$14)</f>
        <v>0</v>
      </c>
      <c r="Q23" s="1037"/>
      <c r="R23" s="1037"/>
      <c r="S23" s="1037"/>
    </row>
    <row r="24" spans="1:19" s="534" customFormat="1" ht="16.149999999999999" customHeight="1">
      <c r="A24" s="2421">
        <v>120</v>
      </c>
      <c r="B24" s="1038">
        <f ca="1"/>
        <v>0</v>
      </c>
      <c r="C24" s="1038">
        <f ca="1"/>
        <v>0</v>
      </c>
      <c r="D24" s="1038">
        <f ca="1"/>
        <v>0</v>
      </c>
      <c r="E24" s="1038">
        <f t="array" aca="1" ref="E24:E26" ca="1">'Collections &amp; Payments 0'!Q24:Q26</f>
        <v>0</v>
      </c>
      <c r="F24" s="1037">
        <f t="array" aca="1" ref="F24" ca="1">SUM('Cashing &amp; Payment Policies'!$F$24:$F$31*B$7:B$14)</f>
        <v>0</v>
      </c>
      <c r="G24" s="1037">
        <f t="array" aca="1" ref="G24" ca="1">SUM('Cashing &amp; Payment Policies'!$F$24:$F$31*C$7:C$14)</f>
        <v>0</v>
      </c>
      <c r="H24" s="1037">
        <f t="array" aca="1" ref="H24" ca="1">SUM('Cashing &amp; Payment Policies'!$F$24:$F$31*D$7:D$14)</f>
        <v>0</v>
      </c>
      <c r="I24" s="1037">
        <f t="array" aca="1" ref="I24" ca="1">SUM('Cashing &amp; Payment Policies'!$F$24:$F$31*E$7:E$14)</f>
        <v>0</v>
      </c>
      <c r="J24" s="1037">
        <f t="array" aca="1" ref="J24" ca="1">SUM('Cashing &amp; Payment Policies'!$F$24:$F$31*F$7:F$14)</f>
        <v>0</v>
      </c>
      <c r="K24" s="1037">
        <f t="array" aca="1" ref="K24" ca="1">SUM('Cashing &amp; Payment Policies'!$F$24:$F$31*G$7:G$14)</f>
        <v>0</v>
      </c>
      <c r="L24" s="1037">
        <f t="array" aca="1" ref="L24" ca="1">SUM('Cashing &amp; Payment Policies'!$F$24:$F$31*H$7:H$14)</f>
        <v>0</v>
      </c>
      <c r="M24" s="1037">
        <f t="array" aca="1" ref="M24" ca="1">SUM('Cashing &amp; Payment Policies'!$F$24:$F$31*I$7:I$14)</f>
        <v>0</v>
      </c>
      <c r="N24" s="1037">
        <f t="array" aca="1" ref="N24" ca="1">SUM('Cashing &amp; Payment Policies'!$F$24:$F$31*J$7:J$14)</f>
        <v>0</v>
      </c>
      <c r="O24" s="1037">
        <f t="array" aca="1" ref="O24" ca="1">SUM('Cashing &amp; Payment Policies'!$F$24:$F$31*K$7:K$14)</f>
        <v>0</v>
      </c>
      <c r="P24" s="1037">
        <f t="array" aca="1" ref="P24" ca="1">SUM('Cashing &amp; Payment Policies'!$F$24:$F$31*L$7:L$14)</f>
        <v>0</v>
      </c>
      <c r="Q24" s="1037">
        <f t="array" aca="1" ref="Q24" ca="1">SUM('Cashing &amp; Payment Policies'!$F$24:$F$31*M$7:M$14)</f>
        <v>0</v>
      </c>
      <c r="R24" s="1037"/>
      <c r="S24" s="1037"/>
    </row>
    <row r="25" spans="1:19" s="534" customFormat="1" ht="16.149999999999999" customHeight="1">
      <c r="A25" s="2421">
        <v>150</v>
      </c>
      <c r="B25" s="1038">
        <f ca="1"/>
        <v>0</v>
      </c>
      <c r="C25" s="1038">
        <f ca="1"/>
        <v>0</v>
      </c>
      <c r="D25" s="1038">
        <f ca="1"/>
        <v>0</v>
      </c>
      <c r="E25" s="1038">
        <f ca="1"/>
        <v>0</v>
      </c>
      <c r="F25" s="1038">
        <f t="array" aca="1" ref="F25:F26" ca="1">'Collections &amp; Payments 0'!R25:R26</f>
        <v>0</v>
      </c>
      <c r="G25" s="1037">
        <f t="array" aca="1" ref="G25" ca="1">SUM('Cashing &amp; Payment Policies'!$G$24:$G$31*B$7:B$14)</f>
        <v>0</v>
      </c>
      <c r="H25" s="1037">
        <f t="array" aca="1" ref="H25" ca="1">SUM('Cashing &amp; Payment Policies'!$G$24:$G$31*C$7:C$14)</f>
        <v>0</v>
      </c>
      <c r="I25" s="1037">
        <f t="array" aca="1" ref="I25" ca="1">SUM('Cashing &amp; Payment Policies'!$G$24:$G$31*D$7:D$14)</f>
        <v>0</v>
      </c>
      <c r="J25" s="1037">
        <f t="array" aca="1" ref="J25" ca="1">SUM('Cashing &amp; Payment Policies'!$G$24:$G$31*E$7:E$14)</f>
        <v>0</v>
      </c>
      <c r="K25" s="1037">
        <f t="array" aca="1" ref="K25" ca="1">SUM('Cashing &amp; Payment Policies'!$G$24:$G$31*F$7:F$14)</f>
        <v>0</v>
      </c>
      <c r="L25" s="1037">
        <f t="array" aca="1" ref="L25" ca="1">SUM('Cashing &amp; Payment Policies'!$G$24:$G$31*G$7:G$14)</f>
        <v>0</v>
      </c>
      <c r="M25" s="1037">
        <f t="array" aca="1" ref="M25" ca="1">SUM('Cashing &amp; Payment Policies'!$G$24:$G$31*H$7:H$14)</f>
        <v>0</v>
      </c>
      <c r="N25" s="1037">
        <f t="array" aca="1" ref="N25" ca="1">SUM('Cashing &amp; Payment Policies'!$G$24:$G$31*I$7:I$14)</f>
        <v>0</v>
      </c>
      <c r="O25" s="1037">
        <f t="array" aca="1" ref="O25" ca="1">SUM('Cashing &amp; Payment Policies'!$G$24:$G$31*J$7:J$14)</f>
        <v>0</v>
      </c>
      <c r="P25" s="1037">
        <f t="array" aca="1" ref="P25" ca="1">SUM('Cashing &amp; Payment Policies'!$G$24:$G$31*K$7:K$14)</f>
        <v>0</v>
      </c>
      <c r="Q25" s="1037">
        <f t="array" aca="1" ref="Q25" ca="1">SUM('Cashing &amp; Payment Policies'!$G$24:$G$31*L$7:L$14)</f>
        <v>0</v>
      </c>
      <c r="R25" s="1037">
        <f t="array" aca="1" ref="R25" ca="1">SUM('Cashing &amp; Payment Policies'!$G$24:$G$31*M$7:M$14)</f>
        <v>0</v>
      </c>
      <c r="S25" s="1037"/>
    </row>
    <row r="26" spans="1:19" s="534" customFormat="1" ht="16.149999999999999" customHeight="1">
      <c r="A26" s="2421">
        <v>180</v>
      </c>
      <c r="B26" s="1038">
        <f ca="1"/>
        <v>0</v>
      </c>
      <c r="C26" s="1038">
        <f ca="1"/>
        <v>0</v>
      </c>
      <c r="D26" s="1038">
        <f ca="1"/>
        <v>0</v>
      </c>
      <c r="E26" s="1038">
        <f ca="1"/>
        <v>0</v>
      </c>
      <c r="F26" s="1038">
        <f ca="1"/>
        <v>0</v>
      </c>
      <c r="G26" s="1038">
        <f ca="1">'Collections &amp; Payments 0'!S26</f>
        <v>0</v>
      </c>
      <c r="H26" s="1037">
        <f t="array" aca="1" ref="H26" ca="1">SUM('Cashing &amp; Payment Policies'!$H$24:$H$31*B$7:B$14)</f>
        <v>0</v>
      </c>
      <c r="I26" s="1037">
        <f t="array" aca="1" ref="I26" ca="1">SUM('Cashing &amp; Payment Policies'!$H$24:$H$31*C$7:C$14)</f>
        <v>0</v>
      </c>
      <c r="J26" s="1037">
        <f t="array" aca="1" ref="J26" ca="1">SUM('Cashing &amp; Payment Policies'!$H$24:$H$31*D$7:D$14)</f>
        <v>0</v>
      </c>
      <c r="K26" s="1037">
        <f t="array" aca="1" ref="K26" ca="1">SUM('Cashing &amp; Payment Policies'!$H$24:$H$31*E$7:E$14)</f>
        <v>0</v>
      </c>
      <c r="L26" s="1037">
        <f t="array" aca="1" ref="L26" ca="1">SUM('Cashing &amp; Payment Policies'!$H$24:$H$31*F$7:F$14)</f>
        <v>0</v>
      </c>
      <c r="M26" s="1037">
        <f t="array" aca="1" ref="M26" ca="1">SUM('Cashing &amp; Payment Policies'!$H$24:$H$31*G$7:G$14)</f>
        <v>0</v>
      </c>
      <c r="N26" s="1037">
        <f t="array" aca="1" ref="N26" ca="1">SUM('Cashing &amp; Payment Policies'!$H$24:$H$31*H$7:H$14)</f>
        <v>0</v>
      </c>
      <c r="O26" s="1037">
        <f t="array" aca="1" ref="O26" ca="1">SUM('Cashing &amp; Payment Policies'!$H$24:$H$31*I$7:I$14)</f>
        <v>0</v>
      </c>
      <c r="P26" s="1037">
        <f t="array" aca="1" ref="P26" ca="1">SUM('Cashing &amp; Payment Policies'!$H$24:$H$31*J$7:J$14)</f>
        <v>0</v>
      </c>
      <c r="Q26" s="1037">
        <f t="array" aca="1" ref="Q26" ca="1">SUM('Cashing &amp; Payment Policies'!$H$24:$H$31*K$7:K$14)</f>
        <v>0</v>
      </c>
      <c r="R26" s="1037">
        <f t="array" aca="1" ref="R26" ca="1">SUM('Cashing &amp; Payment Policies'!$H$24:$H$31*L$7:L$14)</f>
        <v>0</v>
      </c>
      <c r="S26" s="1037">
        <f t="array" aca="1" ref="S26" ca="1">SUM('Cashing &amp; Payment Policies'!$H$24:$H$31*M$7:M$14)</f>
        <v>0</v>
      </c>
    </row>
    <row r="27" spans="1:19" s="534" customFormat="1" ht="16.149999999999999" customHeight="1">
      <c r="A27" s="2422" t="str">
        <v>Defaulted credits</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3" t="s">
        <v>577</v>
      </c>
      <c r="B28" s="2043">
        <f t="shared" ref="B28:S28" ca="1" si="3">SUM(B20:B27)</f>
        <v>1246.3</v>
      </c>
      <c r="C28" s="2043">
        <f t="shared" ca="1" si="3"/>
        <v>1246.3</v>
      </c>
      <c r="D28" s="2043">
        <f t="shared" ca="1" si="3"/>
        <v>1246.3</v>
      </c>
      <c r="E28" s="2043">
        <f t="shared" ca="1" si="3"/>
        <v>1246.3</v>
      </c>
      <c r="F28" s="2043">
        <f t="shared" ca="1" si="3"/>
        <v>1246.3</v>
      </c>
      <c r="G28" s="2043">
        <f t="shared" ca="1" si="3"/>
        <v>1246.3</v>
      </c>
      <c r="H28" s="2043">
        <f t="shared" ca="1" si="3"/>
        <v>1246.3</v>
      </c>
      <c r="I28" s="2043">
        <f t="shared" ca="1" si="3"/>
        <v>1246.3</v>
      </c>
      <c r="J28" s="2043">
        <f t="shared" ca="1" si="3"/>
        <v>1246.3</v>
      </c>
      <c r="K28" s="2043">
        <f t="shared" ca="1" si="3"/>
        <v>1246.3</v>
      </c>
      <c r="L28" s="2043">
        <f t="shared" ca="1" si="3"/>
        <v>1246.3</v>
      </c>
      <c r="M28" s="2043">
        <f t="shared" ca="1" si="3"/>
        <v>1246.3</v>
      </c>
      <c r="N28" s="2043">
        <f t="shared" ca="1" si="3"/>
        <v>0</v>
      </c>
      <c r="O28" s="2043">
        <f t="shared" ca="1" si="3"/>
        <v>0</v>
      </c>
      <c r="P28" s="2043">
        <f t="shared" ca="1" si="3"/>
        <v>0</v>
      </c>
      <c r="Q28" s="2043">
        <f t="shared" ca="1" si="3"/>
        <v>0</v>
      </c>
      <c r="R28" s="2043">
        <f t="shared" ca="1" si="3"/>
        <v>0</v>
      </c>
      <c r="S28" s="2043">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2028 ( VAT not incl. )</v>
      </c>
      <c r="S30" s="1043">
        <f ca="1">SUM(N28:S28)</f>
        <v>0</v>
      </c>
    </row>
    <row r="31" spans="1:19" s="534" customFormat="1" ht="17.25" customHeight="1" thickBot="1">
      <c r="A31" s="275"/>
      <c r="B31" s="1040"/>
      <c r="O31" s="1041"/>
      <c r="P31" s="1042"/>
      <c r="Q31" s="1042"/>
      <c r="R31" s="1055" t="str">
        <f>'Collections &amp; Payments 0'!R31</f>
        <v>Yearly Defaulted Credits</v>
      </c>
      <c r="S31" s="1044">
        <f ca="1">-SUM(B27:M27)</f>
        <v>0</v>
      </c>
    </row>
    <row r="32" spans="1:19" s="318" customFormat="1" ht="22.5">
      <c r="A32" s="318" t="str">
        <f>'Collections &amp; Payments 0'!A32</f>
        <v>Purchases &amp; Direct Costs (VAT incl.)</v>
      </c>
      <c r="B32" s="163"/>
      <c r="G32" s="163"/>
      <c r="H32" s="163"/>
    </row>
    <row r="33" spans="1:19" ht="7.5" customHeight="1" thickBot="1">
      <c r="P33" s="541"/>
    </row>
    <row r="34" spans="1:19" ht="15.75" thickBot="1">
      <c r="A34" s="165" t="str">
        <f>'Collections &amp; Payments 0'!A34</f>
        <v>Purchases &amp; Direct Costs</v>
      </c>
      <c r="B34" s="2044" t="str">
        <f t="array" ref="B34:M34">meses</f>
        <v>January</v>
      </c>
      <c r="C34" s="2044" t="str">
        <v>February</v>
      </c>
      <c r="D34" s="2044" t="str">
        <v>March</v>
      </c>
      <c r="E34" s="2044" t="str">
        <v>April</v>
      </c>
      <c r="F34" s="2044" t="str">
        <v>May</v>
      </c>
      <c r="G34" s="2044" t="str">
        <v>June</v>
      </c>
      <c r="H34" s="2044" t="str">
        <v>July</v>
      </c>
      <c r="I34" s="2044" t="str">
        <v>August</v>
      </c>
      <c r="J34" s="2044" t="str">
        <v>September</v>
      </c>
      <c r="K34" s="2044" t="str">
        <v>October</v>
      </c>
      <c r="L34" s="2044" t="str">
        <v>November</v>
      </c>
      <c r="M34" s="2044" t="str">
        <v>December</v>
      </c>
      <c r="N34" s="2045" t="s">
        <v>0</v>
      </c>
      <c r="O34" s="541"/>
    </row>
    <row r="35" spans="1:19" ht="14.25">
      <c r="A35" s="2046" t="str">
        <f t="array" ref="A35:A42">productos</f>
        <v>product 1</v>
      </c>
      <c r="B35" s="1033">
        <f t="array" aca="1" ref="B35:M42" ca="1">'DC Distr 1'!B46:M53+'DC Distr 1'!B59:M66</f>
        <v>124.63000000000002</v>
      </c>
      <c r="C35" s="1033">
        <f ca="1"/>
        <v>124.63000000000002</v>
      </c>
      <c r="D35" s="1033">
        <f ca="1"/>
        <v>124.63000000000002</v>
      </c>
      <c r="E35" s="1033">
        <f ca="1"/>
        <v>124.63000000000002</v>
      </c>
      <c r="F35" s="1033">
        <f ca="1"/>
        <v>124.63000000000002</v>
      </c>
      <c r="G35" s="1033">
        <f ca="1"/>
        <v>124.63000000000002</v>
      </c>
      <c r="H35" s="1033">
        <f ca="1"/>
        <v>124.63000000000002</v>
      </c>
      <c r="I35" s="1033">
        <f ca="1"/>
        <v>124.63000000000002</v>
      </c>
      <c r="J35" s="1033">
        <f ca="1"/>
        <v>124.63000000000002</v>
      </c>
      <c r="K35" s="1033">
        <f ca="1"/>
        <v>124.63000000000002</v>
      </c>
      <c r="L35" s="1033">
        <f ca="1"/>
        <v>124.63000000000002</v>
      </c>
      <c r="M35" s="1033">
        <f ca="1"/>
        <v>124.63000000000002</v>
      </c>
      <c r="N35" s="2047">
        <f t="shared" ref="N35:N42" ca="1" si="4">SUM(B35:M35)</f>
        <v>1495.5600000000004</v>
      </c>
      <c r="O35" s="541"/>
    </row>
    <row r="36" spans="1:19" ht="14.25">
      <c r="A36" s="2048"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7">
        <f t="shared" ca="1" si="4"/>
        <v>0</v>
      </c>
      <c r="O36" s="541"/>
    </row>
    <row r="37" spans="1:19" ht="14.25">
      <c r="A37" s="2048"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7">
        <f t="shared" ca="1" si="4"/>
        <v>0</v>
      </c>
      <c r="O37" s="541"/>
    </row>
    <row r="38" spans="1:19" ht="14.25">
      <c r="A38" s="2048"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7">
        <f t="shared" ca="1" si="4"/>
        <v>0</v>
      </c>
      <c r="O38" s="541"/>
    </row>
    <row r="39" spans="1:19" ht="14.25">
      <c r="A39" s="2048"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7">
        <f t="shared" ca="1" si="4"/>
        <v>0</v>
      </c>
      <c r="O39" s="541"/>
    </row>
    <row r="40" spans="1:19" ht="14.25">
      <c r="A40" s="2048"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7">
        <f t="shared" ca="1" si="4"/>
        <v>0</v>
      </c>
      <c r="O40" s="541"/>
    </row>
    <row r="41" spans="1:19" ht="14.25">
      <c r="A41" s="2048"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7">
        <f t="shared" ca="1" si="4"/>
        <v>0</v>
      </c>
      <c r="O41" s="541"/>
    </row>
    <row r="42" spans="1:19" ht="15" thickBot="1">
      <c r="A42" s="2049"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7">
        <f t="shared" ca="1" si="4"/>
        <v>0</v>
      </c>
      <c r="O42" s="541"/>
    </row>
    <row r="43" spans="1:19" ht="15.75" thickBot="1">
      <c r="A43" s="2050" t="s">
        <v>0</v>
      </c>
      <c r="B43" s="2051">
        <f t="shared" ref="B43:N43" ca="1" si="5">SUM(B35:B42)</f>
        <v>124.63000000000002</v>
      </c>
      <c r="C43" s="2051">
        <f t="shared" ca="1" si="5"/>
        <v>124.63000000000002</v>
      </c>
      <c r="D43" s="2051">
        <f t="shared" ca="1" si="5"/>
        <v>124.63000000000002</v>
      </c>
      <c r="E43" s="2051">
        <f t="shared" ca="1" si="5"/>
        <v>124.63000000000002</v>
      </c>
      <c r="F43" s="2051">
        <f t="shared" ca="1" si="5"/>
        <v>124.63000000000002</v>
      </c>
      <c r="G43" s="2051">
        <f t="shared" ca="1" si="5"/>
        <v>124.63000000000002</v>
      </c>
      <c r="H43" s="2051">
        <f t="shared" ca="1" si="5"/>
        <v>124.63000000000002</v>
      </c>
      <c r="I43" s="2051">
        <f t="shared" ca="1" si="5"/>
        <v>124.63000000000002</v>
      </c>
      <c r="J43" s="2051">
        <f t="shared" ca="1" si="5"/>
        <v>124.63000000000002</v>
      </c>
      <c r="K43" s="2051">
        <f t="shared" ca="1" si="5"/>
        <v>124.63000000000002</v>
      </c>
      <c r="L43" s="2051">
        <f t="shared" ca="1" si="5"/>
        <v>124.63000000000002</v>
      </c>
      <c r="M43" s="2051">
        <f t="shared" ca="1" si="5"/>
        <v>124.63000000000002</v>
      </c>
      <c r="N43" s="2051">
        <f t="shared" ca="1" si="5"/>
        <v>1495.5600000000004</v>
      </c>
      <c r="O43" s="541"/>
    </row>
    <row r="44" spans="1:19">
      <c r="C44" s="541"/>
      <c r="D44" s="541"/>
      <c r="E44" s="541"/>
      <c r="F44" s="541"/>
      <c r="G44" s="541"/>
      <c r="H44" s="541"/>
      <c r="I44" s="541"/>
      <c r="J44" s="541"/>
      <c r="K44" s="541"/>
      <c r="L44" s="541"/>
      <c r="M44" s="541"/>
      <c r="N44" s="541"/>
      <c r="O44" s="541"/>
      <c r="P44" s="541"/>
    </row>
    <row r="45" spans="1:19" s="318" customFormat="1" ht="22.5">
      <c r="A45" s="318" t="str">
        <f>'Collections &amp; Payments 0'!A45</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tr">
        <f>'Collections &amp; Payments 0'!P46</f>
        <v>Pending for the following year:</v>
      </c>
      <c r="Q46" s="1036" t="str">
        <f>Q18</f>
        <v>2028</v>
      </c>
    </row>
    <row r="47" spans="1:19" ht="27.75" customHeight="1" thickBot="1">
      <c r="A47" s="165" t="str">
        <f t="array" ref="A47:A54">'Collections &amp; Payments 0'!A47:A54</f>
        <v>Payment Instalments</v>
      </c>
      <c r="B47" s="2040" t="str">
        <f t="array" ref="B47:S47">B19:S19</f>
        <v>January 
2027</v>
      </c>
      <c r="C47" s="2040" t="str">
        <v>February 
2027</v>
      </c>
      <c r="D47" s="2040" t="str">
        <v>March 
2027</v>
      </c>
      <c r="E47" s="2040" t="str">
        <v>April 
2027</v>
      </c>
      <c r="F47" s="2040" t="str">
        <v>May 
2027</v>
      </c>
      <c r="G47" s="2040" t="str">
        <v>June 
2027</v>
      </c>
      <c r="H47" s="2040" t="str">
        <v>July 
2027</v>
      </c>
      <c r="I47" s="2040" t="str">
        <v>August 
2027</v>
      </c>
      <c r="J47" s="2040" t="str">
        <v>September 
2027</v>
      </c>
      <c r="K47" s="2040" t="str">
        <v>October 
2027</v>
      </c>
      <c r="L47" s="2040" t="str">
        <v>November 
2027</v>
      </c>
      <c r="M47" s="2040" t="str">
        <v>December 
2027</v>
      </c>
      <c r="N47" s="2040" t="str">
        <v>January 
2028</v>
      </c>
      <c r="O47" s="2040" t="str">
        <v>February 
2028</v>
      </c>
      <c r="P47" s="2040" t="str">
        <v>March 
2028</v>
      </c>
      <c r="Q47" s="2040" t="str">
        <v>April 
2028</v>
      </c>
      <c r="R47" s="2040" t="str">
        <v>May 
2028</v>
      </c>
      <c r="S47" s="2040" t="str">
        <v>June 
2028</v>
      </c>
    </row>
    <row r="48" spans="1:19" ht="14.25">
      <c r="A48" s="2041" t="str">
        <v>In Cash</v>
      </c>
      <c r="B48" s="1033">
        <f t="array" aca="1" ref="B48" ca="1">SUM('Cashing &amp; Payment Policies'!$B$73:$B$80*B$35:B$42)</f>
        <v>124.63000000000002</v>
      </c>
      <c r="C48" s="1033">
        <f t="array" aca="1" ref="C48" ca="1">SUM('Cashing &amp; Payment Policies'!$B$73:$B$80*C$35:C$42)</f>
        <v>124.63000000000002</v>
      </c>
      <c r="D48" s="1033">
        <f t="array" aca="1" ref="D48" ca="1">SUM('Cashing &amp; Payment Policies'!$B$73:$B$80*D$35:D$42)</f>
        <v>124.63000000000002</v>
      </c>
      <c r="E48" s="1033">
        <f t="array" aca="1" ref="E48" ca="1">SUM('Cashing &amp; Payment Policies'!$B$73:$B$80*E$35:E$42)</f>
        <v>124.63000000000002</v>
      </c>
      <c r="F48" s="1033">
        <f t="array" aca="1" ref="F48" ca="1">SUM('Cashing &amp; Payment Policies'!$B$73:$B$80*F$35:F$42)</f>
        <v>124.63000000000002</v>
      </c>
      <c r="G48" s="1033">
        <f t="array" aca="1" ref="G48" ca="1">SUM('Cashing &amp; Payment Policies'!$B$73:$B$80*G$35:G$42)</f>
        <v>124.63000000000002</v>
      </c>
      <c r="H48" s="1033">
        <f t="array" aca="1" ref="H48" ca="1">SUM('Cashing &amp; Payment Policies'!$B$73:$B$80*H$35:H$42)</f>
        <v>124.63000000000002</v>
      </c>
      <c r="I48" s="1033">
        <f t="array" aca="1" ref="I48" ca="1">SUM('Cashing &amp; Payment Policies'!$B$73:$B$80*I$35:I$42)</f>
        <v>124.63000000000002</v>
      </c>
      <c r="J48" s="1033">
        <f t="array" aca="1" ref="J48" ca="1">SUM('Cashing &amp; Payment Policies'!$B$73:$B$80*J$35:J$42)</f>
        <v>124.63000000000002</v>
      </c>
      <c r="K48" s="1033">
        <f t="array" aca="1" ref="K48" ca="1">SUM('Cashing &amp; Payment Policies'!$B$73:$B$80*K$35:K$42)</f>
        <v>124.63000000000002</v>
      </c>
      <c r="L48" s="1033">
        <f t="array" aca="1" ref="L48" ca="1">SUM('Cashing &amp; Payment Policies'!$B$73:$B$80*L$35:L$42)</f>
        <v>124.63000000000002</v>
      </c>
      <c r="M48" s="1033">
        <f t="array" aca="1" ref="M48" ca="1">SUM('Cashing &amp; Payment Policies'!$B$73:$B$80*M$35:M$42)</f>
        <v>124.63000000000002</v>
      </c>
      <c r="N48" s="1033"/>
      <c r="O48" s="1033"/>
      <c r="P48" s="1033"/>
      <c r="Q48" s="1033"/>
      <c r="R48" s="1033"/>
      <c r="S48" s="1033"/>
    </row>
    <row r="49" spans="1:19" ht="14.25">
      <c r="A49" s="2421">
        <v>30</v>
      </c>
      <c r="B49" s="1045">
        <f t="array" aca="1" ref="B49:B54" ca="1">'Collections &amp; Payments 0'!N49:N54</f>
        <v>0</v>
      </c>
      <c r="C49" s="1033">
        <f t="array" aca="1" ref="C49" ca="1">SUM('Cashing &amp; Payment Policies'!$C$73:$C$80*B$35:B$42)</f>
        <v>0</v>
      </c>
      <c r="D49" s="1033">
        <f t="array" aca="1" ref="D49" ca="1">SUM('Cashing &amp; Payment Policies'!$C$73:$C$80*C$35:C$42)</f>
        <v>0</v>
      </c>
      <c r="E49" s="1033">
        <f t="array" aca="1" ref="E49" ca="1">SUM('Cashing &amp; Payment Policies'!$C$73:$C$80*D$35:D$42)</f>
        <v>0</v>
      </c>
      <c r="F49" s="1033">
        <f t="array" aca="1" ref="F49" ca="1">SUM('Cashing &amp; Payment Policies'!$C$73:$C$80*E$35:E$42)</f>
        <v>0</v>
      </c>
      <c r="G49" s="1033">
        <f t="array" aca="1" ref="G49" ca="1">SUM('Cashing &amp; Payment Policies'!$C$73:$C$80*F$35:F$42)</f>
        <v>0</v>
      </c>
      <c r="H49" s="1033">
        <f t="array" aca="1" ref="H49" ca="1">SUM('Cashing &amp; Payment Policies'!$C$73:$C$80*G$35:G$42)</f>
        <v>0</v>
      </c>
      <c r="I49" s="1033">
        <f t="array" aca="1" ref="I49" ca="1">SUM('Cashing &amp; Payment Policies'!$C$73:$C$80*H$35:H$42)</f>
        <v>0</v>
      </c>
      <c r="J49" s="1033">
        <f t="array" aca="1" ref="J49" ca="1">SUM('Cashing &amp; Payment Policies'!$C$73:$C$80*I$35:I$42)</f>
        <v>0</v>
      </c>
      <c r="K49" s="1033">
        <f t="array" aca="1" ref="K49" ca="1">SUM('Cashing &amp; Payment Policies'!$C$73:$C$80*J$35:J$42)</f>
        <v>0</v>
      </c>
      <c r="L49" s="1033">
        <f t="array" aca="1" ref="L49" ca="1">SUM('Cashing &amp; Payment Policies'!$C$73:$C$80*K$35:K$42)</f>
        <v>0</v>
      </c>
      <c r="M49" s="1033">
        <f t="array" aca="1" ref="M49" ca="1">SUM('Cashing &amp; Payment Policies'!$C$73:$C$80*L$35:L$42)</f>
        <v>0</v>
      </c>
      <c r="N49" s="1033">
        <f t="array" aca="1" ref="N49" ca="1">SUM('Cashing &amp; Payment Policies'!$C$73:$C$80*M$35:M$42)</f>
        <v>0</v>
      </c>
      <c r="O49" s="1033"/>
      <c r="P49" s="1033"/>
      <c r="Q49" s="1033"/>
      <c r="R49" s="1033"/>
      <c r="S49" s="1033"/>
    </row>
    <row r="50" spans="1:19" ht="14.25">
      <c r="A50" s="2421">
        <v>60</v>
      </c>
      <c r="B50" s="1045">
        <f ca="1"/>
        <v>0</v>
      </c>
      <c r="C50" s="1045">
        <f t="array" aca="1" ref="C50:C54" ca="1">'Collections &amp; Payments 0'!O50:O54</f>
        <v>0</v>
      </c>
      <c r="D50" s="1033">
        <f t="array" aca="1" ref="D50" ca="1">SUM('Cashing &amp; Payment Policies'!$D$73:$D$80*B$35:B$42)</f>
        <v>0</v>
      </c>
      <c r="E50" s="1033">
        <f t="array" aca="1" ref="E50" ca="1">SUM('Cashing &amp; Payment Policies'!$D$73:$D$80*C$35:C$42)</f>
        <v>0</v>
      </c>
      <c r="F50" s="1033">
        <f t="array" aca="1" ref="F50" ca="1">SUM('Cashing &amp; Payment Policies'!$D$73:$D$80*D$35:D$42)</f>
        <v>0</v>
      </c>
      <c r="G50" s="1033">
        <f t="array" aca="1" ref="G50" ca="1">SUM('Cashing &amp; Payment Policies'!$D$73:$D$80*E$35:E$42)</f>
        <v>0</v>
      </c>
      <c r="H50" s="1033">
        <f t="array" aca="1" ref="H50" ca="1">SUM('Cashing &amp; Payment Policies'!$D$73:$D$80*F$35:F$42)</f>
        <v>0</v>
      </c>
      <c r="I50" s="1033">
        <f t="array" aca="1" ref="I50" ca="1">SUM('Cashing &amp; Payment Policies'!$D$73:$D$80*G$35:G$42)</f>
        <v>0</v>
      </c>
      <c r="J50" s="1033">
        <f t="array" aca="1" ref="J50" ca="1">SUM('Cashing &amp; Payment Policies'!$D$73:$D$80*H$35:H$42)</f>
        <v>0</v>
      </c>
      <c r="K50" s="1033">
        <f t="array" aca="1" ref="K50" ca="1">SUM('Cashing &amp; Payment Policies'!$D$73:$D$80*I$35:I$42)</f>
        <v>0</v>
      </c>
      <c r="L50" s="1033">
        <f t="array" aca="1" ref="L50" ca="1">SUM('Cashing &amp; Payment Policies'!$D$73:$D$80*J$35:J$42)</f>
        <v>0</v>
      </c>
      <c r="M50" s="1033">
        <f t="array" aca="1" ref="M50" ca="1">SUM('Cashing &amp; Payment Policies'!$D$73:$D$80*K$35:K$42)</f>
        <v>0</v>
      </c>
      <c r="N50" s="1033">
        <f t="array" aca="1" ref="N50" ca="1">SUM('Cashing &amp; Payment Policies'!$D$73:$D$80*L$35:L$42)</f>
        <v>0</v>
      </c>
      <c r="O50" s="1033">
        <f t="array" aca="1" ref="O50" ca="1">SUM('Cashing &amp; Payment Policies'!$D$73:$D$80*M$35:M$42)</f>
        <v>0</v>
      </c>
      <c r="P50" s="1033"/>
      <c r="Q50" s="1033"/>
      <c r="R50" s="1033"/>
      <c r="S50" s="1033"/>
    </row>
    <row r="51" spans="1:19" ht="14.25">
      <c r="A51" s="2421">
        <v>90</v>
      </c>
      <c r="B51" s="1045">
        <f ca="1"/>
        <v>0</v>
      </c>
      <c r="C51" s="1045">
        <f ca="1"/>
        <v>0</v>
      </c>
      <c r="D51" s="1045">
        <f t="array" aca="1" ref="D51:D54" ca="1">'Collections &amp; Payments 0'!P51:P54</f>
        <v>0</v>
      </c>
      <c r="E51" s="1033">
        <f t="array" aca="1" ref="E51" ca="1">SUM('Cashing &amp; Payment Policies'!$E$73:$E$80*B$35:B$42)</f>
        <v>0</v>
      </c>
      <c r="F51" s="1033">
        <f t="array" aca="1" ref="F51" ca="1">SUM('Cashing &amp; Payment Policies'!$E$73:$E$80*C$35:C$42)</f>
        <v>0</v>
      </c>
      <c r="G51" s="1033">
        <f t="array" aca="1" ref="G51" ca="1">SUM('Cashing &amp; Payment Policies'!$E$73:$E$80*D$35:D$42)</f>
        <v>0</v>
      </c>
      <c r="H51" s="1033">
        <f t="array" aca="1" ref="H51" ca="1">SUM('Cashing &amp; Payment Policies'!$E$73:$E$80*E$35:E$42)</f>
        <v>0</v>
      </c>
      <c r="I51" s="1033">
        <f t="array" aca="1" ref="I51" ca="1">SUM('Cashing &amp; Payment Policies'!$E$73:$E$80*F$35:F$42)</f>
        <v>0</v>
      </c>
      <c r="J51" s="1033">
        <f t="array" aca="1" ref="J51" ca="1">SUM('Cashing &amp; Payment Policies'!$E$73:$E$80*G$35:G$42)</f>
        <v>0</v>
      </c>
      <c r="K51" s="1033">
        <f t="array" aca="1" ref="K51" ca="1">SUM('Cashing &amp; Payment Policies'!$E$73:$E$80*H$35:H$42)</f>
        <v>0</v>
      </c>
      <c r="L51" s="1033">
        <f t="array" aca="1" ref="L51" ca="1">SUM('Cashing &amp; Payment Policies'!$E$73:$E$80*I$35:I$42)</f>
        <v>0</v>
      </c>
      <c r="M51" s="1033">
        <f t="array" aca="1" ref="M51" ca="1">SUM('Cashing &amp; Payment Policies'!$E$73:$E$80*J$35:J$42)</f>
        <v>0</v>
      </c>
      <c r="N51" s="1033">
        <f t="array" aca="1" ref="N51" ca="1">SUM('Cashing &amp; Payment Policies'!$E$73:$E$80*K$35:K$42)</f>
        <v>0</v>
      </c>
      <c r="O51" s="1033">
        <f t="array" aca="1" ref="O51" ca="1">SUM('Cashing &amp; Payment Policies'!$E$73:$E$80*L$35:L$42)</f>
        <v>0</v>
      </c>
      <c r="P51" s="1033">
        <f t="array" aca="1" ref="P51" ca="1">SUM('Cashing &amp; Payment Policies'!$E$73:$E$80*M$35:M$42)</f>
        <v>0</v>
      </c>
      <c r="Q51" s="1033"/>
      <c r="R51" s="1033"/>
      <c r="S51" s="1033"/>
    </row>
    <row r="52" spans="1:19" ht="14.25">
      <c r="A52" s="2421">
        <v>120</v>
      </c>
      <c r="B52" s="1045">
        <f ca="1"/>
        <v>0</v>
      </c>
      <c r="C52" s="1045">
        <f ca="1"/>
        <v>0</v>
      </c>
      <c r="D52" s="1045">
        <f ca="1"/>
        <v>0</v>
      </c>
      <c r="E52" s="1045">
        <f t="array" aca="1" ref="E52:E54" ca="1">'Collections &amp; Payments 0'!Q52:Q54</f>
        <v>0</v>
      </c>
      <c r="F52" s="1033">
        <f t="array" aca="1" ref="F52" ca="1">SUM('Cashing &amp; Payment Policies'!$F$73:$F$80*B$35:B$42)</f>
        <v>0</v>
      </c>
      <c r="G52" s="1033">
        <f t="array" aca="1" ref="G52" ca="1">SUM('Cashing &amp; Payment Policies'!$F$73:$F$80*C$35:C$42)</f>
        <v>0</v>
      </c>
      <c r="H52" s="1033">
        <f t="array" aca="1" ref="H52" ca="1">SUM('Cashing &amp; Payment Policies'!$F$73:$F$80*D$35:D$42)</f>
        <v>0</v>
      </c>
      <c r="I52" s="1033">
        <f t="array" aca="1" ref="I52" ca="1">SUM('Cashing &amp; Payment Policies'!$F$73:$F$80*E$35:E$42)</f>
        <v>0</v>
      </c>
      <c r="J52" s="1033">
        <f t="array" aca="1" ref="J52" ca="1">SUM('Cashing &amp; Payment Policies'!$F$73:$F$80*F$35:F$42)</f>
        <v>0</v>
      </c>
      <c r="K52" s="1033">
        <f t="array" aca="1" ref="K52" ca="1">SUM('Cashing &amp; Payment Policies'!$F$73:$F$80*G$35:G$42)</f>
        <v>0</v>
      </c>
      <c r="L52" s="1033">
        <f t="array" aca="1" ref="L52" ca="1">SUM('Cashing &amp; Payment Policies'!$F$73:$F$80*H$35:H$42)</f>
        <v>0</v>
      </c>
      <c r="M52" s="1033">
        <f t="array" aca="1" ref="M52" ca="1">SUM('Cashing &amp; Payment Policies'!$F$73:$F$80*I$35:I$42)</f>
        <v>0</v>
      </c>
      <c r="N52" s="1033">
        <f t="array" aca="1" ref="N52" ca="1">SUM('Cashing &amp; Payment Policies'!$F$73:$F$80*J$35:J$42)</f>
        <v>0</v>
      </c>
      <c r="O52" s="1033">
        <f t="array" aca="1" ref="O52" ca="1">SUM('Cashing &amp; Payment Policies'!$F$73:$F$80*K$35:K$42)</f>
        <v>0</v>
      </c>
      <c r="P52" s="1033">
        <f t="array" aca="1" ref="P52" ca="1">SUM('Cashing &amp; Payment Policies'!$F$73:$F$80*L$35:L$42)</f>
        <v>0</v>
      </c>
      <c r="Q52" s="1033">
        <f t="array" aca="1" ref="Q52" ca="1">SUM('Cashing &amp; Payment Policies'!$F$73:$F$80*M$35:M$42)</f>
        <v>0</v>
      </c>
      <c r="R52" s="1033"/>
      <c r="S52" s="1033"/>
    </row>
    <row r="53" spans="1:19" ht="14.25">
      <c r="A53" s="2421">
        <v>150</v>
      </c>
      <c r="B53" s="1045">
        <f ca="1"/>
        <v>0</v>
      </c>
      <c r="C53" s="1045">
        <f ca="1"/>
        <v>0</v>
      </c>
      <c r="D53" s="1045">
        <f ca="1"/>
        <v>0</v>
      </c>
      <c r="E53" s="1045">
        <f ca="1"/>
        <v>0</v>
      </c>
      <c r="F53" s="1045">
        <f t="array" aca="1" ref="F53:F54" ca="1">'Collections &amp; Payments 0'!R53:R54</f>
        <v>0</v>
      </c>
      <c r="G53" s="1033">
        <f t="array" aca="1" ref="G53" ca="1">SUM('Cashing &amp; Payment Policies'!$G$73:$G$80*B$35:B$42)</f>
        <v>0</v>
      </c>
      <c r="H53" s="1033">
        <f t="array" aca="1" ref="H53" ca="1">SUM('Cashing &amp; Payment Policies'!$G$73:$G$80*C$35:C$42)</f>
        <v>0</v>
      </c>
      <c r="I53" s="1033">
        <f t="array" aca="1" ref="I53" ca="1">SUM('Cashing &amp; Payment Policies'!$G$73:$G$80*D$35:D$42)</f>
        <v>0</v>
      </c>
      <c r="J53" s="1033">
        <f t="array" aca="1" ref="J53" ca="1">SUM('Cashing &amp; Payment Policies'!$G$73:$G$80*E$35:E$42)</f>
        <v>0</v>
      </c>
      <c r="K53" s="1033">
        <f t="array" aca="1" ref="K53" ca="1">SUM('Cashing &amp; Payment Policies'!$G$73:$G$80*F$35:F$42)</f>
        <v>0</v>
      </c>
      <c r="L53" s="1033">
        <f t="array" aca="1" ref="L53" ca="1">SUM('Cashing &amp; Payment Policies'!$G$73:$G$80*G$35:G$42)</f>
        <v>0</v>
      </c>
      <c r="M53" s="1033">
        <f t="array" aca="1" ref="M53" ca="1">SUM('Cashing &amp; Payment Policies'!$G$73:$G$80*H$35:H$42)</f>
        <v>0</v>
      </c>
      <c r="N53" s="1033">
        <f t="array" aca="1" ref="N53" ca="1">SUM('Cashing &amp; Payment Policies'!$G$73:$G$80*I$35:I$42)</f>
        <v>0</v>
      </c>
      <c r="O53" s="1033">
        <f t="array" aca="1" ref="O53" ca="1">SUM('Cashing &amp; Payment Policies'!$G$73:$G$80*J$35:J$42)</f>
        <v>0</v>
      </c>
      <c r="P53" s="1033">
        <f t="array" aca="1" ref="P53" ca="1">SUM('Cashing &amp; Payment Policies'!$G$73:$G$80*K$35:K$42)</f>
        <v>0</v>
      </c>
      <c r="Q53" s="1033">
        <f t="array" aca="1" ref="Q53" ca="1">SUM('Cashing &amp; Payment Policies'!$G$73:$G$80*L$35:L$42)</f>
        <v>0</v>
      </c>
      <c r="R53" s="1033">
        <f t="array" aca="1" ref="R53" ca="1">SUM('Cashing &amp; Payment Policies'!$G$73:$G$80*M$35:M$42)</f>
        <v>0</v>
      </c>
      <c r="S53" s="1033"/>
    </row>
    <row r="54" spans="1:19" ht="14.25">
      <c r="A54" s="2422">
        <v>180</v>
      </c>
      <c r="B54" s="1045">
        <f ca="1"/>
        <v>0</v>
      </c>
      <c r="C54" s="1045">
        <f ca="1"/>
        <v>0</v>
      </c>
      <c r="D54" s="1045">
        <f ca="1"/>
        <v>0</v>
      </c>
      <c r="E54" s="1045">
        <f ca="1"/>
        <v>0</v>
      </c>
      <c r="F54" s="1045">
        <f ca="1"/>
        <v>0</v>
      </c>
      <c r="G54" s="1045">
        <f ca="1">'Collections &amp; Payments 0'!S54</f>
        <v>0</v>
      </c>
      <c r="H54" s="1033">
        <f t="array" aca="1" ref="H54" ca="1">SUM('Cashing &amp; Payment Policies'!$H$73:$H$80*B$35:B$42)</f>
        <v>0</v>
      </c>
      <c r="I54" s="1033">
        <f t="array" aca="1" ref="I54" ca="1">SUM('Cashing &amp; Payment Policies'!$H$73:$H$80*C$35:C$42)</f>
        <v>0</v>
      </c>
      <c r="J54" s="1033">
        <f t="array" aca="1" ref="J54" ca="1">SUM('Cashing &amp; Payment Policies'!$H$73:$H$80*D$35:D$42)</f>
        <v>0</v>
      </c>
      <c r="K54" s="1033">
        <f t="array" aca="1" ref="K54" ca="1">SUM('Cashing &amp; Payment Policies'!$H$73:$H$80*E$35:E$42)</f>
        <v>0</v>
      </c>
      <c r="L54" s="1033">
        <f t="array" aca="1" ref="L54" ca="1">SUM('Cashing &amp; Payment Policies'!$H$73:$H$80*F$35:F$42)</f>
        <v>0</v>
      </c>
      <c r="M54" s="1033">
        <f t="array" aca="1" ref="M54" ca="1">SUM('Cashing &amp; Payment Policies'!$H$73:$H$80*G$35:G$42)</f>
        <v>0</v>
      </c>
      <c r="N54" s="1033">
        <f t="array" aca="1" ref="N54" ca="1">SUM('Cashing &amp; Payment Policies'!$H$73:$H$80*H$35:H$42)</f>
        <v>0</v>
      </c>
      <c r="O54" s="1033">
        <f t="array" aca="1" ref="O54" ca="1">SUM('Cashing &amp; Payment Policies'!$H$73:$H$80*I$35:I$42)</f>
        <v>0</v>
      </c>
      <c r="P54" s="1033">
        <f t="array" aca="1" ref="P54" ca="1">SUM('Cashing &amp; Payment Policies'!$H$73:$H$80*J$35:J$42)</f>
        <v>0</v>
      </c>
      <c r="Q54" s="1033">
        <f t="array" aca="1" ref="Q54" ca="1">SUM('Cashing &amp; Payment Policies'!$H$73:$H$80*K$35:K$42)</f>
        <v>0</v>
      </c>
      <c r="R54" s="1033">
        <f t="array" aca="1" ref="R54" ca="1">SUM('Cashing &amp; Payment Policies'!$H$73:$H$80*L$35:L$42)</f>
        <v>0</v>
      </c>
      <c r="S54" s="1033">
        <f t="array" aca="1" ref="S54" ca="1">SUM('Cashing &amp; Payment Policies'!$H$73:$H$80*M$35:M$42)</f>
        <v>0</v>
      </c>
    </row>
    <row r="55" spans="1:19" ht="15.75" thickBot="1">
      <c r="A55" s="2423" t="s">
        <v>577</v>
      </c>
      <c r="B55" s="2052">
        <f t="shared" ref="B55:S55" ca="1" si="6">SUM(B48:B54)</f>
        <v>124.63000000000002</v>
      </c>
      <c r="C55" s="2052">
        <f t="shared" ca="1" si="6"/>
        <v>124.63000000000002</v>
      </c>
      <c r="D55" s="2052">
        <f t="shared" ca="1" si="6"/>
        <v>124.63000000000002</v>
      </c>
      <c r="E55" s="2052">
        <f t="shared" ca="1" si="6"/>
        <v>124.63000000000002</v>
      </c>
      <c r="F55" s="2052">
        <f t="shared" ca="1" si="6"/>
        <v>124.63000000000002</v>
      </c>
      <c r="G55" s="2052">
        <f t="shared" ca="1" si="6"/>
        <v>124.63000000000002</v>
      </c>
      <c r="H55" s="2052">
        <f t="shared" ca="1" si="6"/>
        <v>124.63000000000002</v>
      </c>
      <c r="I55" s="2052">
        <f t="shared" ca="1" si="6"/>
        <v>124.63000000000002</v>
      </c>
      <c r="J55" s="2052">
        <f t="shared" ca="1" si="6"/>
        <v>124.63000000000002</v>
      </c>
      <c r="K55" s="2052">
        <f t="shared" ca="1" si="6"/>
        <v>124.63000000000002</v>
      </c>
      <c r="L55" s="2052">
        <f t="shared" ca="1" si="6"/>
        <v>124.63000000000002</v>
      </c>
      <c r="M55" s="2052">
        <f t="shared" ca="1" si="6"/>
        <v>124.63000000000002</v>
      </c>
      <c r="N55" s="2052">
        <f t="shared" ca="1" si="6"/>
        <v>0</v>
      </c>
      <c r="O55" s="2052">
        <f t="shared" ca="1" si="6"/>
        <v>0</v>
      </c>
      <c r="P55" s="2052">
        <f t="shared" ca="1" si="6"/>
        <v>0</v>
      </c>
      <c r="Q55" s="2052">
        <f t="shared" ca="1" si="6"/>
        <v>0</v>
      </c>
      <c r="R55" s="2052">
        <f t="shared" ca="1" si="6"/>
        <v>0</v>
      </c>
      <c r="S55" s="2052">
        <f t="shared" ca="1" si="6"/>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2028 ( VAT not incl.)</v>
      </c>
      <c r="S57" s="1057">
        <f ca="1">SUM(N55:S55)</f>
        <v>0</v>
      </c>
    </row>
  </sheetData>
  <sheetProtection sheet="1" objects="1" scenarios="1"/>
  <phoneticPr fontId="7" type="noConversion"/>
  <printOptions horizontalCentered="1" verticalCentered="1"/>
  <pageMargins left="0.39370078740157483" right="0.39370078740157483" top="0.34" bottom="0.31"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22">
    <tabColor indexed="41"/>
    <pageSetUpPr fitToPage="1"/>
  </sheetPr>
  <dimension ref="A1:S57"/>
  <sheetViews>
    <sheetView zoomScale="75" zoomScaleNormal="100"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275" customWidth="1"/>
    <col min="2" max="2" width="9.75" style="277" customWidth="1"/>
    <col min="3" max="4" width="10" style="86" customWidth="1"/>
    <col min="5" max="5" width="11.375" style="86" customWidth="1"/>
    <col min="6" max="14" width="10" style="86" customWidth="1"/>
    <col min="15" max="15" width="9.5" style="275" customWidth="1"/>
    <col min="16" max="16384" width="11" style="86"/>
  </cols>
  <sheetData>
    <row r="1" spans="1:15" ht="25.5">
      <c r="A1" s="936" t="str">
        <f>'Collections &amp; Payments 0'!A1</f>
        <v xml:space="preserve">Cashing &amp; Payments </v>
      </c>
      <c r="B1" s="1049"/>
      <c r="E1" s="515" t="str">
        <f>Parameters!D$77</f>
        <v>Year 2:   2028</v>
      </c>
      <c r="F1" s="291"/>
      <c r="M1" s="1050"/>
      <c r="O1" s="86"/>
    </row>
    <row r="2" spans="1:15" s="534" customFormat="1" ht="25.5">
      <c r="A2" s="162" t="str">
        <f>'Base Data'!B9</f>
        <v>WWW, Ltd.</v>
      </c>
      <c r="B2" s="1049"/>
      <c r="D2" s="1051"/>
      <c r="E2" s="159"/>
    </row>
    <row r="3" spans="1:15" ht="21" customHeight="1">
      <c r="A3" s="86"/>
      <c r="B3" s="1036"/>
      <c r="O3" s="86"/>
    </row>
    <row r="4" spans="1:15" ht="25.5">
      <c r="A4" s="162" t="str">
        <f>'Collections &amp; Payments 0'!A4</f>
        <v>Sales (VAT incl.)</v>
      </c>
      <c r="B4" s="1036"/>
      <c r="E4" s="163"/>
      <c r="F4" s="163"/>
      <c r="O4" s="86"/>
    </row>
    <row r="5" spans="1:15" ht="5.25" customHeight="1" thickBot="1"/>
    <row r="6" spans="1:15" s="1032" customFormat="1" ht="16.149999999999999" customHeight="1" thickBot="1">
      <c r="A6" s="165" t="str">
        <f>'Collections &amp; Payments 0'!A6</f>
        <v>Sales</v>
      </c>
      <c r="B6" s="2044" t="str">
        <f t="array" ref="B6:M6">meses</f>
        <v>January</v>
      </c>
      <c r="C6" s="2045" t="str">
        <v>February</v>
      </c>
      <c r="D6" s="2045" t="str">
        <v>March</v>
      </c>
      <c r="E6" s="2045" t="str">
        <v>April</v>
      </c>
      <c r="F6" s="2045" t="str">
        <v>May</v>
      </c>
      <c r="G6" s="2045" t="str">
        <v>June</v>
      </c>
      <c r="H6" s="2045" t="str">
        <v>July</v>
      </c>
      <c r="I6" s="2045" t="str">
        <v>August</v>
      </c>
      <c r="J6" s="2045" t="str">
        <v>September</v>
      </c>
      <c r="K6" s="2045" t="str">
        <v>October</v>
      </c>
      <c r="L6" s="2045" t="str">
        <v>November</v>
      </c>
      <c r="M6" s="2045" t="str">
        <v>December</v>
      </c>
      <c r="N6" s="2045" t="s">
        <v>0</v>
      </c>
    </row>
    <row r="7" spans="1:15" s="541" customFormat="1" ht="16.149999999999999" customHeight="1">
      <c r="A7" s="2046" t="str">
        <f t="array" ref="A7:A14">productos</f>
        <v>product 1</v>
      </c>
      <c r="B7" s="1033">
        <f t="array" aca="1" ref="B7:M14" ca="1">'Sales Forecast 2'!B17:M24*(1+Parameters!$E24:$E31 - ret_irpf  )</f>
        <v>1347.8734499999998</v>
      </c>
      <c r="C7" s="1033">
        <f ca="1"/>
        <v>1347.8734499999998</v>
      </c>
      <c r="D7" s="1033">
        <f ca="1"/>
        <v>1347.8734499999998</v>
      </c>
      <c r="E7" s="1033">
        <f ca="1"/>
        <v>1347.8734499999998</v>
      </c>
      <c r="F7" s="1033">
        <f ca="1"/>
        <v>1347.8734499999998</v>
      </c>
      <c r="G7" s="1033">
        <f ca="1"/>
        <v>1347.8734499999998</v>
      </c>
      <c r="H7" s="1033">
        <f ca="1"/>
        <v>1347.8734499999998</v>
      </c>
      <c r="I7" s="1033">
        <f ca="1"/>
        <v>1347.8734499999998</v>
      </c>
      <c r="J7" s="1033">
        <f ca="1"/>
        <v>1347.8734499999998</v>
      </c>
      <c r="K7" s="1033">
        <f ca="1"/>
        <v>1347.8734499999998</v>
      </c>
      <c r="L7" s="1033">
        <f ca="1"/>
        <v>1347.8734499999998</v>
      </c>
      <c r="M7" s="1033">
        <f ca="1"/>
        <v>1347.8734499999998</v>
      </c>
      <c r="N7" s="2047">
        <f t="shared" ref="N7:N14" ca="1" si="0">SUM(B7:M7)</f>
        <v>16174.481399999995</v>
      </c>
    </row>
    <row r="8" spans="1:15" s="541" customFormat="1" ht="16.149999999999999" customHeight="1">
      <c r="A8" s="2048"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7">
        <f t="shared" ca="1" si="0"/>
        <v>0</v>
      </c>
    </row>
    <row r="9" spans="1:15" s="541" customFormat="1" ht="16.149999999999999" customHeight="1">
      <c r="A9" s="2048"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7">
        <f t="shared" ca="1" si="0"/>
        <v>0</v>
      </c>
    </row>
    <row r="10" spans="1:15" s="541" customFormat="1" ht="16.149999999999999" customHeight="1">
      <c r="A10" s="2048"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7">
        <f t="shared" ca="1" si="0"/>
        <v>0</v>
      </c>
    </row>
    <row r="11" spans="1:15" s="541" customFormat="1" ht="16.149999999999999" customHeight="1">
      <c r="A11" s="2048"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7">
        <f t="shared" ca="1" si="0"/>
        <v>0</v>
      </c>
    </row>
    <row r="12" spans="1:15" s="541" customFormat="1" ht="16.149999999999999" customHeight="1">
      <c r="A12" s="2048"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7">
        <f t="shared" ca="1" si="0"/>
        <v>0</v>
      </c>
    </row>
    <row r="13" spans="1:15" s="541" customFormat="1" ht="16.149999999999999" customHeight="1">
      <c r="A13" s="2048"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7">
        <f t="shared" ca="1" si="0"/>
        <v>0</v>
      </c>
    </row>
    <row r="14" spans="1:15" s="541" customFormat="1" ht="16.149999999999999" customHeight="1" thickBot="1">
      <c r="A14" s="2049"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7">
        <f t="shared" ca="1" si="0"/>
        <v>0</v>
      </c>
    </row>
    <row r="15" spans="1:15" s="541" customFormat="1" ht="16.149999999999999" customHeight="1" thickBot="1">
      <c r="A15" s="2050" t="s">
        <v>0</v>
      </c>
      <c r="B15" s="2051">
        <f t="shared" ref="B15:N15" ca="1" si="1">SUM(B7:B14)</f>
        <v>1347.8734499999998</v>
      </c>
      <c r="C15" s="2051">
        <f t="shared" ca="1" si="1"/>
        <v>1347.8734499999998</v>
      </c>
      <c r="D15" s="2051">
        <f t="shared" ca="1" si="1"/>
        <v>1347.8734499999998</v>
      </c>
      <c r="E15" s="2051">
        <f t="shared" ca="1" si="1"/>
        <v>1347.8734499999998</v>
      </c>
      <c r="F15" s="2051">
        <f t="shared" ca="1" si="1"/>
        <v>1347.8734499999998</v>
      </c>
      <c r="G15" s="2051">
        <f t="shared" ca="1" si="1"/>
        <v>1347.8734499999998</v>
      </c>
      <c r="H15" s="2051">
        <f t="shared" ca="1" si="1"/>
        <v>1347.8734499999998</v>
      </c>
      <c r="I15" s="2051">
        <f t="shared" ca="1" si="1"/>
        <v>1347.8734499999998</v>
      </c>
      <c r="J15" s="2051">
        <f t="shared" ca="1" si="1"/>
        <v>1347.8734499999998</v>
      </c>
      <c r="K15" s="2051">
        <f t="shared" ca="1" si="1"/>
        <v>1347.8734499999998</v>
      </c>
      <c r="L15" s="2051">
        <f t="shared" ca="1" si="1"/>
        <v>1347.8734499999998</v>
      </c>
      <c r="M15" s="2051">
        <f t="shared" ca="1" si="1"/>
        <v>1347.8734499999998</v>
      </c>
      <c r="N15" s="2051">
        <f t="shared" ca="1" si="1"/>
        <v>16174.481399999995</v>
      </c>
    </row>
    <row r="16" spans="1:15" s="541" customFormat="1" ht="16.149999999999999" customHeight="1">
      <c r="A16" s="24"/>
    </row>
    <row r="17" spans="1:19" s="318" customFormat="1" ht="22.5">
      <c r="A17" s="318" t="str">
        <f>'Collections &amp; Payments 0'!A17</f>
        <v>Yearly Sales Cashing</v>
      </c>
      <c r="B17" s="163"/>
      <c r="E17" s="163"/>
      <c r="F17" s="163"/>
    </row>
    <row r="18" spans="1:19" ht="16.5" customHeight="1" thickBot="1">
      <c r="A18" s="86"/>
      <c r="B18" s="86"/>
      <c r="O18" s="86"/>
      <c r="P18" s="1035" t="str">
        <f>'Collections &amp; Payments 0'!P18</f>
        <v>Pending for the following year:</v>
      </c>
      <c r="Q18" s="1048" t="str">
        <f>Parameters!G65</f>
        <v>2029</v>
      </c>
    </row>
    <row r="19" spans="1:19" s="1032" customFormat="1" ht="28.5" customHeight="1" thickBot="1">
      <c r="A19" s="165" t="str">
        <f t="array" ref="A19:A27">'Collections &amp; Payments 0'!A19:A27</f>
        <v>Cash Collections</v>
      </c>
      <c r="B19" s="2040" t="str">
        <f t="array" ref="B19:M19">'Sales Forecasts'!B31:M31</f>
        <v>January 
2028</v>
      </c>
      <c r="C19" s="2040" t="str">
        <v>February 
2028</v>
      </c>
      <c r="D19" s="2040" t="str">
        <v>March 
2028</v>
      </c>
      <c r="E19" s="2040" t="str">
        <v>April 
2028</v>
      </c>
      <c r="F19" s="2040" t="str">
        <v>May 
2028</v>
      </c>
      <c r="G19" s="2040" t="str">
        <v>June 
2028</v>
      </c>
      <c r="H19" s="2040" t="str">
        <v>July 
2028</v>
      </c>
      <c r="I19" s="2040" t="str">
        <v>August 
2028</v>
      </c>
      <c r="J19" s="2040" t="str">
        <v>September 
2028</v>
      </c>
      <c r="K19" s="2040" t="str">
        <v>October 
2028</v>
      </c>
      <c r="L19" s="2040" t="str">
        <v>November 
2028</v>
      </c>
      <c r="M19" s="2040" t="str">
        <v>December 
2028</v>
      </c>
      <c r="N19" s="2040" t="str">
        <f t="array" ref="N19:S19">'Collections &amp; Payments 3'!B19:G19</f>
        <v>January 
2029</v>
      </c>
      <c r="O19" s="2040" t="str">
        <v>February 
2029</v>
      </c>
      <c r="P19" s="2040" t="str">
        <v>March 
2029</v>
      </c>
      <c r="Q19" s="2040" t="str">
        <v>April 
2029</v>
      </c>
      <c r="R19" s="2040" t="str">
        <v>May 
2029</v>
      </c>
      <c r="S19" s="2040" t="str">
        <v>June 
2029</v>
      </c>
    </row>
    <row r="20" spans="1:19" s="534" customFormat="1" ht="16.149999999999999" customHeight="1">
      <c r="A20" s="2041" t="str">
        <v>In Cash</v>
      </c>
      <c r="B20" s="1037">
        <f t="array" aca="1" ref="B20" ca="1">SUM('Cashing &amp; Payment Policies'!$B$39:$B$46*B7:B14)</f>
        <v>1347.8734499999998</v>
      </c>
      <c r="C20" s="1037">
        <f t="array" aca="1" ref="C20" ca="1">SUM('Cashing &amp; Payment Policies'!$B$39:$B$46*C7:C14)</f>
        <v>1347.8734499999998</v>
      </c>
      <c r="D20" s="1037">
        <f t="array" aca="1" ref="D20" ca="1">SUM('Cashing &amp; Payment Policies'!$B$39:$B$46*D7:D14)</f>
        <v>1347.8734499999998</v>
      </c>
      <c r="E20" s="1037">
        <f t="array" aca="1" ref="E20" ca="1">SUM('Cashing &amp; Payment Policies'!$B$39:$B$46*E7:E14)</f>
        <v>1347.8734499999998</v>
      </c>
      <c r="F20" s="1037">
        <f t="array" aca="1" ref="F20" ca="1">SUM('Cashing &amp; Payment Policies'!$B$39:$B$46*F7:F14)</f>
        <v>1347.8734499999998</v>
      </c>
      <c r="G20" s="1037">
        <f t="array" aca="1" ref="G20" ca="1">SUM('Cashing &amp; Payment Policies'!$B$39:$B$46*G7:G14)</f>
        <v>1347.8734499999998</v>
      </c>
      <c r="H20" s="1037">
        <f t="array" aca="1" ref="H20" ca="1">SUM('Cashing &amp; Payment Policies'!$B$39:$B$46*H7:H14)</f>
        <v>1347.8734499999998</v>
      </c>
      <c r="I20" s="1037">
        <f t="array" aca="1" ref="I20" ca="1">SUM('Cashing &amp; Payment Policies'!$B$39:$B$46*I7:I14)</f>
        <v>1347.8734499999998</v>
      </c>
      <c r="J20" s="1037">
        <f t="array" aca="1" ref="J20" ca="1">SUM('Cashing &amp; Payment Policies'!$B$39:$B$46*J7:J14)</f>
        <v>1347.8734499999998</v>
      </c>
      <c r="K20" s="1037">
        <f t="array" aca="1" ref="K20" ca="1">SUM('Cashing &amp; Payment Policies'!$B$39:$B$46*K7:K14)</f>
        <v>1347.8734499999998</v>
      </c>
      <c r="L20" s="1037">
        <f t="array" aca="1" ref="L20" ca="1">SUM('Cashing &amp; Payment Policies'!$B$39:$B$46*L7:L14)</f>
        <v>1347.8734499999998</v>
      </c>
      <c r="M20" s="1037">
        <f t="array" aca="1" ref="M20" ca="1">SUM('Cashing &amp; Payment Policies'!$B$39:$B$46*M7:M14)</f>
        <v>1347.8734499999998</v>
      </c>
      <c r="N20" s="1037"/>
      <c r="O20" s="1037"/>
      <c r="P20" s="1037"/>
      <c r="Q20" s="1037"/>
      <c r="R20" s="1037"/>
      <c r="S20" s="1037"/>
    </row>
    <row r="21" spans="1:19" s="541" customFormat="1" ht="16.149999999999999" customHeight="1">
      <c r="A21" s="2421">
        <v>30</v>
      </c>
      <c r="B21" s="1038">
        <f t="array" aca="1" ref="B21:B26" ca="1">'Collections &amp; Payments 1'!N21:N26</f>
        <v>0</v>
      </c>
      <c r="C21" s="1037">
        <f t="array" aca="1" ref="C21" ca="1">SUM('Cashing &amp; Payment Policies'!$C$39:$C$46*B$7:B$14)</f>
        <v>0</v>
      </c>
      <c r="D21" s="1037">
        <f t="array" aca="1" ref="D21" ca="1">SUM('Cashing &amp; Payment Policies'!$C$39:$C$46*C$7:C$14)</f>
        <v>0</v>
      </c>
      <c r="E21" s="1037">
        <f t="array" aca="1" ref="E21" ca="1">SUM('Cashing &amp; Payment Policies'!$C$39:$C$46*D$7:D$14)</f>
        <v>0</v>
      </c>
      <c r="F21" s="1037">
        <f t="array" aca="1" ref="F21" ca="1">SUM('Cashing &amp; Payment Policies'!$C$39:$C$46*E$7:E$14)</f>
        <v>0</v>
      </c>
      <c r="G21" s="1037">
        <f t="array" aca="1" ref="G21" ca="1">SUM('Cashing &amp; Payment Policies'!$C$39:$C$46*F$7:F$14)</f>
        <v>0</v>
      </c>
      <c r="H21" s="1037">
        <f t="array" aca="1" ref="H21" ca="1">SUM('Cashing &amp; Payment Policies'!$C$39:$C$46*G$7:G$14)</f>
        <v>0</v>
      </c>
      <c r="I21" s="1037">
        <f t="array" aca="1" ref="I21" ca="1">SUM('Cashing &amp; Payment Policies'!$C$39:$C$46*H$7:H$14)</f>
        <v>0</v>
      </c>
      <c r="J21" s="1037">
        <f t="array" aca="1" ref="J21" ca="1">SUM('Cashing &amp; Payment Policies'!$C$39:$C$46*I$7:I$14)</f>
        <v>0</v>
      </c>
      <c r="K21" s="1037">
        <f t="array" aca="1" ref="K21" ca="1">SUM('Cashing &amp; Payment Policies'!$C$39:$C$46*J$7:J$14)</f>
        <v>0</v>
      </c>
      <c r="L21" s="1037">
        <f t="array" aca="1" ref="L21" ca="1">SUM('Cashing &amp; Payment Policies'!$C$39:$C$46*K$7:K$14)</f>
        <v>0</v>
      </c>
      <c r="M21" s="1037">
        <f t="array" aca="1" ref="M21" ca="1">SUM('Cashing &amp; Payment Policies'!$C$39:$C$46*L$7:L$14)</f>
        <v>0</v>
      </c>
      <c r="N21" s="1037">
        <f t="array" aca="1" ref="N21" ca="1">SUM('Cashing &amp; Payment Policies'!$C$39:$C$46*M$7:M$14)</f>
        <v>0</v>
      </c>
      <c r="O21" s="1037"/>
      <c r="P21" s="1037"/>
      <c r="Q21" s="1037"/>
      <c r="R21" s="1037"/>
      <c r="S21" s="1037"/>
    </row>
    <row r="22" spans="1:19" s="534" customFormat="1" ht="16.149999999999999" customHeight="1">
      <c r="A22" s="2421">
        <v>60</v>
      </c>
      <c r="B22" s="1038">
        <f ca="1"/>
        <v>0</v>
      </c>
      <c r="C22" s="1038">
        <f t="array" aca="1" ref="C22:C26" ca="1">'Collections &amp; Payments 1'!O22:O26</f>
        <v>0</v>
      </c>
      <c r="D22" s="1037">
        <f t="array" aca="1" ref="D22" ca="1">SUM('Cashing &amp; Payment Policies'!$D$39:$D$46*B$7:B$14)</f>
        <v>0</v>
      </c>
      <c r="E22" s="1037">
        <f t="array" aca="1" ref="E22" ca="1">SUM('Cashing &amp; Payment Policies'!$D$39:$D$46*C$7:C$14)</f>
        <v>0</v>
      </c>
      <c r="F22" s="1037">
        <f t="array" aca="1" ref="F22" ca="1">SUM('Cashing &amp; Payment Policies'!$D$39:$D$46*D$7:D$14)</f>
        <v>0</v>
      </c>
      <c r="G22" s="1037">
        <f t="array" aca="1" ref="G22" ca="1">SUM('Cashing &amp; Payment Policies'!$D$39:$D$46*E$7:E$14)</f>
        <v>0</v>
      </c>
      <c r="H22" s="1037">
        <f t="array" aca="1" ref="H22" ca="1">SUM('Cashing &amp; Payment Policies'!$D$39:$D$46*F$7:F$14)</f>
        <v>0</v>
      </c>
      <c r="I22" s="1037">
        <f t="array" aca="1" ref="I22" ca="1">SUM('Cashing &amp; Payment Policies'!$D$39:$D$46*G$7:G$14)</f>
        <v>0</v>
      </c>
      <c r="J22" s="1037">
        <f t="array" aca="1" ref="J22" ca="1">SUM('Cashing &amp; Payment Policies'!$D$39:$D$46*H$7:H$14)</f>
        <v>0</v>
      </c>
      <c r="K22" s="1037">
        <f t="array" aca="1" ref="K22" ca="1">SUM('Cashing &amp; Payment Policies'!$D$39:$D$46*I$7:I$14)</f>
        <v>0</v>
      </c>
      <c r="L22" s="1037">
        <f t="array" aca="1" ref="L22" ca="1">SUM('Cashing &amp; Payment Policies'!$D$39:$D$46*J$7:J$14)</f>
        <v>0</v>
      </c>
      <c r="M22" s="1037">
        <f t="array" aca="1" ref="M22" ca="1">SUM('Cashing &amp; Payment Policies'!$D$39:$D$46*K$7:K$14)</f>
        <v>0</v>
      </c>
      <c r="N22" s="1037">
        <f t="array" aca="1" ref="N22" ca="1">SUM('Cashing &amp; Payment Policies'!$D$39:$D$46*L$7:L$14)</f>
        <v>0</v>
      </c>
      <c r="O22" s="1037">
        <f t="array" aca="1" ref="O22" ca="1">SUM('Cashing &amp; Payment Policies'!$D$39:$D$46*M$7:M$14)</f>
        <v>0</v>
      </c>
      <c r="P22" s="1037"/>
      <c r="Q22" s="1037"/>
      <c r="R22" s="1037"/>
      <c r="S22" s="1037"/>
    </row>
    <row r="23" spans="1:19" s="534" customFormat="1" ht="16.149999999999999" customHeight="1">
      <c r="A23" s="2421">
        <v>90</v>
      </c>
      <c r="B23" s="1038">
        <f ca="1"/>
        <v>0</v>
      </c>
      <c r="C23" s="1038">
        <f ca="1"/>
        <v>0</v>
      </c>
      <c r="D23" s="1038">
        <f t="array" aca="1" ref="D23:D26" ca="1">'Collections &amp; Payments 1'!P23:P26</f>
        <v>0</v>
      </c>
      <c r="E23" s="1037">
        <f t="array" aca="1" ref="E23" ca="1">SUM('Cashing &amp; Payment Policies'!$E$39:$E$46*B$7:B$14)</f>
        <v>0</v>
      </c>
      <c r="F23" s="1037">
        <f t="array" aca="1" ref="F23" ca="1">SUM('Cashing &amp; Payment Policies'!$E$39:$E$46*C$7:C$14)</f>
        <v>0</v>
      </c>
      <c r="G23" s="1037">
        <f t="array" aca="1" ref="G23" ca="1">SUM('Cashing &amp; Payment Policies'!$E$39:$E$46*D$7:D$14)</f>
        <v>0</v>
      </c>
      <c r="H23" s="1037">
        <f t="array" aca="1" ref="H23" ca="1">SUM('Cashing &amp; Payment Policies'!$E$39:$E$46*E$7:E$14)</f>
        <v>0</v>
      </c>
      <c r="I23" s="1037">
        <f t="array" aca="1" ref="I23" ca="1">SUM('Cashing &amp; Payment Policies'!$E$39:$E$46*F$7:F$14)</f>
        <v>0</v>
      </c>
      <c r="J23" s="1037">
        <f t="array" aca="1" ref="J23" ca="1">SUM('Cashing &amp; Payment Policies'!$E$39:$E$46*G$7:G$14)</f>
        <v>0</v>
      </c>
      <c r="K23" s="1037">
        <f t="array" aca="1" ref="K23" ca="1">SUM('Cashing &amp; Payment Policies'!$E$39:$E$46*H$7:H$14)</f>
        <v>0</v>
      </c>
      <c r="L23" s="1037">
        <f t="array" aca="1" ref="L23" ca="1">SUM('Cashing &amp; Payment Policies'!$E$39:$E$46*I$7:I$14)</f>
        <v>0</v>
      </c>
      <c r="M23" s="1037">
        <f t="array" aca="1" ref="M23" ca="1">SUM('Cashing &amp; Payment Policies'!$E$39:$E$46*J$7:J$14)</f>
        <v>0</v>
      </c>
      <c r="N23" s="1037">
        <f t="array" aca="1" ref="N23" ca="1">SUM('Cashing &amp; Payment Policies'!$E$39:$E$46*K$7:K$14)</f>
        <v>0</v>
      </c>
      <c r="O23" s="1037">
        <f t="array" aca="1" ref="O23" ca="1">SUM('Cashing &amp; Payment Policies'!$E$39:$E$46*L$7:L$14)</f>
        <v>0</v>
      </c>
      <c r="P23" s="1037">
        <f t="array" aca="1" ref="P23" ca="1">SUM('Cashing &amp; Payment Policies'!$E$39:$E$46*M$7:M$14)</f>
        <v>0</v>
      </c>
      <c r="Q23" s="1037"/>
      <c r="R23" s="1037"/>
      <c r="S23" s="1037"/>
    </row>
    <row r="24" spans="1:19" s="534" customFormat="1" ht="16.149999999999999" customHeight="1">
      <c r="A24" s="2421">
        <v>120</v>
      </c>
      <c r="B24" s="1038">
        <f ca="1"/>
        <v>0</v>
      </c>
      <c r="C24" s="1038">
        <f ca="1"/>
        <v>0</v>
      </c>
      <c r="D24" s="1038">
        <f ca="1"/>
        <v>0</v>
      </c>
      <c r="E24" s="1038">
        <f t="array" aca="1" ref="E24:E26" ca="1">'Collections &amp; Payments 1'!Q24:Q26</f>
        <v>0</v>
      </c>
      <c r="F24" s="1037">
        <f t="array" aca="1" ref="F24" ca="1">SUM('Cashing &amp; Payment Policies'!$F$39:$F$46*B$7:B$14)</f>
        <v>0</v>
      </c>
      <c r="G24" s="1037">
        <f t="array" aca="1" ref="G24" ca="1">SUM('Cashing &amp; Payment Policies'!$F$39:$F$46*C$7:C$14)</f>
        <v>0</v>
      </c>
      <c r="H24" s="1037">
        <f t="array" aca="1" ref="H24" ca="1">SUM('Cashing &amp; Payment Policies'!$F$39:$F$46*D$7:D$14)</f>
        <v>0</v>
      </c>
      <c r="I24" s="1037">
        <f t="array" aca="1" ref="I24" ca="1">SUM('Cashing &amp; Payment Policies'!$F$39:$F$46*E$7:E$14)</f>
        <v>0</v>
      </c>
      <c r="J24" s="1037">
        <f t="array" aca="1" ref="J24" ca="1">SUM('Cashing &amp; Payment Policies'!$F$39:$F$46*F$7:F$14)</f>
        <v>0</v>
      </c>
      <c r="K24" s="1037">
        <f t="array" aca="1" ref="K24" ca="1">SUM('Cashing &amp; Payment Policies'!$F$39:$F$46*G$7:G$14)</f>
        <v>0</v>
      </c>
      <c r="L24" s="1037">
        <f t="array" aca="1" ref="L24" ca="1">SUM('Cashing &amp; Payment Policies'!$F$39:$F$46*H$7:H$14)</f>
        <v>0</v>
      </c>
      <c r="M24" s="1037">
        <f t="array" aca="1" ref="M24" ca="1">SUM('Cashing &amp; Payment Policies'!$F$39:$F$46*I$7:I$14)</f>
        <v>0</v>
      </c>
      <c r="N24" s="1037">
        <f t="array" aca="1" ref="N24" ca="1">SUM('Cashing &amp; Payment Policies'!$F$39:$F$46*J$7:J$14)</f>
        <v>0</v>
      </c>
      <c r="O24" s="1037">
        <f t="array" aca="1" ref="O24" ca="1">SUM('Cashing &amp; Payment Policies'!$F$39:$F$46*K$7:K$14)</f>
        <v>0</v>
      </c>
      <c r="P24" s="1037">
        <f t="array" aca="1" ref="P24" ca="1">SUM('Cashing &amp; Payment Policies'!$F$39:$F$46*L$7:L$14)</f>
        <v>0</v>
      </c>
      <c r="Q24" s="1037">
        <f t="array" aca="1" ref="Q24" ca="1">SUM('Cashing &amp; Payment Policies'!$F$39:$F$46*M$7:M$14)</f>
        <v>0</v>
      </c>
      <c r="R24" s="1037"/>
      <c r="S24" s="1037"/>
    </row>
    <row r="25" spans="1:19" s="534" customFormat="1" ht="16.149999999999999" customHeight="1">
      <c r="A25" s="2421">
        <v>150</v>
      </c>
      <c r="B25" s="1038">
        <f ca="1"/>
        <v>0</v>
      </c>
      <c r="C25" s="1038">
        <f ca="1"/>
        <v>0</v>
      </c>
      <c r="D25" s="1038">
        <f ca="1"/>
        <v>0</v>
      </c>
      <c r="E25" s="1038">
        <f ca="1"/>
        <v>0</v>
      </c>
      <c r="F25" s="1038">
        <f t="array" aca="1" ref="F25:F26" ca="1">'Collections &amp; Payments 1'!R25:R26</f>
        <v>0</v>
      </c>
      <c r="G25" s="1037">
        <f t="array" aca="1" ref="G25" ca="1">SUM('Cashing &amp; Payment Policies'!$G$39:$G$46*B$7:B$14)</f>
        <v>0</v>
      </c>
      <c r="H25" s="1037">
        <f t="array" aca="1" ref="H25" ca="1">SUM('Cashing &amp; Payment Policies'!$G$39:$G$46*C$7:C$14)</f>
        <v>0</v>
      </c>
      <c r="I25" s="1037">
        <f t="array" aca="1" ref="I25" ca="1">SUM('Cashing &amp; Payment Policies'!$G$39:$G$46*D$7:D$14)</f>
        <v>0</v>
      </c>
      <c r="J25" s="1037">
        <f t="array" aca="1" ref="J25" ca="1">SUM('Cashing &amp; Payment Policies'!$G$39:$G$46*E$7:E$14)</f>
        <v>0</v>
      </c>
      <c r="K25" s="1037">
        <f t="array" aca="1" ref="K25" ca="1">SUM('Cashing &amp; Payment Policies'!$G$39:$G$46*F$7:F$14)</f>
        <v>0</v>
      </c>
      <c r="L25" s="1037">
        <f t="array" aca="1" ref="L25" ca="1">SUM('Cashing &amp; Payment Policies'!$G$39:$G$46*G$7:G$14)</f>
        <v>0</v>
      </c>
      <c r="M25" s="1037">
        <f t="array" aca="1" ref="M25" ca="1">SUM('Cashing &amp; Payment Policies'!$G$39:$G$46*H$7:H$14)</f>
        <v>0</v>
      </c>
      <c r="N25" s="1037">
        <f t="array" aca="1" ref="N25" ca="1">SUM('Cashing &amp; Payment Policies'!$G$39:$G$46*I$7:I$14)</f>
        <v>0</v>
      </c>
      <c r="O25" s="1037">
        <f t="array" aca="1" ref="O25" ca="1">SUM('Cashing &amp; Payment Policies'!$G$39:$G$46*J$7:J$14)</f>
        <v>0</v>
      </c>
      <c r="P25" s="1037">
        <f t="array" aca="1" ref="P25" ca="1">SUM('Cashing &amp; Payment Policies'!$G$39:$G$46*K$7:K$14)</f>
        <v>0</v>
      </c>
      <c r="Q25" s="1037">
        <f t="array" aca="1" ref="Q25" ca="1">SUM('Cashing &amp; Payment Policies'!$G$39:$G$46*L$7:L$14)</f>
        <v>0</v>
      </c>
      <c r="R25" s="1037">
        <f t="array" aca="1" ref="R25" ca="1">SUM('Cashing &amp; Payment Policies'!$G$39:$G$46*M$7:M$14)</f>
        <v>0</v>
      </c>
      <c r="S25" s="1037"/>
    </row>
    <row r="26" spans="1:19" s="534" customFormat="1" ht="16.149999999999999" customHeight="1">
      <c r="A26" s="2421">
        <v>180</v>
      </c>
      <c r="B26" s="1038">
        <f ca="1"/>
        <v>0</v>
      </c>
      <c r="C26" s="1038">
        <f ca="1"/>
        <v>0</v>
      </c>
      <c r="D26" s="1038">
        <f ca="1"/>
        <v>0</v>
      </c>
      <c r="E26" s="1038">
        <f ca="1"/>
        <v>0</v>
      </c>
      <c r="F26" s="1038">
        <f ca="1"/>
        <v>0</v>
      </c>
      <c r="G26" s="1038">
        <f ca="1">'Collections &amp; Payments 1'!S26</f>
        <v>0</v>
      </c>
      <c r="H26" s="1037">
        <f t="array" aca="1" ref="H26" ca="1">SUM('Cashing &amp; Payment Policies'!$H$39:$H$46*B$7:B$14)</f>
        <v>0</v>
      </c>
      <c r="I26" s="1037">
        <f t="array" aca="1" ref="I26" ca="1">SUM('Cashing &amp; Payment Policies'!$H$39:$H$46*C$7:C$14)</f>
        <v>0</v>
      </c>
      <c r="J26" s="1037">
        <f t="array" aca="1" ref="J26" ca="1">SUM('Cashing &amp; Payment Policies'!$H$39:$H$46*D$7:D$14)</f>
        <v>0</v>
      </c>
      <c r="K26" s="1037">
        <f t="array" aca="1" ref="K26" ca="1">SUM('Cashing &amp; Payment Policies'!$H$39:$H$46*E$7:E$14)</f>
        <v>0</v>
      </c>
      <c r="L26" s="1037">
        <f t="array" aca="1" ref="L26" ca="1">SUM('Cashing &amp; Payment Policies'!$H$39:$H$46*F$7:F$14)</f>
        <v>0</v>
      </c>
      <c r="M26" s="1037">
        <f t="array" aca="1" ref="M26" ca="1">SUM('Cashing &amp; Payment Policies'!$H$39:$H$46*G$7:G$14)</f>
        <v>0</v>
      </c>
      <c r="N26" s="1037">
        <f t="array" aca="1" ref="N26" ca="1">SUM('Cashing &amp; Payment Policies'!$H$39:$H$46*H$7:H$14)</f>
        <v>0</v>
      </c>
      <c r="O26" s="1037">
        <f t="array" aca="1" ref="O26" ca="1">SUM('Cashing &amp; Payment Policies'!$H$39:$H$46*I$7:I$14)</f>
        <v>0</v>
      </c>
      <c r="P26" s="1037">
        <f t="array" aca="1" ref="P26" ca="1">SUM('Cashing &amp; Payment Policies'!$H$39:$H$46*J$7:J$14)</f>
        <v>0</v>
      </c>
      <c r="Q26" s="1037">
        <f t="array" aca="1" ref="Q26" ca="1">SUM('Cashing &amp; Payment Policies'!$H$39:$H$46*K$7:K$14)</f>
        <v>0</v>
      </c>
      <c r="R26" s="1037">
        <f t="array" aca="1" ref="R26" ca="1">SUM('Cashing &amp; Payment Policies'!$H$39:$H$46*L$7:L$14)</f>
        <v>0</v>
      </c>
      <c r="S26" s="1037">
        <f t="array" aca="1" ref="S26" ca="1">SUM('Cashing &amp; Payment Policies'!$H$39:$H$46*M$7:M$14)</f>
        <v>0</v>
      </c>
    </row>
    <row r="27" spans="1:19" s="534" customFormat="1" ht="16.149999999999999" customHeight="1">
      <c r="A27" s="2042" t="str">
        <v>Defaulted credits</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3" t="s">
        <v>577</v>
      </c>
      <c r="B28" s="2043">
        <f t="shared" ref="B28:S28" ca="1" si="3">SUM(B20:B27)</f>
        <v>1347.8734499999998</v>
      </c>
      <c r="C28" s="2043">
        <f t="shared" ca="1" si="3"/>
        <v>1347.8734499999998</v>
      </c>
      <c r="D28" s="2043">
        <f t="shared" ca="1" si="3"/>
        <v>1347.8734499999998</v>
      </c>
      <c r="E28" s="2043">
        <f t="shared" ca="1" si="3"/>
        <v>1347.8734499999998</v>
      </c>
      <c r="F28" s="2043">
        <f t="shared" ca="1" si="3"/>
        <v>1347.8734499999998</v>
      </c>
      <c r="G28" s="2043">
        <f t="shared" ca="1" si="3"/>
        <v>1347.8734499999998</v>
      </c>
      <c r="H28" s="2043">
        <f t="shared" ca="1" si="3"/>
        <v>1347.8734499999998</v>
      </c>
      <c r="I28" s="2043">
        <f t="shared" ca="1" si="3"/>
        <v>1347.8734499999998</v>
      </c>
      <c r="J28" s="2043">
        <f t="shared" ca="1" si="3"/>
        <v>1347.8734499999998</v>
      </c>
      <c r="K28" s="2043">
        <f t="shared" ca="1" si="3"/>
        <v>1347.8734499999998</v>
      </c>
      <c r="L28" s="2043">
        <f t="shared" ca="1" si="3"/>
        <v>1347.8734499999998</v>
      </c>
      <c r="M28" s="2043">
        <f t="shared" ca="1" si="3"/>
        <v>1347.8734499999998</v>
      </c>
      <c r="N28" s="2043">
        <f t="shared" ca="1" si="3"/>
        <v>0</v>
      </c>
      <c r="O28" s="2043">
        <f t="shared" ca="1" si="3"/>
        <v>0</v>
      </c>
      <c r="P28" s="2043">
        <f t="shared" ca="1" si="3"/>
        <v>0</v>
      </c>
      <c r="Q28" s="2043">
        <f t="shared" ca="1" si="3"/>
        <v>0</v>
      </c>
      <c r="R28" s="2043">
        <f t="shared" ca="1" si="3"/>
        <v>0</v>
      </c>
      <c r="S28" s="2043">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2029 ( VAT not incl. )</v>
      </c>
      <c r="S30" s="1043">
        <f ca="1">SUM(N28:S28)</f>
        <v>0</v>
      </c>
    </row>
    <row r="31" spans="1:19" s="534" customFormat="1" ht="17.25" customHeight="1" thickBot="1">
      <c r="A31" s="275"/>
      <c r="B31" s="1040"/>
      <c r="O31" s="1041"/>
      <c r="P31" s="1042"/>
      <c r="Q31" s="1042"/>
      <c r="R31" s="1055" t="str">
        <f>'Collections &amp; Payments 0'!R31</f>
        <v>Yearly Defaulted Credits</v>
      </c>
      <c r="S31" s="1044">
        <f ca="1">-SUM(B27:M27)</f>
        <v>0</v>
      </c>
    </row>
    <row r="32" spans="1:19" s="318" customFormat="1" ht="22.5">
      <c r="A32" s="318" t="str">
        <f>'Collections &amp; Payments 0'!A32</f>
        <v>Purchases &amp; Direct Costs (VAT incl.)</v>
      </c>
      <c r="B32" s="163"/>
      <c r="G32" s="163"/>
      <c r="H32" s="163"/>
    </row>
    <row r="33" spans="1:19" ht="7.5" customHeight="1" thickBot="1">
      <c r="P33" s="541"/>
    </row>
    <row r="34" spans="1:19" ht="15.75" thickBot="1">
      <c r="A34" s="165" t="str">
        <f>'Collections &amp; Payments 0'!A34</f>
        <v>Purchases &amp; Direct Costs</v>
      </c>
      <c r="B34" s="2044" t="str">
        <f t="array" ref="B34:M34">meses</f>
        <v>January</v>
      </c>
      <c r="C34" s="2044" t="str">
        <v>February</v>
      </c>
      <c r="D34" s="2044" t="str">
        <v>March</v>
      </c>
      <c r="E34" s="2044" t="str">
        <v>April</v>
      </c>
      <c r="F34" s="2044" t="str">
        <v>May</v>
      </c>
      <c r="G34" s="2044" t="str">
        <v>June</v>
      </c>
      <c r="H34" s="2044" t="str">
        <v>July</v>
      </c>
      <c r="I34" s="2044" t="str">
        <v>August</v>
      </c>
      <c r="J34" s="2044" t="str">
        <v>September</v>
      </c>
      <c r="K34" s="2044" t="str">
        <v>October</v>
      </c>
      <c r="L34" s="2044" t="str">
        <v>November</v>
      </c>
      <c r="M34" s="2044" t="str">
        <v>December</v>
      </c>
      <c r="N34" s="2045" t="s">
        <v>0</v>
      </c>
      <c r="O34" s="541"/>
    </row>
    <row r="35" spans="1:19" ht="14.25">
      <c r="A35" s="2046" t="str">
        <f t="array" ref="A35:A42">productos</f>
        <v>product 1</v>
      </c>
      <c r="B35" s="1033">
        <f t="array" aca="1" ref="B35:M42" ca="1">'DC Distr 2'!B46:M53+'DC Distr 2'!B59:M66</f>
        <v>134.78734500000002</v>
      </c>
      <c r="C35" s="1033">
        <f ca="1"/>
        <v>134.78734500000002</v>
      </c>
      <c r="D35" s="1033">
        <f ca="1"/>
        <v>134.78734500000002</v>
      </c>
      <c r="E35" s="1033">
        <f ca="1"/>
        <v>134.78734500000002</v>
      </c>
      <c r="F35" s="1033">
        <f ca="1"/>
        <v>134.78734500000002</v>
      </c>
      <c r="G35" s="1033">
        <f ca="1"/>
        <v>134.78734500000002</v>
      </c>
      <c r="H35" s="1033">
        <f ca="1"/>
        <v>134.78734500000002</v>
      </c>
      <c r="I35" s="1033">
        <f ca="1"/>
        <v>134.78734500000002</v>
      </c>
      <c r="J35" s="1033">
        <f ca="1"/>
        <v>134.78734500000002</v>
      </c>
      <c r="K35" s="1033">
        <f ca="1"/>
        <v>134.78734500000002</v>
      </c>
      <c r="L35" s="1033">
        <f ca="1"/>
        <v>134.78734500000002</v>
      </c>
      <c r="M35" s="1033">
        <f ca="1"/>
        <v>134.78734500000002</v>
      </c>
      <c r="N35" s="2047">
        <f t="shared" ref="N35:N42" ca="1" si="4">SUM(B35:M35)</f>
        <v>1617.4481399999997</v>
      </c>
      <c r="O35" s="541"/>
    </row>
    <row r="36" spans="1:19" ht="14.25">
      <c r="A36" s="2048"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7">
        <f t="shared" ca="1" si="4"/>
        <v>0</v>
      </c>
      <c r="O36" s="541"/>
    </row>
    <row r="37" spans="1:19" ht="14.25">
      <c r="A37" s="2048"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7">
        <f t="shared" ca="1" si="4"/>
        <v>0</v>
      </c>
      <c r="O37" s="541"/>
    </row>
    <row r="38" spans="1:19" ht="14.25">
      <c r="A38" s="2048"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7">
        <f t="shared" ca="1" si="4"/>
        <v>0</v>
      </c>
      <c r="O38" s="541"/>
    </row>
    <row r="39" spans="1:19" ht="14.25">
      <c r="A39" s="2048"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7">
        <f t="shared" ca="1" si="4"/>
        <v>0</v>
      </c>
      <c r="O39" s="541"/>
    </row>
    <row r="40" spans="1:19" ht="14.25">
      <c r="A40" s="2048"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7">
        <f t="shared" ca="1" si="4"/>
        <v>0</v>
      </c>
      <c r="O40" s="541"/>
    </row>
    <row r="41" spans="1:19" ht="14.25">
      <c r="A41" s="2048"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7">
        <f t="shared" ca="1" si="4"/>
        <v>0</v>
      </c>
      <c r="O41" s="541"/>
    </row>
    <row r="42" spans="1:19" ht="15" thickBot="1">
      <c r="A42" s="2049"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7">
        <f t="shared" ca="1" si="4"/>
        <v>0</v>
      </c>
      <c r="O42" s="541"/>
    </row>
    <row r="43" spans="1:19" ht="15.75" thickBot="1">
      <c r="A43" s="2050" t="s">
        <v>0</v>
      </c>
      <c r="B43" s="2051">
        <f t="shared" ref="B43:N43" ca="1" si="5">SUM(B35:B42)</f>
        <v>134.78734500000002</v>
      </c>
      <c r="C43" s="2051">
        <f t="shared" ca="1" si="5"/>
        <v>134.78734500000002</v>
      </c>
      <c r="D43" s="2051">
        <f t="shared" ca="1" si="5"/>
        <v>134.78734500000002</v>
      </c>
      <c r="E43" s="2051">
        <f t="shared" ca="1" si="5"/>
        <v>134.78734500000002</v>
      </c>
      <c r="F43" s="2051">
        <f t="shared" ca="1" si="5"/>
        <v>134.78734500000002</v>
      </c>
      <c r="G43" s="2051">
        <f t="shared" ca="1" si="5"/>
        <v>134.78734500000002</v>
      </c>
      <c r="H43" s="2051">
        <f t="shared" ca="1" si="5"/>
        <v>134.78734500000002</v>
      </c>
      <c r="I43" s="2051">
        <f t="shared" ca="1" si="5"/>
        <v>134.78734500000002</v>
      </c>
      <c r="J43" s="2051">
        <f t="shared" ca="1" si="5"/>
        <v>134.78734500000002</v>
      </c>
      <c r="K43" s="2051">
        <f t="shared" ca="1" si="5"/>
        <v>134.78734500000002</v>
      </c>
      <c r="L43" s="2051">
        <f t="shared" ca="1" si="5"/>
        <v>134.78734500000002</v>
      </c>
      <c r="M43" s="2051">
        <f t="shared" ca="1" si="5"/>
        <v>134.78734500000002</v>
      </c>
      <c r="N43" s="2051">
        <f t="shared" ca="1" si="5"/>
        <v>1617.4481399999997</v>
      </c>
      <c r="O43" s="541"/>
    </row>
    <row r="44" spans="1:19">
      <c r="C44" s="541"/>
      <c r="D44" s="541"/>
      <c r="E44" s="541"/>
      <c r="F44" s="541"/>
      <c r="G44" s="541"/>
      <c r="H44" s="541"/>
      <c r="I44" s="541"/>
      <c r="J44" s="541"/>
      <c r="K44" s="541"/>
      <c r="L44" s="541"/>
      <c r="M44" s="541"/>
      <c r="N44" s="541"/>
      <c r="O44" s="541"/>
      <c r="P44" s="541"/>
    </row>
    <row r="45" spans="1:19" s="318" customFormat="1" ht="22.5">
      <c r="A45" s="318" t="str">
        <f>'Collections &amp; Payments 0'!A45</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tr">
        <f>'Collections &amp; Payments 0'!P46</f>
        <v>Pending for the following year:</v>
      </c>
      <c r="Q46" s="1036" t="str">
        <f>Q18</f>
        <v>2029</v>
      </c>
    </row>
    <row r="47" spans="1:19" ht="27.75" customHeight="1" thickBot="1">
      <c r="A47" s="165" t="str">
        <f t="array" ref="A47:A54">'Collections &amp; Payments 0'!A47:A54</f>
        <v>Payment Instalments</v>
      </c>
      <c r="B47" s="2040" t="str">
        <f t="array" ref="B47:S47">B19:S19</f>
        <v>January 
2028</v>
      </c>
      <c r="C47" s="2040" t="str">
        <v>February 
2028</v>
      </c>
      <c r="D47" s="2040" t="str">
        <v>March 
2028</v>
      </c>
      <c r="E47" s="2040" t="str">
        <v>April 
2028</v>
      </c>
      <c r="F47" s="2040" t="str">
        <v>May 
2028</v>
      </c>
      <c r="G47" s="2040" t="str">
        <v>June 
2028</v>
      </c>
      <c r="H47" s="2040" t="str">
        <v>July 
2028</v>
      </c>
      <c r="I47" s="2040" t="str">
        <v>August 
2028</v>
      </c>
      <c r="J47" s="2040" t="str">
        <v>September 
2028</v>
      </c>
      <c r="K47" s="2040" t="str">
        <v>October 
2028</v>
      </c>
      <c r="L47" s="2040" t="str">
        <v>November 
2028</v>
      </c>
      <c r="M47" s="2040" t="str">
        <v>December 
2028</v>
      </c>
      <c r="N47" s="2040" t="str">
        <v>January 
2029</v>
      </c>
      <c r="O47" s="2040" t="str">
        <v>February 
2029</v>
      </c>
      <c r="P47" s="2040" t="str">
        <v>March 
2029</v>
      </c>
      <c r="Q47" s="2040" t="str">
        <v>April 
2029</v>
      </c>
      <c r="R47" s="2040" t="str">
        <v>May 
2029</v>
      </c>
      <c r="S47" s="2040" t="str">
        <v>June 
2029</v>
      </c>
    </row>
    <row r="48" spans="1:19" ht="14.25">
      <c r="A48" s="2041" t="str">
        <v>In Cash</v>
      </c>
      <c r="B48" s="1033">
        <f t="array" aca="1" ref="B48" ca="1">SUM('Cashing &amp; Payment Policies'!$B$88:$B$95*B$35:B$42)</f>
        <v>134.78734500000002</v>
      </c>
      <c r="C48" s="1033">
        <f t="array" aca="1" ref="C48" ca="1">SUM('Cashing &amp; Payment Policies'!$B$88:$B$95*C$35:C$42)</f>
        <v>134.78734500000002</v>
      </c>
      <c r="D48" s="1033">
        <f t="array" aca="1" ref="D48" ca="1">SUM('Cashing &amp; Payment Policies'!$B$88:$B$95*D$35:D$42)</f>
        <v>134.78734500000002</v>
      </c>
      <c r="E48" s="1033">
        <f t="array" aca="1" ref="E48" ca="1">SUM('Cashing &amp; Payment Policies'!$B$88:$B$95*E$35:E$42)</f>
        <v>134.78734500000002</v>
      </c>
      <c r="F48" s="1033">
        <f t="array" aca="1" ref="F48" ca="1">SUM('Cashing &amp; Payment Policies'!$B$88:$B$95*F$35:F$42)</f>
        <v>134.78734500000002</v>
      </c>
      <c r="G48" s="1033">
        <f t="array" aca="1" ref="G48" ca="1">SUM('Cashing &amp; Payment Policies'!$B$88:$B$95*G$35:G$42)</f>
        <v>134.78734500000002</v>
      </c>
      <c r="H48" s="1033">
        <f t="array" aca="1" ref="H48" ca="1">SUM('Cashing &amp; Payment Policies'!$B$88:$B$95*H$35:H$42)</f>
        <v>134.78734500000002</v>
      </c>
      <c r="I48" s="1033">
        <f t="array" aca="1" ref="I48" ca="1">SUM('Cashing &amp; Payment Policies'!$B$88:$B$95*I$35:I$42)</f>
        <v>134.78734500000002</v>
      </c>
      <c r="J48" s="1033">
        <f t="array" aca="1" ref="J48" ca="1">SUM('Cashing &amp; Payment Policies'!$B$88:$B$95*J$35:J$42)</f>
        <v>134.78734500000002</v>
      </c>
      <c r="K48" s="1033">
        <f t="array" aca="1" ref="K48" ca="1">SUM('Cashing &amp; Payment Policies'!$B$88:$B$95*K$35:K$42)</f>
        <v>134.78734500000002</v>
      </c>
      <c r="L48" s="1033">
        <f t="array" aca="1" ref="L48" ca="1">SUM('Cashing &amp; Payment Policies'!$B$88:$B$95*L$35:L$42)</f>
        <v>134.78734500000002</v>
      </c>
      <c r="M48" s="1033">
        <f t="array" aca="1" ref="M48" ca="1">SUM('Cashing &amp; Payment Policies'!$B$88:$B$95*M$35:M$42)</f>
        <v>134.78734500000002</v>
      </c>
      <c r="N48" s="1033"/>
      <c r="O48" s="1033"/>
      <c r="P48" s="1033"/>
      <c r="Q48" s="1033"/>
      <c r="R48" s="1033"/>
      <c r="S48" s="1033"/>
    </row>
    <row r="49" spans="1:19" ht="14.25">
      <c r="A49" s="2421">
        <v>30</v>
      </c>
      <c r="B49" s="1045">
        <f t="array" aca="1" ref="B49:B54" ca="1">'Collections &amp; Payments 1'!N49:N54</f>
        <v>0</v>
      </c>
      <c r="C49" s="1033">
        <f t="array" aca="1" ref="C49" ca="1">SUM('Cashing &amp; Payment Policies'!$C$88:$C$95*B$35:B$42)</f>
        <v>0</v>
      </c>
      <c r="D49" s="1033">
        <f t="array" aca="1" ref="D49" ca="1">SUM('Cashing &amp; Payment Policies'!$C$88:$C$95*C$35:C$42)</f>
        <v>0</v>
      </c>
      <c r="E49" s="1033">
        <f t="array" aca="1" ref="E49" ca="1">SUM('Cashing &amp; Payment Policies'!$C$88:$C$95*D$35:D$42)</f>
        <v>0</v>
      </c>
      <c r="F49" s="1033">
        <f t="array" aca="1" ref="F49" ca="1">SUM('Cashing &amp; Payment Policies'!$C$88:$C$95*E$35:E$42)</f>
        <v>0</v>
      </c>
      <c r="G49" s="1033">
        <f t="array" aca="1" ref="G49" ca="1">SUM('Cashing &amp; Payment Policies'!$C$88:$C$95*F$35:F$42)</f>
        <v>0</v>
      </c>
      <c r="H49" s="1033">
        <f t="array" aca="1" ref="H49" ca="1">SUM('Cashing &amp; Payment Policies'!$C$88:$C$95*G$35:G$42)</f>
        <v>0</v>
      </c>
      <c r="I49" s="1033">
        <f t="array" aca="1" ref="I49" ca="1">SUM('Cashing &amp; Payment Policies'!$C$88:$C$95*H$35:H$42)</f>
        <v>0</v>
      </c>
      <c r="J49" s="1033">
        <f t="array" aca="1" ref="J49" ca="1">SUM('Cashing &amp; Payment Policies'!$C$88:$C$95*I$35:I$42)</f>
        <v>0</v>
      </c>
      <c r="K49" s="1033">
        <f t="array" aca="1" ref="K49" ca="1">SUM('Cashing &amp; Payment Policies'!$C$88:$C$95*J$35:J$42)</f>
        <v>0</v>
      </c>
      <c r="L49" s="1033">
        <f t="array" aca="1" ref="L49" ca="1">SUM('Cashing &amp; Payment Policies'!$C$88:$C$95*K$35:K$42)</f>
        <v>0</v>
      </c>
      <c r="M49" s="1033">
        <f t="array" aca="1" ref="M49" ca="1">SUM('Cashing &amp; Payment Policies'!$C$88:$C$95*L$35:L$42)</f>
        <v>0</v>
      </c>
      <c r="N49" s="1033">
        <f t="array" aca="1" ref="N49" ca="1">SUM('Cashing &amp; Payment Policies'!$C$88:$C$95*M$35:M$42)</f>
        <v>0</v>
      </c>
      <c r="O49" s="1033"/>
      <c r="P49" s="1033"/>
      <c r="Q49" s="1033"/>
      <c r="R49" s="1033"/>
      <c r="S49" s="1033"/>
    </row>
    <row r="50" spans="1:19" ht="14.25">
      <c r="A50" s="2421">
        <v>60</v>
      </c>
      <c r="B50" s="1045">
        <f ca="1"/>
        <v>0</v>
      </c>
      <c r="C50" s="1045">
        <f t="array" aca="1" ref="C50:C54" ca="1">'Collections &amp; Payments 1'!O50:O54</f>
        <v>0</v>
      </c>
      <c r="D50" s="1033">
        <f t="array" aca="1" ref="D50" ca="1">SUM('Cashing &amp; Payment Policies'!$D$88:$D$95*B$35:B$42)</f>
        <v>0</v>
      </c>
      <c r="E50" s="1033">
        <f t="array" aca="1" ref="E50" ca="1">SUM('Cashing &amp; Payment Policies'!$D$88:$D$95*C$35:C$42)</f>
        <v>0</v>
      </c>
      <c r="F50" s="1033">
        <f t="array" aca="1" ref="F50" ca="1">SUM('Cashing &amp; Payment Policies'!$D$88:$D$95*D$35:D$42)</f>
        <v>0</v>
      </c>
      <c r="G50" s="1033">
        <f t="array" aca="1" ref="G50" ca="1">SUM('Cashing &amp; Payment Policies'!$D$88:$D$95*E$35:E$42)</f>
        <v>0</v>
      </c>
      <c r="H50" s="1033">
        <f t="array" aca="1" ref="H50" ca="1">SUM('Cashing &amp; Payment Policies'!$D$88:$D$95*F$35:F$42)</f>
        <v>0</v>
      </c>
      <c r="I50" s="1033">
        <f t="array" aca="1" ref="I50" ca="1">SUM('Cashing &amp; Payment Policies'!$D$88:$D$95*G$35:G$42)</f>
        <v>0</v>
      </c>
      <c r="J50" s="1033">
        <f t="array" aca="1" ref="J50" ca="1">SUM('Cashing &amp; Payment Policies'!$D$88:$D$95*H$35:H$42)</f>
        <v>0</v>
      </c>
      <c r="K50" s="1033">
        <f t="array" aca="1" ref="K50" ca="1">SUM('Cashing &amp; Payment Policies'!$D$88:$D$95*I$35:I$42)</f>
        <v>0</v>
      </c>
      <c r="L50" s="1033">
        <f t="array" aca="1" ref="L50" ca="1">SUM('Cashing &amp; Payment Policies'!$D$88:$D$95*J$35:J$42)</f>
        <v>0</v>
      </c>
      <c r="M50" s="1033">
        <f t="array" aca="1" ref="M50" ca="1">SUM('Cashing &amp; Payment Policies'!$D$88:$D$95*K$35:K$42)</f>
        <v>0</v>
      </c>
      <c r="N50" s="1033">
        <f t="array" aca="1" ref="N50" ca="1">SUM('Cashing &amp; Payment Policies'!$D$88:$D$95*L$35:L$42)</f>
        <v>0</v>
      </c>
      <c r="O50" s="1033">
        <f t="array" aca="1" ref="O50" ca="1">SUM('Cashing &amp; Payment Policies'!$D$88:$D$95*M$35:M$42)</f>
        <v>0</v>
      </c>
      <c r="P50" s="1033"/>
      <c r="Q50" s="1033"/>
      <c r="R50" s="1033"/>
      <c r="S50" s="1033"/>
    </row>
    <row r="51" spans="1:19" ht="14.25">
      <c r="A51" s="2421">
        <v>90</v>
      </c>
      <c r="B51" s="1045">
        <f ca="1"/>
        <v>0</v>
      </c>
      <c r="C51" s="1045">
        <f ca="1"/>
        <v>0</v>
      </c>
      <c r="D51" s="1045">
        <f t="array" aca="1" ref="D51:D54" ca="1">'Collections &amp; Payments 1'!P51:P54</f>
        <v>0</v>
      </c>
      <c r="E51" s="1033">
        <f t="array" aca="1" ref="E51" ca="1">SUM('Cashing &amp; Payment Policies'!$E$88:$E$95*B$35:B$42)</f>
        <v>0</v>
      </c>
      <c r="F51" s="1033">
        <f t="array" aca="1" ref="F51" ca="1">SUM('Cashing &amp; Payment Policies'!$E$88:$E$95*C$35:C$42)</f>
        <v>0</v>
      </c>
      <c r="G51" s="1033">
        <f t="array" aca="1" ref="G51" ca="1">SUM('Cashing &amp; Payment Policies'!$E$88:$E$95*D$35:D$42)</f>
        <v>0</v>
      </c>
      <c r="H51" s="1033">
        <f t="array" aca="1" ref="H51" ca="1">SUM('Cashing &amp; Payment Policies'!$E$88:$E$95*E$35:E$42)</f>
        <v>0</v>
      </c>
      <c r="I51" s="1033">
        <f t="array" aca="1" ref="I51" ca="1">SUM('Cashing &amp; Payment Policies'!$E$88:$E$95*F$35:F$42)</f>
        <v>0</v>
      </c>
      <c r="J51" s="1033">
        <f t="array" aca="1" ref="J51" ca="1">SUM('Cashing &amp; Payment Policies'!$E$88:$E$95*G$35:G$42)</f>
        <v>0</v>
      </c>
      <c r="K51" s="1033">
        <f t="array" aca="1" ref="K51" ca="1">SUM('Cashing &amp; Payment Policies'!$E$88:$E$95*H$35:H$42)</f>
        <v>0</v>
      </c>
      <c r="L51" s="1033">
        <f t="array" aca="1" ref="L51" ca="1">SUM('Cashing &amp; Payment Policies'!$E$88:$E$95*I$35:I$42)</f>
        <v>0</v>
      </c>
      <c r="M51" s="1033">
        <f t="array" aca="1" ref="M51" ca="1">SUM('Cashing &amp; Payment Policies'!$E$88:$E$95*J$35:J$42)</f>
        <v>0</v>
      </c>
      <c r="N51" s="1033">
        <f t="array" aca="1" ref="N51" ca="1">SUM('Cashing &amp; Payment Policies'!$E$88:$E$95*K$35:K$42)</f>
        <v>0</v>
      </c>
      <c r="O51" s="1033">
        <f t="array" aca="1" ref="O51" ca="1">SUM('Cashing &amp; Payment Policies'!$E$88:$E$95*L$35:L$42)</f>
        <v>0</v>
      </c>
      <c r="P51" s="1033">
        <f t="array" aca="1" ref="P51" ca="1">SUM('Cashing &amp; Payment Policies'!$E$88:$E$95*M$35:M$42)</f>
        <v>0</v>
      </c>
      <c r="Q51" s="1033"/>
      <c r="R51" s="1033"/>
      <c r="S51" s="1033"/>
    </row>
    <row r="52" spans="1:19" ht="14.25">
      <c r="A52" s="2421">
        <v>120</v>
      </c>
      <c r="B52" s="1045">
        <f ca="1"/>
        <v>0</v>
      </c>
      <c r="C52" s="1045">
        <f ca="1"/>
        <v>0</v>
      </c>
      <c r="D52" s="1045">
        <f ca="1"/>
        <v>0</v>
      </c>
      <c r="E52" s="1045">
        <f t="array" aca="1" ref="E52:E54" ca="1">'Collections &amp; Payments 1'!Q52:Q54</f>
        <v>0</v>
      </c>
      <c r="F52" s="1033">
        <f t="array" aca="1" ref="F52" ca="1">SUM('Cashing &amp; Payment Policies'!$F$88:$F$95*B$35:B$42)</f>
        <v>0</v>
      </c>
      <c r="G52" s="1033">
        <f t="array" aca="1" ref="G52" ca="1">SUM('Cashing &amp; Payment Policies'!$F$88:$F$95*C$35:C$42)</f>
        <v>0</v>
      </c>
      <c r="H52" s="1033">
        <f t="array" aca="1" ref="H52" ca="1">SUM('Cashing &amp; Payment Policies'!$F$88:$F$95*D$35:D$42)</f>
        <v>0</v>
      </c>
      <c r="I52" s="1033">
        <f t="array" aca="1" ref="I52" ca="1">SUM('Cashing &amp; Payment Policies'!$F$88:$F$95*E$35:E$42)</f>
        <v>0</v>
      </c>
      <c r="J52" s="1033">
        <f t="array" aca="1" ref="J52" ca="1">SUM('Cashing &amp; Payment Policies'!$F$88:$F$95*F$35:F$42)</f>
        <v>0</v>
      </c>
      <c r="K52" s="1033">
        <f t="array" aca="1" ref="K52" ca="1">SUM('Cashing &amp; Payment Policies'!$F$88:$F$95*G$35:G$42)</f>
        <v>0</v>
      </c>
      <c r="L52" s="1033">
        <f t="array" aca="1" ref="L52" ca="1">SUM('Cashing &amp; Payment Policies'!$F$88:$F$95*H$35:H$42)</f>
        <v>0</v>
      </c>
      <c r="M52" s="1033">
        <f t="array" aca="1" ref="M52" ca="1">SUM('Cashing &amp; Payment Policies'!$F$88:$F$95*I$35:I$42)</f>
        <v>0</v>
      </c>
      <c r="N52" s="1033">
        <f t="array" aca="1" ref="N52" ca="1">SUM('Cashing &amp; Payment Policies'!$F$88:$F$95*J$35:J$42)</f>
        <v>0</v>
      </c>
      <c r="O52" s="1033">
        <f t="array" aca="1" ref="O52" ca="1">SUM('Cashing &amp; Payment Policies'!$F$88:$F$95*K$35:K$42)</f>
        <v>0</v>
      </c>
      <c r="P52" s="1033">
        <f t="array" aca="1" ref="P52" ca="1">SUM('Cashing &amp; Payment Policies'!$F$88:$F$95*L$35:L$42)</f>
        <v>0</v>
      </c>
      <c r="Q52" s="1033">
        <f t="array" aca="1" ref="Q52" ca="1">SUM('Cashing &amp; Payment Policies'!$F$88:$F$95*M$35:M$42)</f>
        <v>0</v>
      </c>
      <c r="R52" s="1033"/>
      <c r="S52" s="1033"/>
    </row>
    <row r="53" spans="1:19" ht="14.25">
      <c r="A53" s="2421">
        <v>150</v>
      </c>
      <c r="B53" s="1045">
        <f ca="1"/>
        <v>0</v>
      </c>
      <c r="C53" s="1045">
        <f ca="1"/>
        <v>0</v>
      </c>
      <c r="D53" s="1045">
        <f ca="1"/>
        <v>0</v>
      </c>
      <c r="E53" s="1045">
        <f ca="1"/>
        <v>0</v>
      </c>
      <c r="F53" s="1045">
        <f t="array" aca="1" ref="F53:F54" ca="1">'Collections &amp; Payments 1'!R53:R54</f>
        <v>0</v>
      </c>
      <c r="G53" s="1033">
        <f t="array" aca="1" ref="G53" ca="1">SUM('Cashing &amp; Payment Policies'!$G$88:$G$95*B$35:B$42)</f>
        <v>0</v>
      </c>
      <c r="H53" s="1033">
        <f t="array" aca="1" ref="H53" ca="1">SUM('Cashing &amp; Payment Policies'!$G$88:$G$95*C$35:C$42)</f>
        <v>0</v>
      </c>
      <c r="I53" s="1033">
        <f t="array" aca="1" ref="I53" ca="1">SUM('Cashing &amp; Payment Policies'!$G$88:$G$95*D$35:D$42)</f>
        <v>0</v>
      </c>
      <c r="J53" s="1033">
        <f t="array" aca="1" ref="J53" ca="1">SUM('Cashing &amp; Payment Policies'!$G$88:$G$95*E$35:E$42)</f>
        <v>0</v>
      </c>
      <c r="K53" s="1033">
        <f t="array" aca="1" ref="K53" ca="1">SUM('Cashing &amp; Payment Policies'!$G$88:$G$95*F$35:F$42)</f>
        <v>0</v>
      </c>
      <c r="L53" s="1033">
        <f t="array" aca="1" ref="L53" ca="1">SUM('Cashing &amp; Payment Policies'!$G$88:$G$95*G$35:G$42)</f>
        <v>0</v>
      </c>
      <c r="M53" s="1033">
        <f t="array" aca="1" ref="M53" ca="1">SUM('Cashing &amp; Payment Policies'!$G$88:$G$95*H$35:H$42)</f>
        <v>0</v>
      </c>
      <c r="N53" s="1033">
        <f t="array" aca="1" ref="N53" ca="1">SUM('Cashing &amp; Payment Policies'!$G$88:$G$95*I$35:I$42)</f>
        <v>0</v>
      </c>
      <c r="O53" s="1033">
        <f t="array" aca="1" ref="O53" ca="1">SUM('Cashing &amp; Payment Policies'!$G$88:$G$95*J$35:J$42)</f>
        <v>0</v>
      </c>
      <c r="P53" s="1033">
        <f t="array" aca="1" ref="P53" ca="1">SUM('Cashing &amp; Payment Policies'!$G$88:$G$95*K$35:K$42)</f>
        <v>0</v>
      </c>
      <c r="Q53" s="1033">
        <f t="array" aca="1" ref="Q53" ca="1">SUM('Cashing &amp; Payment Policies'!$G$88:$G$95*L$35:L$42)</f>
        <v>0</v>
      </c>
      <c r="R53" s="1033">
        <f t="array" aca="1" ref="R53" ca="1">SUM('Cashing &amp; Payment Policies'!$G$88:$G$95*M$35:M$42)</f>
        <v>0</v>
      </c>
      <c r="S53" s="1033"/>
    </row>
    <row r="54" spans="1:19" ht="14.25">
      <c r="A54" s="2422">
        <v>180</v>
      </c>
      <c r="B54" s="1045">
        <f ca="1"/>
        <v>0</v>
      </c>
      <c r="C54" s="1045">
        <f ca="1"/>
        <v>0</v>
      </c>
      <c r="D54" s="1045">
        <f ca="1"/>
        <v>0</v>
      </c>
      <c r="E54" s="1045">
        <f ca="1"/>
        <v>0</v>
      </c>
      <c r="F54" s="1045">
        <f ca="1"/>
        <v>0</v>
      </c>
      <c r="G54" s="1045">
        <f ca="1">'Collections &amp; Payments 1'!S54</f>
        <v>0</v>
      </c>
      <c r="H54" s="1033">
        <f t="array" aca="1" ref="H54" ca="1">SUM('Cashing &amp; Payment Policies'!$H$88:$H$95*B$35:B$42)</f>
        <v>0</v>
      </c>
      <c r="I54" s="1033">
        <f t="array" aca="1" ref="I54" ca="1">SUM('Cashing &amp; Payment Policies'!$H$88:$H$95*C$35:C$42)</f>
        <v>0</v>
      </c>
      <c r="J54" s="1033">
        <f t="array" aca="1" ref="J54" ca="1">SUM('Cashing &amp; Payment Policies'!$H$88:$H$95*D$35:D$42)</f>
        <v>0</v>
      </c>
      <c r="K54" s="1033">
        <f t="array" aca="1" ref="K54" ca="1">SUM('Cashing &amp; Payment Policies'!$H$88:$H$95*E$35:E$42)</f>
        <v>0</v>
      </c>
      <c r="L54" s="1033">
        <f t="array" aca="1" ref="L54" ca="1">SUM('Cashing &amp; Payment Policies'!$H$88:$H$95*F$35:F$42)</f>
        <v>0</v>
      </c>
      <c r="M54" s="1033">
        <f t="array" aca="1" ref="M54" ca="1">SUM('Cashing &amp; Payment Policies'!$H$88:$H$95*G$35:G$42)</f>
        <v>0</v>
      </c>
      <c r="N54" s="1033">
        <f t="array" aca="1" ref="N54" ca="1">SUM('Cashing &amp; Payment Policies'!$H$88:$H$95*H$35:H$42)</f>
        <v>0</v>
      </c>
      <c r="O54" s="1033">
        <f t="array" aca="1" ref="O54" ca="1">SUM('Cashing &amp; Payment Policies'!$H$88:$H$95*I$35:I$42)</f>
        <v>0</v>
      </c>
      <c r="P54" s="1033">
        <f t="array" aca="1" ref="P54" ca="1">SUM('Cashing &amp; Payment Policies'!$H$88:$H$95*J$35:J$42)</f>
        <v>0</v>
      </c>
      <c r="Q54" s="1033">
        <f t="array" aca="1" ref="Q54" ca="1">SUM('Cashing &amp; Payment Policies'!$H$88:$H$95*K$35:K$42)</f>
        <v>0</v>
      </c>
      <c r="R54" s="1033">
        <f t="array" aca="1" ref="R54" ca="1">SUM('Cashing &amp; Payment Policies'!$H$88:$H$95*L$35:L$42)</f>
        <v>0</v>
      </c>
      <c r="S54" s="1033">
        <f t="array" aca="1" ref="S54" ca="1">SUM('Cashing &amp; Payment Policies'!$H$88:$H$95*M$35:M$42)</f>
        <v>0</v>
      </c>
    </row>
    <row r="55" spans="1:19" ht="15.75" thickBot="1">
      <c r="A55" s="2423" t="s">
        <v>577</v>
      </c>
      <c r="B55" s="2052">
        <f t="shared" ref="B55:S55" ca="1" si="6">SUM(B48:B54)</f>
        <v>134.78734500000002</v>
      </c>
      <c r="C55" s="2052">
        <f t="shared" ca="1" si="6"/>
        <v>134.78734500000002</v>
      </c>
      <c r="D55" s="2052">
        <f t="shared" ca="1" si="6"/>
        <v>134.78734500000002</v>
      </c>
      <c r="E55" s="2052">
        <f t="shared" ca="1" si="6"/>
        <v>134.78734500000002</v>
      </c>
      <c r="F55" s="2052">
        <f t="shared" ca="1" si="6"/>
        <v>134.78734500000002</v>
      </c>
      <c r="G55" s="2052">
        <f t="shared" ca="1" si="6"/>
        <v>134.78734500000002</v>
      </c>
      <c r="H55" s="2052">
        <f t="shared" ca="1" si="6"/>
        <v>134.78734500000002</v>
      </c>
      <c r="I55" s="2052">
        <f t="shared" ca="1" si="6"/>
        <v>134.78734500000002</v>
      </c>
      <c r="J55" s="2052">
        <f t="shared" ca="1" si="6"/>
        <v>134.78734500000002</v>
      </c>
      <c r="K55" s="2052">
        <f t="shared" ca="1" si="6"/>
        <v>134.78734500000002</v>
      </c>
      <c r="L55" s="2052">
        <f t="shared" ca="1" si="6"/>
        <v>134.78734500000002</v>
      </c>
      <c r="M55" s="2052">
        <f t="shared" ca="1" si="6"/>
        <v>134.78734500000002</v>
      </c>
      <c r="N55" s="2052">
        <f t="shared" ca="1" si="6"/>
        <v>0</v>
      </c>
      <c r="O55" s="2052">
        <f t="shared" ca="1" si="6"/>
        <v>0</v>
      </c>
      <c r="P55" s="2052">
        <f t="shared" ca="1" si="6"/>
        <v>0</v>
      </c>
      <c r="Q55" s="2052">
        <f t="shared" ca="1" si="6"/>
        <v>0</v>
      </c>
      <c r="R55" s="2052">
        <f t="shared" ca="1" si="6"/>
        <v>0</v>
      </c>
      <c r="S55" s="2052">
        <f t="shared" ca="1" si="6"/>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2029 ( VAT not incl.)</v>
      </c>
      <c r="S57" s="1057">
        <f ca="1">SUM(N55:S55)</f>
        <v>0</v>
      </c>
    </row>
  </sheetData>
  <sheetProtection sheet="1" objects="1" scenarios="1"/>
  <phoneticPr fontId="7"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10"/>
    <pageSetUpPr fitToPage="1"/>
  </sheetPr>
  <dimension ref="B1:K57"/>
  <sheetViews>
    <sheetView zoomScale="75" zoomScaleNormal="75" workbookViewId="0">
      <selection activeCell="H10" sqref="H10"/>
    </sheetView>
  </sheetViews>
  <sheetFormatPr baseColWidth="10" defaultColWidth="11" defaultRowHeight="15"/>
  <cols>
    <col min="1" max="1" width="11" style="35"/>
    <col min="2" max="2" width="5.875" style="35" customWidth="1"/>
    <col min="3" max="3" width="40.75" style="35" customWidth="1"/>
    <col min="4" max="4" width="19.25" style="35" customWidth="1"/>
    <col min="5" max="5" width="6.625" style="35" customWidth="1"/>
    <col min="6" max="6" width="5.75" style="35" customWidth="1"/>
    <col min="7" max="7" width="40.75" style="35" customWidth="1"/>
    <col min="8" max="8" width="19.25" style="35" customWidth="1"/>
    <col min="9" max="9" width="11" style="35"/>
    <col min="10" max="10" width="38.5" style="35" customWidth="1"/>
    <col min="11" max="11" width="13" style="35" bestFit="1" customWidth="1"/>
    <col min="12" max="12" width="12.375" style="35" customWidth="1"/>
    <col min="13" max="16384" width="11" style="35"/>
  </cols>
  <sheetData>
    <row r="1" spans="2:8" ht="25.5">
      <c r="C1" s="2225"/>
      <c r="D1" s="2225"/>
      <c r="E1" s="2225" t="str">
        <f>CONCATENATE("Company / Project: ",'Base Data'!$B$9)</f>
        <v>Company / Project: WWW, Ltd.</v>
      </c>
      <c r="F1" s="2225"/>
      <c r="G1" s="2225"/>
      <c r="H1" s="2225"/>
    </row>
    <row r="2" spans="2:8" ht="12" customHeight="1"/>
    <row r="3" spans="2:8" s="918" customFormat="1" ht="27">
      <c r="C3" s="917"/>
      <c r="D3" s="917"/>
      <c r="E3" s="2281" t="str">
        <f>CONCATENATE("INITIAL BALANCE SHEET YEAR  ",Parameters!D65)</f>
        <v>INITIAL BALANCE SHEET YEAR  2026</v>
      </c>
      <c r="F3" s="917"/>
      <c r="G3" s="917"/>
      <c r="H3" s="917"/>
    </row>
    <row r="4" spans="2:8" s="97" customFormat="1" ht="22.5">
      <c r="C4" s="1549"/>
      <c r="E4" s="1550" t="str">
        <f>TEXT(INDEX(Parameters!A61:A72,mes0,1),"[$-409]mmmm \1\s\t\, aaaa")</f>
        <v>January 1st, 2026</v>
      </c>
      <c r="H4" s="2371">
        <f>consolidacion</f>
        <v>0</v>
      </c>
    </row>
    <row r="6" spans="2:8" ht="15.75" thickBot="1"/>
    <row r="7" spans="2:8" ht="19.5">
      <c r="B7" s="248"/>
      <c r="C7" s="1605" t="s">
        <v>238</v>
      </c>
      <c r="D7" s="369"/>
      <c r="F7" s="248"/>
      <c r="G7" s="1606" t="s">
        <v>239</v>
      </c>
      <c r="H7" s="369"/>
    </row>
    <row r="8" spans="2:8">
      <c r="B8" s="103"/>
      <c r="D8" s="373"/>
      <c r="F8" s="103"/>
      <c r="H8" s="373"/>
    </row>
    <row r="9" spans="2:8" ht="18">
      <c r="B9" s="1590" t="s">
        <v>291</v>
      </c>
      <c r="C9" s="626"/>
      <c r="D9" s="1591">
        <f>SUM(D10:D19)</f>
        <v>0</v>
      </c>
      <c r="F9" s="1590" t="s">
        <v>240</v>
      </c>
      <c r="G9" s="626"/>
      <c r="H9" s="1591">
        <f>SUM(H10:H14)</f>
        <v>0</v>
      </c>
    </row>
    <row r="10" spans="2:8">
      <c r="B10" s="2202" t="s">
        <v>139</v>
      </c>
      <c r="C10" s="39" t="s">
        <v>244</v>
      </c>
      <c r="D10" s="2203">
        <v>0</v>
      </c>
      <c r="F10" s="2202" t="s">
        <v>139</v>
      </c>
      <c r="G10" s="1411" t="str">
        <f>'Balance Sheet Statements (EU)'!A27</f>
        <v>Capital Stock</v>
      </c>
      <c r="H10" s="2204">
        <v>0</v>
      </c>
    </row>
    <row r="11" spans="2:8">
      <c r="B11" s="2202"/>
      <c r="C11" s="2205" t="s">
        <v>54</v>
      </c>
      <c r="D11" s="2206">
        <v>0</v>
      </c>
      <c r="F11" s="2202" t="s">
        <v>140</v>
      </c>
      <c r="G11" s="35" t="s">
        <v>262</v>
      </c>
      <c r="H11" s="2207">
        <v>0</v>
      </c>
    </row>
    <row r="12" spans="2:8">
      <c r="B12" s="2202" t="s">
        <v>141</v>
      </c>
      <c r="C12" s="39" t="s">
        <v>251</v>
      </c>
      <c r="D12" s="2208">
        <v>0</v>
      </c>
      <c r="F12" s="2202" t="s">
        <v>142</v>
      </c>
      <c r="G12" s="35" t="s">
        <v>278</v>
      </c>
      <c r="H12" s="2209">
        <v>0</v>
      </c>
    </row>
    <row r="13" spans="2:8">
      <c r="B13" s="2202"/>
      <c r="C13" s="2205" t="s">
        <v>53</v>
      </c>
      <c r="D13" s="2206">
        <v>0</v>
      </c>
      <c r="F13" s="2202" t="s">
        <v>143</v>
      </c>
      <c r="G13" s="35" t="s">
        <v>279</v>
      </c>
      <c r="H13" s="2209">
        <v>0</v>
      </c>
    </row>
    <row r="14" spans="2:8">
      <c r="B14" s="2202" t="s">
        <v>144</v>
      </c>
      <c r="C14" s="39" t="s">
        <v>245</v>
      </c>
      <c r="D14" s="2210">
        <v>0</v>
      </c>
      <c r="F14" s="2202" t="s">
        <v>145</v>
      </c>
      <c r="G14" s="35" t="s">
        <v>254</v>
      </c>
      <c r="H14" s="2203">
        <v>0</v>
      </c>
    </row>
    <row r="15" spans="2:8">
      <c r="B15" s="103"/>
      <c r="D15" s="373"/>
      <c r="F15" s="2202"/>
      <c r="H15" s="2209"/>
    </row>
    <row r="16" spans="2:8" ht="18">
      <c r="B16" s="2202" t="s">
        <v>146</v>
      </c>
      <c r="C16" s="39" t="s">
        <v>1091</v>
      </c>
      <c r="D16" s="2208">
        <v>0</v>
      </c>
      <c r="F16" s="1590" t="s">
        <v>241</v>
      </c>
      <c r="G16" s="626"/>
      <c r="H16" s="1591">
        <f>H17+H24</f>
        <v>0</v>
      </c>
    </row>
    <row r="17" spans="2:9" ht="18">
      <c r="B17" s="2202" t="s">
        <v>143</v>
      </c>
      <c r="C17" s="39" t="s">
        <v>246</v>
      </c>
      <c r="D17" s="2319">
        <v>0</v>
      </c>
      <c r="F17" s="1590" t="s">
        <v>242</v>
      </c>
      <c r="G17" s="674"/>
      <c r="H17" s="1602">
        <f>SUM(H18:H22)</f>
        <v>0</v>
      </c>
    </row>
    <row r="18" spans="2:9">
      <c r="B18" s="2202" t="s">
        <v>147</v>
      </c>
      <c r="C18" s="39" t="s">
        <v>247</v>
      </c>
      <c r="D18" s="2208">
        <v>0</v>
      </c>
      <c r="F18" s="2202" t="s">
        <v>148</v>
      </c>
      <c r="G18" s="35" t="s">
        <v>281</v>
      </c>
      <c r="H18" s="2211">
        <f>H39-H25</f>
        <v>0</v>
      </c>
      <c r="I18" s="914"/>
    </row>
    <row r="19" spans="2:9">
      <c r="B19" s="2202"/>
      <c r="C19" s="39" t="s">
        <v>248</v>
      </c>
      <c r="D19" s="2213">
        <f>+'Initial Expenses'!B23</f>
        <v>0</v>
      </c>
      <c r="F19" s="2202" t="s">
        <v>148</v>
      </c>
      <c r="G19" s="35" t="s">
        <v>280</v>
      </c>
      <c r="H19" s="2211">
        <f>H47-H26</f>
        <v>0</v>
      </c>
      <c r="I19" s="914"/>
    </row>
    <row r="20" spans="2:9">
      <c r="B20" s="2202"/>
      <c r="C20" s="39"/>
      <c r="D20" s="2276"/>
      <c r="F20" s="2202" t="s">
        <v>149</v>
      </c>
      <c r="G20" s="35" t="s">
        <v>282</v>
      </c>
      <c r="H20" s="2204">
        <v>0</v>
      </c>
      <c r="I20" s="914"/>
    </row>
    <row r="21" spans="2:9">
      <c r="B21" s="103"/>
      <c r="D21" s="373"/>
      <c r="F21" s="2202" t="s">
        <v>144</v>
      </c>
      <c r="G21" s="35" t="s">
        <v>283</v>
      </c>
      <c r="H21" s="2209">
        <v>0</v>
      </c>
    </row>
    <row r="22" spans="2:9" ht="18">
      <c r="B22" s="1590" t="s">
        <v>292</v>
      </c>
      <c r="C22" s="626"/>
      <c r="D22" s="1591">
        <f>SUM(D23:D31)</f>
        <v>0</v>
      </c>
      <c r="F22" s="2202" t="s">
        <v>147</v>
      </c>
      <c r="G22" s="35" t="s">
        <v>284</v>
      </c>
      <c r="H22" s="2204">
        <v>0</v>
      </c>
    </row>
    <row r="23" spans="2:9">
      <c r="B23" s="2202" t="s">
        <v>147</v>
      </c>
      <c r="C23" s="39" t="s">
        <v>252</v>
      </c>
      <c r="D23" s="2208">
        <v>0</v>
      </c>
      <c r="F23" s="2202"/>
      <c r="H23" s="2204"/>
    </row>
    <row r="24" spans="2:9" ht="18">
      <c r="B24" s="2202" t="s">
        <v>141</v>
      </c>
      <c r="C24" s="39" t="s">
        <v>253</v>
      </c>
      <c r="D24" s="2212">
        <v>0</v>
      </c>
      <c r="F24" s="1590" t="s">
        <v>243</v>
      </c>
      <c r="G24" s="674"/>
      <c r="H24" s="1602">
        <f>SUM(H25:H32)</f>
        <v>0</v>
      </c>
    </row>
    <row r="25" spans="2:9">
      <c r="B25" s="2202" t="s">
        <v>148</v>
      </c>
      <c r="C25" s="39" t="s">
        <v>294</v>
      </c>
      <c r="D25" s="2212">
        <v>0</v>
      </c>
      <c r="F25" s="2202" t="s">
        <v>148</v>
      </c>
      <c r="G25" s="35" t="s">
        <v>285</v>
      </c>
      <c r="H25" s="2211">
        <f>'Initial Funding'!B23</f>
        <v>0</v>
      </c>
    </row>
    <row r="26" spans="2:9">
      <c r="B26" s="2202" t="s">
        <v>150</v>
      </c>
      <c r="C26" s="39" t="s">
        <v>1062</v>
      </c>
      <c r="D26" s="2212">
        <v>0</v>
      </c>
      <c r="F26" s="2202" t="s">
        <v>148</v>
      </c>
      <c r="G26" s="35" t="s">
        <v>286</v>
      </c>
      <c r="H26" s="2211">
        <f>'Initial Funding'!B24</f>
        <v>0</v>
      </c>
    </row>
    <row r="27" spans="2:9">
      <c r="B27" s="2202" t="s">
        <v>150</v>
      </c>
      <c r="C27" s="39" t="str">
        <f>"P.T. Payments &amp; witholding "&amp;'Base Data'!$I$43</f>
        <v>P.T. Payments &amp; witholding P.I.T.</v>
      </c>
      <c r="D27" s="2212">
        <v>0</v>
      </c>
      <c r="F27" s="2202" t="s">
        <v>148</v>
      </c>
      <c r="G27" s="35" t="s">
        <v>287</v>
      </c>
      <c r="H27" s="2204">
        <v>0</v>
      </c>
    </row>
    <row r="28" spans="2:9">
      <c r="B28" s="2202" t="s">
        <v>150</v>
      </c>
      <c r="C28" s="39" t="str">
        <f>"Public Treasury Debts due to "&amp;'Base Data'!H44</f>
        <v>Public Treasury Debts due to Corporate Income Tax</v>
      </c>
      <c r="D28" s="2208">
        <v>0</v>
      </c>
      <c r="F28" s="2202" t="s">
        <v>151</v>
      </c>
      <c r="G28" s="35" t="s">
        <v>288</v>
      </c>
      <c r="H28" s="2204">
        <v>0</v>
      </c>
    </row>
    <row r="29" spans="2:9">
      <c r="B29" s="2202" t="s">
        <v>150</v>
      </c>
      <c r="C29" s="1609" t="str">
        <f>'Balance Sheet Statements (EU)'!A21</f>
        <v>Public Treasury VAT Receivable</v>
      </c>
      <c r="D29" s="2208">
        <v>0</v>
      </c>
      <c r="F29" s="2202" t="s">
        <v>152</v>
      </c>
      <c r="G29" s="71" t="str">
        <f>'Balance Sheet Statements (EU)'!A41</f>
        <v>Public Treasury VAT Payable</v>
      </c>
      <c r="H29" s="2204">
        <v>0</v>
      </c>
    </row>
    <row r="30" spans="2:9">
      <c r="B30" s="2202" t="s">
        <v>147</v>
      </c>
      <c r="C30" s="39" t="s">
        <v>293</v>
      </c>
      <c r="D30" s="2208">
        <v>0</v>
      </c>
      <c r="F30" s="2202" t="s">
        <v>152</v>
      </c>
      <c r="G30" s="71" t="str">
        <f>'Balance Sheet Statements (EU)'!A42</f>
        <v xml:space="preserve">Public Treasury C.I.T Payable </v>
      </c>
      <c r="H30" s="2214">
        <v>0</v>
      </c>
    </row>
    <row r="31" spans="2:9">
      <c r="B31" s="2202" t="s">
        <v>143</v>
      </c>
      <c r="C31" s="39" t="s">
        <v>295</v>
      </c>
      <c r="D31" s="2812">
        <f>H33-D9-SUM(D23:D30)</f>
        <v>0</v>
      </c>
      <c r="F31" s="2202" t="s">
        <v>152</v>
      </c>
      <c r="G31" s="35" t="s">
        <v>289</v>
      </c>
      <c r="H31" s="2204">
        <v>0</v>
      </c>
    </row>
    <row r="32" spans="2:9">
      <c r="B32" s="103"/>
      <c r="D32" s="373"/>
      <c r="F32" s="2202"/>
      <c r="H32" s="373"/>
    </row>
    <row r="33" spans="2:11" ht="18.75" thickBot="1">
      <c r="B33" s="1597"/>
      <c r="C33" s="1598" t="s">
        <v>259</v>
      </c>
      <c r="D33" s="1599">
        <f>D22+D9</f>
        <v>0</v>
      </c>
      <c r="F33" s="1597"/>
      <c r="G33" s="1604" t="s">
        <v>290</v>
      </c>
      <c r="H33" s="1599">
        <f>H16+H9</f>
        <v>0</v>
      </c>
    </row>
    <row r="34" spans="2:11">
      <c r="G34" s="2320" t="str">
        <f>IF(H34&lt;&gt;"","DESCUADRE EN BAL. PREVIO","")</f>
        <v/>
      </c>
      <c r="H34" s="915" t="str">
        <f>IF(ABS(H33-D33)&gt;0.0001,H33-D33,"")</f>
        <v/>
      </c>
    </row>
    <row r="35" spans="2:11" ht="15.75" thickBot="1"/>
    <row r="36" spans="2:11" ht="15.75" thickBot="1">
      <c r="B36" s="2288" t="s">
        <v>330</v>
      </c>
      <c r="C36" s="698"/>
      <c r="D36" s="749"/>
      <c r="F36" s="2288" t="s">
        <v>296</v>
      </c>
      <c r="G36" s="698"/>
      <c r="H36" s="749"/>
    </row>
    <row r="37" spans="2:11">
      <c r="B37" s="1999" t="s">
        <v>327</v>
      </c>
      <c r="C37" s="2277"/>
      <c r="D37" s="2306">
        <v>3</v>
      </c>
      <c r="F37" s="2291" t="s">
        <v>298</v>
      </c>
      <c r="G37" s="1111"/>
      <c r="H37" s="2294">
        <v>0</v>
      </c>
    </row>
    <row r="38" spans="2:11" ht="15.75" thickBot="1">
      <c r="B38" s="1999" t="s">
        <v>328</v>
      </c>
      <c r="C38" s="2277"/>
      <c r="D38" s="2306">
        <v>15</v>
      </c>
      <c r="F38" s="2290" t="s">
        <v>297</v>
      </c>
      <c r="G38" s="1077"/>
      <c r="H38" s="2297">
        <v>0</v>
      </c>
    </row>
    <row r="39" spans="2:11" ht="15.75" thickBot="1">
      <c r="B39" s="2307" t="s">
        <v>329</v>
      </c>
      <c r="C39" s="2308"/>
      <c r="D39" s="2309">
        <v>5</v>
      </c>
      <c r="F39" s="2291" t="s">
        <v>299</v>
      </c>
      <c r="G39" s="1111"/>
      <c r="H39" s="2295">
        <f>H37+H38</f>
        <v>0</v>
      </c>
      <c r="K39" s="2218"/>
    </row>
    <row r="40" spans="2:11" ht="15.75" thickBot="1">
      <c r="F40" s="2289" t="s">
        <v>300</v>
      </c>
      <c r="G40" s="978"/>
      <c r="H40" s="2296">
        <v>0.08</v>
      </c>
      <c r="K40" s="2218"/>
    </row>
    <row r="41" spans="2:11" ht="15.75" thickBot="1">
      <c r="B41" s="2288" t="s">
        <v>324</v>
      </c>
      <c r="C41" s="698"/>
      <c r="D41" s="749"/>
      <c r="F41" s="2290" t="s">
        <v>301</v>
      </c>
      <c r="G41" s="1077"/>
      <c r="H41" s="2297">
        <v>78</v>
      </c>
    </row>
    <row r="42" spans="2:11" ht="15.75" thickBot="1">
      <c r="B42" s="2307" t="s">
        <v>326</v>
      </c>
      <c r="C42" s="2308"/>
      <c r="D42" s="2309">
        <v>52</v>
      </c>
      <c r="F42" s="2298" t="s">
        <v>302</v>
      </c>
      <c r="G42" s="2299"/>
      <c r="H42" s="2300">
        <v>4</v>
      </c>
    </row>
    <row r="43" spans="2:11" ht="15.75" thickBot="1"/>
    <row r="44" spans="2:11" ht="15.75" thickBot="1">
      <c r="B44" s="2288" t="s">
        <v>323</v>
      </c>
      <c r="C44" s="698"/>
      <c r="D44" s="749"/>
      <c r="F44" s="2288" t="s">
        <v>303</v>
      </c>
      <c r="G44" s="62"/>
      <c r="H44" s="63"/>
    </row>
    <row r="45" spans="2:11">
      <c r="B45" s="2291" t="s">
        <v>321</v>
      </c>
      <c r="C45" s="1111"/>
      <c r="D45" s="2310">
        <v>0</v>
      </c>
      <c r="F45" s="933" t="s">
        <v>305</v>
      </c>
      <c r="G45" s="2301"/>
      <c r="H45" s="2215">
        <v>0</v>
      </c>
    </row>
    <row r="46" spans="2:11" ht="16.5" customHeight="1" thickBot="1">
      <c r="B46" s="2289" t="s">
        <v>322</v>
      </c>
      <c r="C46" s="978"/>
      <c r="D46" s="2311">
        <v>0</v>
      </c>
      <c r="F46" s="2220" t="s">
        <v>304</v>
      </c>
      <c r="G46" s="2302"/>
      <c r="H46" s="2221">
        <v>0</v>
      </c>
    </row>
    <row r="47" spans="2:11">
      <c r="B47" s="103"/>
      <c r="D47" s="373"/>
      <c r="F47" s="933" t="s">
        <v>306</v>
      </c>
      <c r="G47" s="2301"/>
      <c r="H47" s="2217">
        <f>H45+H46</f>
        <v>0</v>
      </c>
      <c r="I47" s="2330" t="str">
        <f>IF(H47&gt;SUM(D10:D15),"ERROR: Los leasing deben ser mayores que las inversiones en Activos NO Corrientes","")</f>
        <v/>
      </c>
    </row>
    <row r="48" spans="2:11">
      <c r="B48" s="2289" t="s">
        <v>320</v>
      </c>
      <c r="C48" s="978"/>
      <c r="D48" s="2312" t="str">
        <f>IF(D45&gt;0,D25/D45*365,"")</f>
        <v/>
      </c>
      <c r="F48" s="932" t="s">
        <v>300</v>
      </c>
      <c r="G48" s="349"/>
      <c r="H48" s="2278">
        <v>0.12</v>
      </c>
    </row>
    <row r="49" spans="2:8" ht="15.75" thickBot="1">
      <c r="B49" s="2290" t="s">
        <v>319</v>
      </c>
      <c r="C49" s="1077"/>
      <c r="D49" s="2313" t="str">
        <f>IF(D46&gt;0,H28/D46*365,"")</f>
        <v/>
      </c>
      <c r="F49" s="932" t="s">
        <v>15</v>
      </c>
      <c r="G49" s="349"/>
      <c r="H49" s="2279">
        <v>0</v>
      </c>
    </row>
    <row r="50" spans="2:8">
      <c r="F50" s="932" t="s">
        <v>301</v>
      </c>
      <c r="G50" s="349"/>
      <c r="H50" s="2216">
        <v>60</v>
      </c>
    </row>
    <row r="51" spans="2:8" ht="15.75" thickBot="1">
      <c r="F51" s="2220" t="s">
        <v>302</v>
      </c>
      <c r="G51" s="2302"/>
      <c r="H51" s="2221">
        <v>12</v>
      </c>
    </row>
    <row r="52" spans="2:8" ht="15.75" thickBot="1">
      <c r="B52" s="2288"/>
      <c r="C52" s="698" t="s">
        <v>314</v>
      </c>
      <c r="D52" s="63"/>
      <c r="F52" s="2293" t="s">
        <v>155</v>
      </c>
      <c r="G52" s="359"/>
      <c r="H52" s="2292">
        <f>+Leasing!B12</f>
        <v>0</v>
      </c>
    </row>
    <row r="53" spans="2:8" ht="15.75" thickBot="1">
      <c r="B53" s="2291" t="s">
        <v>315</v>
      </c>
      <c r="C53" s="2314"/>
      <c r="D53" s="2217">
        <f>D50+D51</f>
        <v>0</v>
      </c>
    </row>
    <row r="54" spans="2:8" ht="15.75" thickBot="1">
      <c r="B54" s="2289" t="s">
        <v>316</v>
      </c>
      <c r="C54" s="2315"/>
      <c r="D54" s="2219">
        <v>0.18</v>
      </c>
      <c r="F54" s="2222" t="s">
        <v>310</v>
      </c>
      <c r="G54" s="359"/>
      <c r="H54" s="2223">
        <v>0</v>
      </c>
    </row>
    <row r="55" spans="2:8" ht="15.75" thickBot="1">
      <c r="B55" s="2289" t="s">
        <v>317</v>
      </c>
      <c r="C55" s="2315"/>
      <c r="D55" s="2216">
        <v>60</v>
      </c>
      <c r="F55" s="2303" t="s">
        <v>311</v>
      </c>
      <c r="G55" s="2304"/>
      <c r="H55" s="2305"/>
    </row>
    <row r="56" spans="2:8" ht="15.75" thickBot="1">
      <c r="B56" s="2290" t="s">
        <v>318</v>
      </c>
      <c r="C56" s="2316"/>
      <c r="D56" s="2221">
        <v>12</v>
      </c>
      <c r="F56" s="933" t="s">
        <v>312</v>
      </c>
      <c r="G56" s="2301"/>
      <c r="H56" s="2215">
        <v>2500</v>
      </c>
    </row>
    <row r="57" spans="2:8" ht="15.75" thickBot="1">
      <c r="B57" s="2222" t="s">
        <v>312</v>
      </c>
      <c r="C57" s="359"/>
      <c r="D57" s="2292">
        <f>+Renting!B12</f>
        <v>0</v>
      </c>
      <c r="F57" s="2220" t="s">
        <v>313</v>
      </c>
      <c r="G57" s="2302"/>
      <c r="H57" s="2224">
        <f>NPER(H40/12,H56,-H39)</f>
        <v>0</v>
      </c>
    </row>
  </sheetData>
  <sheetProtection sheet="1" objects="1" scenarios="1"/>
  <dataValidations count="4">
    <dataValidation type="list" allowBlank="1" showInputMessage="1" showErrorMessage="1" sqref="H42 H51 D56" xr:uid="{00000000-0002-0000-0400-000000000000}">
      <formula1>"12,6,4,3,2,1"</formula1>
    </dataValidation>
    <dataValidation type="custom" allowBlank="1" showInputMessage="1" showErrorMessage="1" error="Con la forma jurídico-fiscal elegida no puede haber pagos a cuenta del IRPF" sqref="D27" xr:uid="{00000000-0002-0000-0400-000001000000}">
      <formula1>isoc=0</formula1>
    </dataValidation>
    <dataValidation type="custom" allowBlank="1" showInputMessage="1" showErrorMessage="1" error="Con la forma jurídico-fiscal elegida no puede haber Impuesto de sociedades." sqref="D28" xr:uid="{00000000-0002-0000-0400-000002000000}">
      <formula1>isoc&gt;0</formula1>
    </dataValidation>
    <dataValidation type="decimal" allowBlank="1" showInputMessage="1" showErrorMessage="1" error="Receivable subsides must be positive and less than subsidies en H14" prompt="Receivable subsidies cannot be greater than granted subsidies. Check the subsidies item in the right part of the Balance Sheet among the liabilities." sqref="D26" xr:uid="{00000000-0002-0000-0400-000003000000}">
      <formula1>0</formula1>
      <formula2>H14</formula2>
    </dataValidation>
  </dataValidations>
  <printOptions horizontalCentered="1"/>
  <pageMargins left="0.75" right="0.75" top="0.32" bottom="0.43" header="0" footer="0"/>
  <pageSetup paperSize="9" scale="61" orientation="landscape" horizontalDpi="300" r:id="rId1"/>
  <headerFooter alignWithMargins="0"/>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51">
    <tabColor indexed="61"/>
    <pageSetUpPr fitToPage="1"/>
  </sheetPr>
  <dimension ref="A1:S57"/>
  <sheetViews>
    <sheetView zoomScale="75" zoomScaleNormal="100"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275" customWidth="1"/>
    <col min="2" max="2" width="9.75" style="277" customWidth="1"/>
    <col min="3" max="4" width="10" style="86" customWidth="1"/>
    <col min="5" max="5" width="11.375" style="86" customWidth="1"/>
    <col min="6" max="14" width="10" style="86" customWidth="1"/>
    <col min="15" max="15" width="9.5" style="275" customWidth="1"/>
    <col min="16" max="16384" width="11" style="86"/>
  </cols>
  <sheetData>
    <row r="1" spans="1:15" ht="25.5">
      <c r="A1" s="936" t="str">
        <f>'Collections &amp; Payments 0'!A1</f>
        <v xml:space="preserve">Cashing &amp; Payments </v>
      </c>
      <c r="B1" s="1049"/>
      <c r="E1" s="515" t="str">
        <f>Parameters!E$77</f>
        <v>Year 3:   2029</v>
      </c>
      <c r="F1" s="291"/>
      <c r="M1" s="1050"/>
      <c r="O1" s="86"/>
    </row>
    <row r="2" spans="1:15" s="534" customFormat="1" ht="25.5">
      <c r="A2" s="162" t="str">
        <f>'Base Data'!B9</f>
        <v>WWW, Ltd.</v>
      </c>
      <c r="B2" s="1049"/>
      <c r="D2" s="1051"/>
      <c r="E2" s="159"/>
    </row>
    <row r="3" spans="1:15" ht="21" customHeight="1">
      <c r="A3" s="86"/>
      <c r="B3" s="1036"/>
      <c r="O3" s="86"/>
    </row>
    <row r="4" spans="1:15" ht="25.5">
      <c r="A4" s="162" t="str">
        <f>'Collections &amp; Payments 0'!A4</f>
        <v>Sales (VAT incl.)</v>
      </c>
      <c r="B4" s="1036"/>
      <c r="E4" s="163"/>
      <c r="F4" s="163"/>
      <c r="O4" s="86"/>
    </row>
    <row r="5" spans="1:15" ht="5.25" customHeight="1" thickBot="1"/>
    <row r="6" spans="1:15" s="1032" customFormat="1" ht="16.149999999999999" customHeight="1" thickBot="1">
      <c r="A6" s="165" t="str">
        <f>'Collections &amp; Payments 0'!A6</f>
        <v>Sales</v>
      </c>
      <c r="B6" s="2044" t="str">
        <f t="array" ref="B6:M6">meses</f>
        <v>January</v>
      </c>
      <c r="C6" s="2045" t="str">
        <v>February</v>
      </c>
      <c r="D6" s="2045" t="str">
        <v>March</v>
      </c>
      <c r="E6" s="2045" t="str">
        <v>April</v>
      </c>
      <c r="F6" s="2045" t="str">
        <v>May</v>
      </c>
      <c r="G6" s="2045" t="str">
        <v>June</v>
      </c>
      <c r="H6" s="2045" t="str">
        <v>July</v>
      </c>
      <c r="I6" s="2045" t="str">
        <v>August</v>
      </c>
      <c r="J6" s="2045" t="str">
        <v>September</v>
      </c>
      <c r="K6" s="2045" t="str">
        <v>October</v>
      </c>
      <c r="L6" s="2045" t="str">
        <v>November</v>
      </c>
      <c r="M6" s="2045" t="str">
        <v>December</v>
      </c>
      <c r="N6" s="2045" t="s">
        <v>0</v>
      </c>
    </row>
    <row r="7" spans="1:15" s="541" customFormat="1" ht="16.149999999999999" customHeight="1">
      <c r="A7" s="2046" t="str">
        <f t="array" ref="A7:A14">productos</f>
        <v>product 1</v>
      </c>
      <c r="B7" s="1033">
        <f t="array" aca="1" ref="B7:M14" ca="1">'Sales Forecast 3'!B17:M24*(1+Parameters!$E24:$E31 - ret_irpf  )</f>
        <v>1458.3862360099999</v>
      </c>
      <c r="C7" s="1033">
        <f ca="1"/>
        <v>1458.3862360099999</v>
      </c>
      <c r="D7" s="1033">
        <f ca="1"/>
        <v>1458.3862360099999</v>
      </c>
      <c r="E7" s="1033">
        <f ca="1"/>
        <v>1458.3862360099999</v>
      </c>
      <c r="F7" s="1033">
        <f ca="1"/>
        <v>1458.3862360099999</v>
      </c>
      <c r="G7" s="1033">
        <f ca="1"/>
        <v>1458.3862360099999</v>
      </c>
      <c r="H7" s="1033">
        <f ca="1"/>
        <v>1458.3862360099999</v>
      </c>
      <c r="I7" s="1033">
        <f ca="1"/>
        <v>1458.3862360099999</v>
      </c>
      <c r="J7" s="1033">
        <f ca="1"/>
        <v>1458.3862360099999</v>
      </c>
      <c r="K7" s="1033">
        <f ca="1"/>
        <v>1458.3862360099999</v>
      </c>
      <c r="L7" s="1033">
        <f ca="1"/>
        <v>1458.3862360099999</v>
      </c>
      <c r="M7" s="1033">
        <f ca="1"/>
        <v>1458.3862360099999</v>
      </c>
      <c r="N7" s="2047">
        <f t="shared" ref="N7:N14" ca="1" si="0">SUM(B7:M7)</f>
        <v>17500.634832119995</v>
      </c>
    </row>
    <row r="8" spans="1:15" s="541" customFormat="1" ht="16.149999999999999" customHeight="1">
      <c r="A8" s="2048"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7">
        <f t="shared" ca="1" si="0"/>
        <v>0</v>
      </c>
    </row>
    <row r="9" spans="1:15" s="541" customFormat="1" ht="16.149999999999999" customHeight="1">
      <c r="A9" s="2048"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7">
        <f t="shared" ca="1" si="0"/>
        <v>0</v>
      </c>
    </row>
    <row r="10" spans="1:15" s="541" customFormat="1" ht="16.149999999999999" customHeight="1">
      <c r="A10" s="2048"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7">
        <f t="shared" ca="1" si="0"/>
        <v>0</v>
      </c>
    </row>
    <row r="11" spans="1:15" s="541" customFormat="1" ht="16.149999999999999" customHeight="1">
      <c r="A11" s="2048"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7">
        <f t="shared" ca="1" si="0"/>
        <v>0</v>
      </c>
    </row>
    <row r="12" spans="1:15" s="541" customFormat="1" ht="16.149999999999999" customHeight="1">
      <c r="A12" s="2048"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7">
        <f t="shared" ca="1" si="0"/>
        <v>0</v>
      </c>
    </row>
    <row r="13" spans="1:15" s="541" customFormat="1" ht="16.149999999999999" customHeight="1">
      <c r="A13" s="2048"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7">
        <f t="shared" ca="1" si="0"/>
        <v>0</v>
      </c>
    </row>
    <row r="14" spans="1:15" s="541" customFormat="1" ht="16.149999999999999" customHeight="1" thickBot="1">
      <c r="A14" s="2049"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7">
        <f t="shared" ca="1" si="0"/>
        <v>0</v>
      </c>
    </row>
    <row r="15" spans="1:15" s="541" customFormat="1" ht="16.149999999999999" customHeight="1" thickBot="1">
      <c r="A15" s="2050" t="s">
        <v>0</v>
      </c>
      <c r="B15" s="2051">
        <f t="shared" ref="B15:N15" ca="1" si="1">SUM(B7:B14)</f>
        <v>1458.3862360099999</v>
      </c>
      <c r="C15" s="2051">
        <f t="shared" ca="1" si="1"/>
        <v>1458.3862360099999</v>
      </c>
      <c r="D15" s="2051">
        <f t="shared" ca="1" si="1"/>
        <v>1458.3862360099999</v>
      </c>
      <c r="E15" s="2051">
        <f t="shared" ca="1" si="1"/>
        <v>1458.3862360099999</v>
      </c>
      <c r="F15" s="2051">
        <f t="shared" ca="1" si="1"/>
        <v>1458.3862360099999</v>
      </c>
      <c r="G15" s="2051">
        <f t="shared" ca="1" si="1"/>
        <v>1458.3862360099999</v>
      </c>
      <c r="H15" s="2051">
        <f t="shared" ca="1" si="1"/>
        <v>1458.3862360099999</v>
      </c>
      <c r="I15" s="2051">
        <f t="shared" ca="1" si="1"/>
        <v>1458.3862360099999</v>
      </c>
      <c r="J15" s="2051">
        <f t="shared" ca="1" si="1"/>
        <v>1458.3862360099999</v>
      </c>
      <c r="K15" s="2051">
        <f t="shared" ca="1" si="1"/>
        <v>1458.3862360099999</v>
      </c>
      <c r="L15" s="2051">
        <f t="shared" ca="1" si="1"/>
        <v>1458.3862360099999</v>
      </c>
      <c r="M15" s="2051">
        <f t="shared" ca="1" si="1"/>
        <v>1458.3862360099999</v>
      </c>
      <c r="N15" s="2051">
        <f t="shared" ca="1" si="1"/>
        <v>17500.634832119995</v>
      </c>
    </row>
    <row r="16" spans="1:15" s="541" customFormat="1" ht="16.149999999999999" customHeight="1">
      <c r="A16" s="24"/>
    </row>
    <row r="17" spans="1:19" s="318" customFormat="1" ht="22.5">
      <c r="A17" s="318" t="str">
        <f>'Collections &amp; Payments 0'!A17</f>
        <v>Yearly Sales Cashing</v>
      </c>
      <c r="B17" s="163"/>
      <c r="E17" s="163"/>
      <c r="F17" s="163"/>
    </row>
    <row r="18" spans="1:19" ht="16.5" customHeight="1" thickBot="1">
      <c r="A18" s="86"/>
      <c r="B18" s="86"/>
      <c r="O18" s="86"/>
      <c r="P18" s="1035" t="str">
        <f>'Collections &amp; Payments 0'!P18</f>
        <v>Pending for the following year:</v>
      </c>
      <c r="Q18" s="1048" t="str">
        <f>Parameters!H65</f>
        <v>2030</v>
      </c>
    </row>
    <row r="19" spans="1:19" s="1032" customFormat="1" ht="28.5" customHeight="1" thickBot="1">
      <c r="A19" s="165" t="str">
        <f t="array" ref="A19:A27">'Collections &amp; Payments 0'!A19:A27</f>
        <v>Cash Collections</v>
      </c>
      <c r="B19" s="2040" t="str">
        <f t="array" ref="B19:M19">'Sales Forecasts'!B44:M44</f>
        <v>January 
2029</v>
      </c>
      <c r="C19" s="2040" t="str">
        <v>February 
2029</v>
      </c>
      <c r="D19" s="2040" t="str">
        <v>March 
2029</v>
      </c>
      <c r="E19" s="2040" t="str">
        <v>April 
2029</v>
      </c>
      <c r="F19" s="2040" t="str">
        <v>May 
2029</v>
      </c>
      <c r="G19" s="2040" t="str">
        <v>June 
2029</v>
      </c>
      <c r="H19" s="2040" t="str">
        <v>July 
2029</v>
      </c>
      <c r="I19" s="2040" t="str">
        <v>August 
2029</v>
      </c>
      <c r="J19" s="2040" t="str">
        <v>September 
2029</v>
      </c>
      <c r="K19" s="2040" t="str">
        <v>October 
2029</v>
      </c>
      <c r="L19" s="2040" t="str">
        <v>November 
2029</v>
      </c>
      <c r="M19" s="2040" t="str">
        <v>December 
2029</v>
      </c>
      <c r="N19" s="2040" t="str">
        <f t="array" ref="N19:S19">'Collections &amp; Payments 4'!B19:G19</f>
        <v>January 
2030</v>
      </c>
      <c r="O19" s="2040" t="str">
        <v>February 
2030</v>
      </c>
      <c r="P19" s="2040" t="str">
        <v>March 
2030</v>
      </c>
      <c r="Q19" s="2040" t="str">
        <v>April 
2030</v>
      </c>
      <c r="R19" s="2040" t="str">
        <v>May 
2030</v>
      </c>
      <c r="S19" s="2040" t="str">
        <v>June 
2030</v>
      </c>
    </row>
    <row r="20" spans="1:19" s="534" customFormat="1" ht="16.149999999999999" customHeight="1">
      <c r="A20" s="2041" t="str">
        <v>In Cash</v>
      </c>
      <c r="B20" s="1037">
        <f t="array" aca="1" ref="B20" ca="1">SUM('Cashing &amp; Payment Policies'!$B$39:$B$46*B7:B14)</f>
        <v>1458.3862360099999</v>
      </c>
      <c r="C20" s="1037">
        <f t="array" aca="1" ref="C20" ca="1">SUM('Cashing &amp; Payment Policies'!$B$39:$B$46*C7:C14)</f>
        <v>1458.3862360099999</v>
      </c>
      <c r="D20" s="1037">
        <f t="array" aca="1" ref="D20" ca="1">SUM('Cashing &amp; Payment Policies'!$B$39:$B$46*D7:D14)</f>
        <v>1458.3862360099999</v>
      </c>
      <c r="E20" s="1037">
        <f t="array" aca="1" ref="E20" ca="1">SUM('Cashing &amp; Payment Policies'!$B$39:$B$46*E7:E14)</f>
        <v>1458.3862360099999</v>
      </c>
      <c r="F20" s="1037">
        <f t="array" aca="1" ref="F20" ca="1">SUM('Cashing &amp; Payment Policies'!$B$39:$B$46*F7:F14)</f>
        <v>1458.3862360099999</v>
      </c>
      <c r="G20" s="1037">
        <f t="array" aca="1" ref="G20" ca="1">SUM('Cashing &amp; Payment Policies'!$B$39:$B$46*G7:G14)</f>
        <v>1458.3862360099999</v>
      </c>
      <c r="H20" s="1037">
        <f t="array" aca="1" ref="H20" ca="1">SUM('Cashing &amp; Payment Policies'!$B$39:$B$46*H7:H14)</f>
        <v>1458.3862360099999</v>
      </c>
      <c r="I20" s="1037">
        <f t="array" aca="1" ref="I20" ca="1">SUM('Cashing &amp; Payment Policies'!$B$39:$B$46*I7:I14)</f>
        <v>1458.3862360099999</v>
      </c>
      <c r="J20" s="1037">
        <f t="array" aca="1" ref="J20" ca="1">SUM('Cashing &amp; Payment Policies'!$B$39:$B$46*J7:J14)</f>
        <v>1458.3862360099999</v>
      </c>
      <c r="K20" s="1037">
        <f t="array" aca="1" ref="K20" ca="1">SUM('Cashing &amp; Payment Policies'!$B$39:$B$46*K7:K14)</f>
        <v>1458.3862360099999</v>
      </c>
      <c r="L20" s="1037">
        <f t="array" aca="1" ref="L20" ca="1">SUM('Cashing &amp; Payment Policies'!$B$39:$B$46*L7:L14)</f>
        <v>1458.3862360099999</v>
      </c>
      <c r="M20" s="1037">
        <f t="array" aca="1" ref="M20" ca="1">SUM('Cashing &amp; Payment Policies'!$B$39:$B$46*M7:M14)</f>
        <v>1458.3862360099999</v>
      </c>
      <c r="N20" s="1037"/>
      <c r="O20" s="1037"/>
      <c r="P20" s="1037"/>
      <c r="Q20" s="1037"/>
      <c r="R20" s="1037"/>
      <c r="S20" s="1037"/>
    </row>
    <row r="21" spans="1:19" s="541" customFormat="1" ht="16.149999999999999" customHeight="1">
      <c r="A21" s="2421">
        <v>30</v>
      </c>
      <c r="B21" s="1038">
        <f t="array" aca="1" ref="B21:B26" ca="1">'Collections &amp; Payments 2'!N21:N26</f>
        <v>0</v>
      </c>
      <c r="C21" s="1037">
        <f t="array" aca="1" ref="C21" ca="1">SUM('Cashing &amp; Payment Policies'!$C$39:$C$46*B$7:B$14)</f>
        <v>0</v>
      </c>
      <c r="D21" s="1037">
        <f t="array" aca="1" ref="D21" ca="1">SUM('Cashing &amp; Payment Policies'!$C$39:$C$46*C$7:C$14)</f>
        <v>0</v>
      </c>
      <c r="E21" s="1037">
        <f t="array" aca="1" ref="E21" ca="1">SUM('Cashing &amp; Payment Policies'!$C$39:$C$46*D$7:D$14)</f>
        <v>0</v>
      </c>
      <c r="F21" s="1037">
        <f t="array" aca="1" ref="F21" ca="1">SUM('Cashing &amp; Payment Policies'!$C$39:$C$46*E$7:E$14)</f>
        <v>0</v>
      </c>
      <c r="G21" s="1037">
        <f t="array" aca="1" ref="G21" ca="1">SUM('Cashing &amp; Payment Policies'!$C$39:$C$46*F$7:F$14)</f>
        <v>0</v>
      </c>
      <c r="H21" s="1037">
        <f t="array" aca="1" ref="H21" ca="1">SUM('Cashing &amp; Payment Policies'!$C$39:$C$46*G$7:G$14)</f>
        <v>0</v>
      </c>
      <c r="I21" s="1037">
        <f t="array" aca="1" ref="I21" ca="1">SUM('Cashing &amp; Payment Policies'!$C$39:$C$46*H$7:H$14)</f>
        <v>0</v>
      </c>
      <c r="J21" s="1037">
        <f t="array" aca="1" ref="J21" ca="1">SUM('Cashing &amp; Payment Policies'!$C$39:$C$46*I$7:I$14)</f>
        <v>0</v>
      </c>
      <c r="K21" s="1037">
        <f t="array" aca="1" ref="K21" ca="1">SUM('Cashing &amp; Payment Policies'!$C$39:$C$46*J$7:J$14)</f>
        <v>0</v>
      </c>
      <c r="L21" s="1037">
        <f t="array" aca="1" ref="L21" ca="1">SUM('Cashing &amp; Payment Policies'!$C$39:$C$46*K$7:K$14)</f>
        <v>0</v>
      </c>
      <c r="M21" s="1037">
        <f t="array" aca="1" ref="M21" ca="1">SUM('Cashing &amp; Payment Policies'!$C$39:$C$46*L$7:L$14)</f>
        <v>0</v>
      </c>
      <c r="N21" s="1037">
        <f t="array" aca="1" ref="N21" ca="1">SUM('Cashing &amp; Payment Policies'!$C$39:$C$46*M$7:M$14)</f>
        <v>0</v>
      </c>
      <c r="O21" s="1037"/>
      <c r="P21" s="1037"/>
      <c r="Q21" s="1037"/>
      <c r="R21" s="1037"/>
      <c r="S21" s="1037"/>
    </row>
    <row r="22" spans="1:19" s="534" customFormat="1" ht="16.149999999999999" customHeight="1">
      <c r="A22" s="2421">
        <v>60</v>
      </c>
      <c r="B22" s="1038">
        <f ca="1"/>
        <v>0</v>
      </c>
      <c r="C22" s="1038">
        <f t="array" aca="1" ref="C22:C26" ca="1">'Collections &amp; Payments 2'!O22:O26</f>
        <v>0</v>
      </c>
      <c r="D22" s="1037">
        <f t="array" aca="1" ref="D22" ca="1">SUM('Cashing &amp; Payment Policies'!$D$39:$D$46*B$7:B$14)</f>
        <v>0</v>
      </c>
      <c r="E22" s="1037">
        <f t="array" aca="1" ref="E22" ca="1">SUM('Cashing &amp; Payment Policies'!$D$39:$D$46*C$7:C$14)</f>
        <v>0</v>
      </c>
      <c r="F22" s="1037">
        <f t="array" aca="1" ref="F22" ca="1">SUM('Cashing &amp; Payment Policies'!$D$39:$D$46*D$7:D$14)</f>
        <v>0</v>
      </c>
      <c r="G22" s="1037">
        <f t="array" aca="1" ref="G22" ca="1">SUM('Cashing &amp; Payment Policies'!$D$39:$D$46*E$7:E$14)</f>
        <v>0</v>
      </c>
      <c r="H22" s="1037">
        <f t="array" aca="1" ref="H22" ca="1">SUM('Cashing &amp; Payment Policies'!$D$39:$D$46*F$7:F$14)</f>
        <v>0</v>
      </c>
      <c r="I22" s="1037">
        <f t="array" aca="1" ref="I22" ca="1">SUM('Cashing &amp; Payment Policies'!$D$39:$D$46*G$7:G$14)</f>
        <v>0</v>
      </c>
      <c r="J22" s="1037">
        <f t="array" aca="1" ref="J22" ca="1">SUM('Cashing &amp; Payment Policies'!$D$39:$D$46*H$7:H$14)</f>
        <v>0</v>
      </c>
      <c r="K22" s="1037">
        <f t="array" aca="1" ref="K22" ca="1">SUM('Cashing &amp; Payment Policies'!$D$39:$D$46*I$7:I$14)</f>
        <v>0</v>
      </c>
      <c r="L22" s="1037">
        <f t="array" aca="1" ref="L22" ca="1">SUM('Cashing &amp; Payment Policies'!$D$39:$D$46*J$7:J$14)</f>
        <v>0</v>
      </c>
      <c r="M22" s="1037">
        <f t="array" aca="1" ref="M22" ca="1">SUM('Cashing &amp; Payment Policies'!$D$39:$D$46*K$7:K$14)</f>
        <v>0</v>
      </c>
      <c r="N22" s="1037">
        <f t="array" aca="1" ref="N22" ca="1">SUM('Cashing &amp; Payment Policies'!$D$39:$D$46*L$7:L$14)</f>
        <v>0</v>
      </c>
      <c r="O22" s="1037">
        <f t="array" aca="1" ref="O22" ca="1">SUM('Cashing &amp; Payment Policies'!$D$39:$D$46*M$7:M$14)</f>
        <v>0</v>
      </c>
      <c r="P22" s="1037"/>
      <c r="Q22" s="1037"/>
      <c r="R22" s="1037"/>
      <c r="S22" s="1037"/>
    </row>
    <row r="23" spans="1:19" s="534" customFormat="1" ht="16.149999999999999" customHeight="1">
      <c r="A23" s="2421">
        <v>90</v>
      </c>
      <c r="B23" s="1038">
        <f ca="1"/>
        <v>0</v>
      </c>
      <c r="C23" s="1038">
        <f ca="1"/>
        <v>0</v>
      </c>
      <c r="D23" s="1038">
        <f t="array" aca="1" ref="D23:D26" ca="1">'Collections &amp; Payments 2'!P23:P26</f>
        <v>0</v>
      </c>
      <c r="E23" s="1037">
        <f t="array" aca="1" ref="E23" ca="1">SUM('Cashing &amp; Payment Policies'!$E$39:$E$46*B$7:B$14)</f>
        <v>0</v>
      </c>
      <c r="F23" s="1037">
        <f t="array" aca="1" ref="F23" ca="1">SUM('Cashing &amp; Payment Policies'!$E$39:$E$46*C$7:C$14)</f>
        <v>0</v>
      </c>
      <c r="G23" s="1037">
        <f t="array" aca="1" ref="G23" ca="1">SUM('Cashing &amp; Payment Policies'!$E$39:$E$46*D$7:D$14)</f>
        <v>0</v>
      </c>
      <c r="H23" s="1037">
        <f t="array" aca="1" ref="H23" ca="1">SUM('Cashing &amp; Payment Policies'!$E$39:$E$46*E$7:E$14)</f>
        <v>0</v>
      </c>
      <c r="I23" s="1037">
        <f t="array" aca="1" ref="I23" ca="1">SUM('Cashing &amp; Payment Policies'!$E$39:$E$46*F$7:F$14)</f>
        <v>0</v>
      </c>
      <c r="J23" s="1037">
        <f t="array" aca="1" ref="J23" ca="1">SUM('Cashing &amp; Payment Policies'!$E$39:$E$46*G$7:G$14)</f>
        <v>0</v>
      </c>
      <c r="K23" s="1037">
        <f t="array" aca="1" ref="K23" ca="1">SUM('Cashing &amp; Payment Policies'!$E$39:$E$46*H$7:H$14)</f>
        <v>0</v>
      </c>
      <c r="L23" s="1037">
        <f t="array" aca="1" ref="L23" ca="1">SUM('Cashing &amp; Payment Policies'!$E$39:$E$46*I$7:I$14)</f>
        <v>0</v>
      </c>
      <c r="M23" s="1037">
        <f t="array" aca="1" ref="M23" ca="1">SUM('Cashing &amp; Payment Policies'!$E$39:$E$46*J$7:J$14)</f>
        <v>0</v>
      </c>
      <c r="N23" s="1037">
        <f t="array" aca="1" ref="N23" ca="1">SUM('Cashing &amp; Payment Policies'!$E$39:$E$46*K$7:K$14)</f>
        <v>0</v>
      </c>
      <c r="O23" s="1037">
        <f t="array" aca="1" ref="O23" ca="1">SUM('Cashing &amp; Payment Policies'!$E$39:$E$46*L$7:L$14)</f>
        <v>0</v>
      </c>
      <c r="P23" s="1037">
        <f t="array" aca="1" ref="P23" ca="1">SUM('Cashing &amp; Payment Policies'!$E$39:$E$46*M$7:M$14)</f>
        <v>0</v>
      </c>
      <c r="Q23" s="1037"/>
      <c r="R23" s="1037"/>
      <c r="S23" s="1037"/>
    </row>
    <row r="24" spans="1:19" s="534" customFormat="1" ht="16.149999999999999" customHeight="1">
      <c r="A24" s="2421">
        <v>120</v>
      </c>
      <c r="B24" s="1038">
        <f ca="1"/>
        <v>0</v>
      </c>
      <c r="C24" s="1038">
        <f ca="1"/>
        <v>0</v>
      </c>
      <c r="D24" s="1038">
        <f ca="1"/>
        <v>0</v>
      </c>
      <c r="E24" s="1038">
        <f t="array" aca="1" ref="E24:E26" ca="1">'Collections &amp; Payments 2'!Q24:Q26</f>
        <v>0</v>
      </c>
      <c r="F24" s="1037">
        <f t="array" aca="1" ref="F24" ca="1">SUM('Cashing &amp; Payment Policies'!$F$39:$F$46*B$7:B$14)</f>
        <v>0</v>
      </c>
      <c r="G24" s="1037">
        <f t="array" aca="1" ref="G24" ca="1">SUM('Cashing &amp; Payment Policies'!$F$39:$F$46*C$7:C$14)</f>
        <v>0</v>
      </c>
      <c r="H24" s="1037">
        <f t="array" aca="1" ref="H24" ca="1">SUM('Cashing &amp; Payment Policies'!$F$39:$F$46*D$7:D$14)</f>
        <v>0</v>
      </c>
      <c r="I24" s="1037">
        <f t="array" aca="1" ref="I24" ca="1">SUM('Cashing &amp; Payment Policies'!$F$39:$F$46*E$7:E$14)</f>
        <v>0</v>
      </c>
      <c r="J24" s="1037">
        <f t="array" aca="1" ref="J24" ca="1">SUM('Cashing &amp; Payment Policies'!$F$39:$F$46*F$7:F$14)</f>
        <v>0</v>
      </c>
      <c r="K24" s="1037">
        <f t="array" aca="1" ref="K24" ca="1">SUM('Cashing &amp; Payment Policies'!$F$39:$F$46*G$7:G$14)</f>
        <v>0</v>
      </c>
      <c r="L24" s="1037">
        <f t="array" aca="1" ref="L24" ca="1">SUM('Cashing &amp; Payment Policies'!$F$39:$F$46*H$7:H$14)</f>
        <v>0</v>
      </c>
      <c r="M24" s="1037">
        <f t="array" aca="1" ref="M24" ca="1">SUM('Cashing &amp; Payment Policies'!$F$39:$F$46*I$7:I$14)</f>
        <v>0</v>
      </c>
      <c r="N24" s="1037">
        <f t="array" aca="1" ref="N24" ca="1">SUM('Cashing &amp; Payment Policies'!$F$39:$F$46*J$7:J$14)</f>
        <v>0</v>
      </c>
      <c r="O24" s="1037">
        <f t="array" aca="1" ref="O24" ca="1">SUM('Cashing &amp; Payment Policies'!$F$39:$F$46*K$7:K$14)</f>
        <v>0</v>
      </c>
      <c r="P24" s="1037">
        <f t="array" aca="1" ref="P24" ca="1">SUM('Cashing &amp; Payment Policies'!$F$39:$F$46*L$7:L$14)</f>
        <v>0</v>
      </c>
      <c r="Q24" s="1037">
        <f t="array" aca="1" ref="Q24" ca="1">SUM('Cashing &amp; Payment Policies'!$F$39:$F$46*M$7:M$14)</f>
        <v>0</v>
      </c>
      <c r="R24" s="1037"/>
      <c r="S24" s="1037"/>
    </row>
    <row r="25" spans="1:19" s="534" customFormat="1" ht="16.149999999999999" customHeight="1">
      <c r="A25" s="2421">
        <v>150</v>
      </c>
      <c r="B25" s="1038">
        <f ca="1"/>
        <v>0</v>
      </c>
      <c r="C25" s="1038">
        <f ca="1"/>
        <v>0</v>
      </c>
      <c r="D25" s="1038">
        <f ca="1"/>
        <v>0</v>
      </c>
      <c r="E25" s="1038">
        <f ca="1"/>
        <v>0</v>
      </c>
      <c r="F25" s="1038">
        <f t="array" aca="1" ref="F25:F26" ca="1">'Collections &amp; Payments 2'!R25:R26</f>
        <v>0</v>
      </c>
      <c r="G25" s="1037">
        <f t="array" aca="1" ref="G25" ca="1">SUM('Cashing &amp; Payment Policies'!$G$39:$G$46*B$7:B$14)</f>
        <v>0</v>
      </c>
      <c r="H25" s="1037">
        <f t="array" aca="1" ref="H25" ca="1">SUM('Cashing &amp; Payment Policies'!$G$39:$G$46*C$7:C$14)</f>
        <v>0</v>
      </c>
      <c r="I25" s="1037">
        <f t="array" aca="1" ref="I25" ca="1">SUM('Cashing &amp; Payment Policies'!$G$39:$G$46*D$7:D$14)</f>
        <v>0</v>
      </c>
      <c r="J25" s="1037">
        <f t="array" aca="1" ref="J25" ca="1">SUM('Cashing &amp; Payment Policies'!$G$39:$G$46*E$7:E$14)</f>
        <v>0</v>
      </c>
      <c r="K25" s="1037">
        <f t="array" aca="1" ref="K25" ca="1">SUM('Cashing &amp; Payment Policies'!$G$39:$G$46*F$7:F$14)</f>
        <v>0</v>
      </c>
      <c r="L25" s="1037">
        <f t="array" aca="1" ref="L25" ca="1">SUM('Cashing &amp; Payment Policies'!$G$39:$G$46*G$7:G$14)</f>
        <v>0</v>
      </c>
      <c r="M25" s="1037">
        <f t="array" aca="1" ref="M25" ca="1">SUM('Cashing &amp; Payment Policies'!$G$39:$G$46*H$7:H$14)</f>
        <v>0</v>
      </c>
      <c r="N25" s="1037">
        <f t="array" aca="1" ref="N25" ca="1">SUM('Cashing &amp; Payment Policies'!$G$39:$G$46*I$7:I$14)</f>
        <v>0</v>
      </c>
      <c r="O25" s="1037">
        <f t="array" aca="1" ref="O25" ca="1">SUM('Cashing &amp; Payment Policies'!$G$39:$G$46*J$7:J$14)</f>
        <v>0</v>
      </c>
      <c r="P25" s="1037">
        <f t="array" aca="1" ref="P25" ca="1">SUM('Cashing &amp; Payment Policies'!$G$39:$G$46*K$7:K$14)</f>
        <v>0</v>
      </c>
      <c r="Q25" s="1037">
        <f t="array" aca="1" ref="Q25" ca="1">SUM('Cashing &amp; Payment Policies'!$G$39:$G$46*L$7:L$14)</f>
        <v>0</v>
      </c>
      <c r="R25" s="1037">
        <f t="array" aca="1" ref="R25" ca="1">SUM('Cashing &amp; Payment Policies'!$G$39:$G$46*M$7:M$14)</f>
        <v>0</v>
      </c>
      <c r="S25" s="1037"/>
    </row>
    <row r="26" spans="1:19" s="534" customFormat="1" ht="16.149999999999999" customHeight="1">
      <c r="A26" s="2421">
        <v>180</v>
      </c>
      <c r="B26" s="1038">
        <f ca="1"/>
        <v>0</v>
      </c>
      <c r="C26" s="1038">
        <f ca="1"/>
        <v>0</v>
      </c>
      <c r="D26" s="1038">
        <f ca="1"/>
        <v>0</v>
      </c>
      <c r="E26" s="1038">
        <f ca="1"/>
        <v>0</v>
      </c>
      <c r="F26" s="1038">
        <f ca="1"/>
        <v>0</v>
      </c>
      <c r="G26" s="1038">
        <f ca="1">'Collections &amp; Payments 2'!S26</f>
        <v>0</v>
      </c>
      <c r="H26" s="1037">
        <f t="array" aca="1" ref="H26" ca="1">SUM('Cashing &amp; Payment Policies'!$H$39:$H$46*B$7:B$14)</f>
        <v>0</v>
      </c>
      <c r="I26" s="1037">
        <f t="array" aca="1" ref="I26" ca="1">SUM('Cashing &amp; Payment Policies'!$H$39:$H$46*C$7:C$14)</f>
        <v>0</v>
      </c>
      <c r="J26" s="1037">
        <f t="array" aca="1" ref="J26" ca="1">SUM('Cashing &amp; Payment Policies'!$H$39:$H$46*D$7:D$14)</f>
        <v>0</v>
      </c>
      <c r="K26" s="1037">
        <f t="array" aca="1" ref="K26" ca="1">SUM('Cashing &amp; Payment Policies'!$H$39:$H$46*E$7:E$14)</f>
        <v>0</v>
      </c>
      <c r="L26" s="1037">
        <f t="array" aca="1" ref="L26" ca="1">SUM('Cashing &amp; Payment Policies'!$H$39:$H$46*F$7:F$14)</f>
        <v>0</v>
      </c>
      <c r="M26" s="1037">
        <f t="array" aca="1" ref="M26" ca="1">SUM('Cashing &amp; Payment Policies'!$H$39:$H$46*G$7:G$14)</f>
        <v>0</v>
      </c>
      <c r="N26" s="1037">
        <f t="array" aca="1" ref="N26" ca="1">SUM('Cashing &amp; Payment Policies'!$H$39:$H$46*H$7:H$14)</f>
        <v>0</v>
      </c>
      <c r="O26" s="1037">
        <f t="array" aca="1" ref="O26" ca="1">SUM('Cashing &amp; Payment Policies'!$H$39:$H$46*I$7:I$14)</f>
        <v>0</v>
      </c>
      <c r="P26" s="1037">
        <f t="array" aca="1" ref="P26" ca="1">SUM('Cashing &amp; Payment Policies'!$H$39:$H$46*J$7:J$14)</f>
        <v>0</v>
      </c>
      <c r="Q26" s="1037">
        <f t="array" aca="1" ref="Q26" ca="1">SUM('Cashing &amp; Payment Policies'!$H$39:$H$46*K$7:K$14)</f>
        <v>0</v>
      </c>
      <c r="R26" s="1037">
        <f t="array" aca="1" ref="R26" ca="1">SUM('Cashing &amp; Payment Policies'!$H$39:$H$46*L$7:L$14)</f>
        <v>0</v>
      </c>
      <c r="S26" s="1037">
        <f t="array" aca="1" ref="S26" ca="1">SUM('Cashing &amp; Payment Policies'!$H$39:$H$46*M$7:M$14)</f>
        <v>0</v>
      </c>
    </row>
    <row r="27" spans="1:19" s="534" customFormat="1" ht="16.149999999999999" customHeight="1">
      <c r="A27" s="2042" t="str">
        <v>Defaulted credits</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3" t="s">
        <v>577</v>
      </c>
      <c r="B28" s="2043">
        <f t="shared" ref="B28:S28" ca="1" si="3">SUM(B20:B27)</f>
        <v>1458.3862360099999</v>
      </c>
      <c r="C28" s="2043">
        <f t="shared" ca="1" si="3"/>
        <v>1458.3862360099999</v>
      </c>
      <c r="D28" s="2043">
        <f t="shared" ca="1" si="3"/>
        <v>1458.3862360099999</v>
      </c>
      <c r="E28" s="2043">
        <f t="shared" ca="1" si="3"/>
        <v>1458.3862360099999</v>
      </c>
      <c r="F28" s="2043">
        <f t="shared" ca="1" si="3"/>
        <v>1458.3862360099999</v>
      </c>
      <c r="G28" s="2043">
        <f t="shared" ca="1" si="3"/>
        <v>1458.3862360099999</v>
      </c>
      <c r="H28" s="2043">
        <f t="shared" ca="1" si="3"/>
        <v>1458.3862360099999</v>
      </c>
      <c r="I28" s="2043">
        <f t="shared" ca="1" si="3"/>
        <v>1458.3862360099999</v>
      </c>
      <c r="J28" s="2043">
        <f t="shared" ca="1" si="3"/>
        <v>1458.3862360099999</v>
      </c>
      <c r="K28" s="2043">
        <f t="shared" ca="1" si="3"/>
        <v>1458.3862360099999</v>
      </c>
      <c r="L28" s="2043">
        <f t="shared" ca="1" si="3"/>
        <v>1458.3862360099999</v>
      </c>
      <c r="M28" s="2043">
        <f t="shared" ca="1" si="3"/>
        <v>1458.3862360099999</v>
      </c>
      <c r="N28" s="2043">
        <f t="shared" ca="1" si="3"/>
        <v>0</v>
      </c>
      <c r="O28" s="2043">
        <f t="shared" ca="1" si="3"/>
        <v>0</v>
      </c>
      <c r="P28" s="2043">
        <f t="shared" ca="1" si="3"/>
        <v>0</v>
      </c>
      <c r="Q28" s="2043">
        <f t="shared" ca="1" si="3"/>
        <v>0</v>
      </c>
      <c r="R28" s="2043">
        <f t="shared" ca="1" si="3"/>
        <v>0</v>
      </c>
      <c r="S28" s="2043">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2030 ( VAT not incl. )</v>
      </c>
      <c r="S30" s="1043">
        <f ca="1">SUM(N28:S28)</f>
        <v>0</v>
      </c>
    </row>
    <row r="31" spans="1:19" s="534" customFormat="1" ht="16.149999999999999" customHeight="1" thickBot="1">
      <c r="A31" s="275"/>
      <c r="B31" s="1040"/>
      <c r="O31" s="1041"/>
      <c r="P31" s="1042"/>
      <c r="Q31" s="1042"/>
      <c r="R31" s="1055" t="str">
        <f>'Collections &amp; Payments 0'!R31</f>
        <v>Yearly Defaulted Credits</v>
      </c>
      <c r="S31" s="1044">
        <f ca="1">-SUM(B27:M27)</f>
        <v>0</v>
      </c>
    </row>
    <row r="32" spans="1:19" s="318" customFormat="1" ht="22.5">
      <c r="A32" s="318" t="str">
        <f>'Collections &amp; Payments 0'!A32</f>
        <v>Purchases &amp; Direct Costs (VAT incl.)</v>
      </c>
      <c r="B32" s="163"/>
      <c r="G32" s="163"/>
      <c r="H32" s="163"/>
    </row>
    <row r="33" spans="1:19" ht="7.5" customHeight="1" thickBot="1">
      <c r="P33" s="541"/>
    </row>
    <row r="34" spans="1:19" ht="15.75" thickBot="1">
      <c r="A34" s="165" t="str">
        <f>'Collections &amp; Payments 0'!A34</f>
        <v>Purchases &amp; Direct Costs</v>
      </c>
      <c r="B34" s="2044" t="str">
        <f t="array" ref="B34:M34">meses</f>
        <v>January</v>
      </c>
      <c r="C34" s="2044" t="str">
        <v>February</v>
      </c>
      <c r="D34" s="2044" t="str">
        <v>March</v>
      </c>
      <c r="E34" s="2044" t="str">
        <v>April</v>
      </c>
      <c r="F34" s="2044" t="str">
        <v>May</v>
      </c>
      <c r="G34" s="2044" t="str">
        <v>June</v>
      </c>
      <c r="H34" s="2044" t="str">
        <v>July</v>
      </c>
      <c r="I34" s="2044" t="str">
        <v>August</v>
      </c>
      <c r="J34" s="2044" t="str">
        <v>September</v>
      </c>
      <c r="K34" s="2044" t="str">
        <v>October</v>
      </c>
      <c r="L34" s="2044" t="str">
        <v>November</v>
      </c>
      <c r="M34" s="2044" t="str">
        <v>December</v>
      </c>
      <c r="N34" s="2045" t="s">
        <v>0</v>
      </c>
      <c r="O34" s="541"/>
    </row>
    <row r="35" spans="1:19" ht="14.25">
      <c r="A35" s="2046" t="str">
        <f t="array" ref="A35:A42">productos</f>
        <v>product 1</v>
      </c>
      <c r="B35" s="1033">
        <f t="array" aca="1" ref="B35:M42" ca="1">'DC Distr 3'!B46:M53+'DC Distr 3'!B59:M66</f>
        <v>145.83862360099999</v>
      </c>
      <c r="C35" s="1033">
        <f ca="1"/>
        <v>145.83862360099999</v>
      </c>
      <c r="D35" s="1033">
        <f ca="1"/>
        <v>145.83862360099999</v>
      </c>
      <c r="E35" s="1033">
        <f ca="1"/>
        <v>145.83862360099999</v>
      </c>
      <c r="F35" s="1033">
        <f ca="1"/>
        <v>145.83862360099999</v>
      </c>
      <c r="G35" s="1033">
        <f ca="1"/>
        <v>145.83862360099999</v>
      </c>
      <c r="H35" s="1033">
        <f ca="1"/>
        <v>145.83862360099999</v>
      </c>
      <c r="I35" s="1033">
        <f ca="1"/>
        <v>145.83862360099999</v>
      </c>
      <c r="J35" s="1033">
        <f ca="1"/>
        <v>145.83862360099999</v>
      </c>
      <c r="K35" s="1033">
        <f ca="1"/>
        <v>145.83862360099999</v>
      </c>
      <c r="L35" s="1033">
        <f ca="1"/>
        <v>145.83862360099999</v>
      </c>
      <c r="M35" s="1033">
        <f ca="1"/>
        <v>145.83862360099999</v>
      </c>
      <c r="N35" s="2047">
        <f t="shared" ref="N35:N42" ca="1" si="4">SUM(B35:M35)</f>
        <v>1750.0634832120004</v>
      </c>
      <c r="O35" s="541"/>
    </row>
    <row r="36" spans="1:19" ht="14.25">
      <c r="A36" s="2048"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7">
        <f t="shared" ca="1" si="4"/>
        <v>0</v>
      </c>
      <c r="O36" s="541"/>
    </row>
    <row r="37" spans="1:19" ht="14.25">
      <c r="A37" s="2048"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7">
        <f t="shared" ca="1" si="4"/>
        <v>0</v>
      </c>
      <c r="O37" s="541"/>
    </row>
    <row r="38" spans="1:19" ht="14.25">
      <c r="A38" s="2048"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7">
        <f t="shared" ca="1" si="4"/>
        <v>0</v>
      </c>
      <c r="O38" s="541"/>
    </row>
    <row r="39" spans="1:19" ht="14.25">
      <c r="A39" s="2048"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7">
        <f t="shared" ca="1" si="4"/>
        <v>0</v>
      </c>
      <c r="O39" s="541"/>
    </row>
    <row r="40" spans="1:19" ht="14.25">
      <c r="A40" s="2048"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7">
        <f t="shared" ca="1" si="4"/>
        <v>0</v>
      </c>
      <c r="O40" s="541"/>
    </row>
    <row r="41" spans="1:19" ht="14.25">
      <c r="A41" s="2048"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7">
        <f t="shared" ca="1" si="4"/>
        <v>0</v>
      </c>
      <c r="O41" s="541"/>
    </row>
    <row r="42" spans="1:19" ht="15" thickBot="1">
      <c r="A42" s="2049"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7">
        <f t="shared" ca="1" si="4"/>
        <v>0</v>
      </c>
      <c r="O42" s="541"/>
    </row>
    <row r="43" spans="1:19" ht="15.75" thickBot="1">
      <c r="A43" s="2050" t="s">
        <v>0</v>
      </c>
      <c r="B43" s="2051">
        <f t="shared" ref="B43:N43" ca="1" si="5">SUM(B35:B42)</f>
        <v>145.83862360099999</v>
      </c>
      <c r="C43" s="2051">
        <f t="shared" ca="1" si="5"/>
        <v>145.83862360099999</v>
      </c>
      <c r="D43" s="2051">
        <f t="shared" ca="1" si="5"/>
        <v>145.83862360099999</v>
      </c>
      <c r="E43" s="2051">
        <f t="shared" ca="1" si="5"/>
        <v>145.83862360099999</v>
      </c>
      <c r="F43" s="2051">
        <f t="shared" ca="1" si="5"/>
        <v>145.83862360099999</v>
      </c>
      <c r="G43" s="2051">
        <f t="shared" ca="1" si="5"/>
        <v>145.83862360099999</v>
      </c>
      <c r="H43" s="2051">
        <f t="shared" ca="1" si="5"/>
        <v>145.83862360099999</v>
      </c>
      <c r="I43" s="2051">
        <f t="shared" ca="1" si="5"/>
        <v>145.83862360099999</v>
      </c>
      <c r="J43" s="2051">
        <f t="shared" ca="1" si="5"/>
        <v>145.83862360099999</v>
      </c>
      <c r="K43" s="2051">
        <f t="shared" ca="1" si="5"/>
        <v>145.83862360099999</v>
      </c>
      <c r="L43" s="2051">
        <f t="shared" ca="1" si="5"/>
        <v>145.83862360099999</v>
      </c>
      <c r="M43" s="2051">
        <f t="shared" ca="1" si="5"/>
        <v>145.83862360099999</v>
      </c>
      <c r="N43" s="2051">
        <f t="shared" ca="1" si="5"/>
        <v>1750.0634832120004</v>
      </c>
      <c r="O43" s="541"/>
    </row>
    <row r="44" spans="1:19">
      <c r="C44" s="541"/>
      <c r="D44" s="541"/>
      <c r="E44" s="541"/>
      <c r="F44" s="541"/>
      <c r="G44" s="541"/>
      <c r="H44" s="541"/>
      <c r="I44" s="541"/>
      <c r="J44" s="541"/>
      <c r="K44" s="541"/>
      <c r="L44" s="541"/>
      <c r="M44" s="541"/>
      <c r="N44" s="541"/>
      <c r="O44" s="541"/>
      <c r="P44" s="541"/>
    </row>
    <row r="45" spans="1:19" s="318" customFormat="1" ht="22.5">
      <c r="A45" s="318" t="str">
        <f>'Collections &amp; Payments 0'!A45</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tr">
        <f>'Collections &amp; Payments 0'!P46</f>
        <v>Pending for the following year:</v>
      </c>
      <c r="Q46" s="1048" t="str">
        <f>Q18</f>
        <v>2030</v>
      </c>
    </row>
    <row r="47" spans="1:19" ht="27.75" customHeight="1" thickBot="1">
      <c r="A47" s="165" t="str">
        <f t="array" ref="A47:A54">'Collections &amp; Payments 0'!A47:A54</f>
        <v>Payment Instalments</v>
      </c>
      <c r="B47" s="2040" t="str">
        <f t="array" ref="B47:S47">B19:S19</f>
        <v>January 
2029</v>
      </c>
      <c r="C47" s="2040" t="str">
        <v>February 
2029</v>
      </c>
      <c r="D47" s="2040" t="str">
        <v>March 
2029</v>
      </c>
      <c r="E47" s="2040" t="str">
        <v>April 
2029</v>
      </c>
      <c r="F47" s="2040" t="str">
        <v>May 
2029</v>
      </c>
      <c r="G47" s="2040" t="str">
        <v>June 
2029</v>
      </c>
      <c r="H47" s="2040" t="str">
        <v>July 
2029</v>
      </c>
      <c r="I47" s="2040" t="str">
        <v>August 
2029</v>
      </c>
      <c r="J47" s="2040" t="str">
        <v>September 
2029</v>
      </c>
      <c r="K47" s="2040" t="str">
        <v>October 
2029</v>
      </c>
      <c r="L47" s="2040" t="str">
        <v>November 
2029</v>
      </c>
      <c r="M47" s="2040" t="str">
        <v>December 
2029</v>
      </c>
      <c r="N47" s="2040" t="str">
        <v>January 
2030</v>
      </c>
      <c r="O47" s="2040" t="str">
        <v>February 
2030</v>
      </c>
      <c r="P47" s="2040" t="str">
        <v>March 
2030</v>
      </c>
      <c r="Q47" s="2040" t="str">
        <v>April 
2030</v>
      </c>
      <c r="R47" s="2040" t="str">
        <v>May 
2030</v>
      </c>
      <c r="S47" s="2040" t="str">
        <v>June 
2030</v>
      </c>
    </row>
    <row r="48" spans="1:19" ht="14.25">
      <c r="A48" s="2041" t="str">
        <v>In Cash</v>
      </c>
      <c r="B48" s="1033">
        <f t="array" aca="1" ref="B48" ca="1">SUM('Cashing &amp; Payment Policies'!$B$88:$B$95*B$35:B$42)</f>
        <v>145.83862360099999</v>
      </c>
      <c r="C48" s="1033">
        <f t="array" aca="1" ref="C48" ca="1">SUM('Cashing &amp; Payment Policies'!$B$88:$B$95*C$35:C$42)</f>
        <v>145.83862360099999</v>
      </c>
      <c r="D48" s="1033">
        <f t="array" aca="1" ref="D48" ca="1">SUM('Cashing &amp; Payment Policies'!$B$88:$B$95*D$35:D$42)</f>
        <v>145.83862360099999</v>
      </c>
      <c r="E48" s="1033">
        <f t="array" aca="1" ref="E48" ca="1">SUM('Cashing &amp; Payment Policies'!$B$88:$B$95*E$35:E$42)</f>
        <v>145.83862360099999</v>
      </c>
      <c r="F48" s="1033">
        <f t="array" aca="1" ref="F48" ca="1">SUM('Cashing &amp; Payment Policies'!$B$88:$B$95*F$35:F$42)</f>
        <v>145.83862360099999</v>
      </c>
      <c r="G48" s="1033">
        <f t="array" aca="1" ref="G48" ca="1">SUM('Cashing &amp; Payment Policies'!$B$88:$B$95*G$35:G$42)</f>
        <v>145.83862360099999</v>
      </c>
      <c r="H48" s="1033">
        <f t="array" aca="1" ref="H48" ca="1">SUM('Cashing &amp; Payment Policies'!$B$88:$B$95*H$35:H$42)</f>
        <v>145.83862360099999</v>
      </c>
      <c r="I48" s="1033">
        <f t="array" aca="1" ref="I48" ca="1">SUM('Cashing &amp; Payment Policies'!$B$88:$B$95*I$35:I$42)</f>
        <v>145.83862360099999</v>
      </c>
      <c r="J48" s="1033">
        <f t="array" aca="1" ref="J48" ca="1">SUM('Cashing &amp; Payment Policies'!$B$88:$B$95*J$35:J$42)</f>
        <v>145.83862360099999</v>
      </c>
      <c r="K48" s="1033">
        <f t="array" aca="1" ref="K48" ca="1">SUM('Cashing &amp; Payment Policies'!$B$88:$B$95*K$35:K$42)</f>
        <v>145.83862360099999</v>
      </c>
      <c r="L48" s="1033">
        <f t="array" aca="1" ref="L48" ca="1">SUM('Cashing &amp; Payment Policies'!$B$88:$B$95*L$35:L$42)</f>
        <v>145.83862360099999</v>
      </c>
      <c r="M48" s="1033">
        <f t="array" aca="1" ref="M48" ca="1">SUM('Cashing &amp; Payment Policies'!$B$88:$B$95*M$35:M$42)</f>
        <v>145.83862360099999</v>
      </c>
      <c r="N48" s="1033"/>
      <c r="O48" s="1033"/>
      <c r="P48" s="1033"/>
      <c r="Q48" s="1033"/>
      <c r="R48" s="1033"/>
      <c r="S48" s="1033"/>
    </row>
    <row r="49" spans="1:19" ht="14.25">
      <c r="A49" s="2421">
        <v>30</v>
      </c>
      <c r="B49" s="1045">
        <f t="array" aca="1" ref="B49:B54" ca="1">'Collections &amp; Payments 2'!N49:N54</f>
        <v>0</v>
      </c>
      <c r="C49" s="1033">
        <f t="array" aca="1" ref="C49" ca="1">SUM('Cashing &amp; Payment Policies'!$C$88:$C$95*B$35:B$42)</f>
        <v>0</v>
      </c>
      <c r="D49" s="1033">
        <f t="array" aca="1" ref="D49" ca="1">SUM('Cashing &amp; Payment Policies'!$C$88:$C$95*C$35:C$42)</f>
        <v>0</v>
      </c>
      <c r="E49" s="1033">
        <f t="array" aca="1" ref="E49" ca="1">SUM('Cashing &amp; Payment Policies'!$C$88:$C$95*D$35:D$42)</f>
        <v>0</v>
      </c>
      <c r="F49" s="1033">
        <f t="array" aca="1" ref="F49" ca="1">SUM('Cashing &amp; Payment Policies'!$C$88:$C$95*E$35:E$42)</f>
        <v>0</v>
      </c>
      <c r="G49" s="1033">
        <f t="array" aca="1" ref="G49" ca="1">SUM('Cashing &amp; Payment Policies'!$C$88:$C$95*F$35:F$42)</f>
        <v>0</v>
      </c>
      <c r="H49" s="1033">
        <f t="array" aca="1" ref="H49" ca="1">SUM('Cashing &amp; Payment Policies'!$C$88:$C$95*G$35:G$42)</f>
        <v>0</v>
      </c>
      <c r="I49" s="1033">
        <f t="array" aca="1" ref="I49" ca="1">SUM('Cashing &amp; Payment Policies'!$C$88:$C$95*H$35:H$42)</f>
        <v>0</v>
      </c>
      <c r="J49" s="1033">
        <f t="array" aca="1" ref="J49" ca="1">SUM('Cashing &amp; Payment Policies'!$C$88:$C$95*I$35:I$42)</f>
        <v>0</v>
      </c>
      <c r="K49" s="1033">
        <f t="array" aca="1" ref="K49" ca="1">SUM('Cashing &amp; Payment Policies'!$C$88:$C$95*J$35:J$42)</f>
        <v>0</v>
      </c>
      <c r="L49" s="1033">
        <f t="array" aca="1" ref="L49" ca="1">SUM('Cashing &amp; Payment Policies'!$C$88:$C$95*K$35:K$42)</f>
        <v>0</v>
      </c>
      <c r="M49" s="1033">
        <f t="array" aca="1" ref="M49" ca="1">SUM('Cashing &amp; Payment Policies'!$C$88:$C$95*L$35:L$42)</f>
        <v>0</v>
      </c>
      <c r="N49" s="1033">
        <f t="array" aca="1" ref="N49" ca="1">SUM('Cashing &amp; Payment Policies'!$C$88:$C$95*M$35:M$42)</f>
        <v>0</v>
      </c>
      <c r="O49" s="1033"/>
      <c r="P49" s="1033"/>
      <c r="Q49" s="1033"/>
      <c r="R49" s="1033"/>
      <c r="S49" s="1033"/>
    </row>
    <row r="50" spans="1:19" ht="14.25">
      <c r="A50" s="2421">
        <v>60</v>
      </c>
      <c r="B50" s="1045">
        <f ca="1"/>
        <v>0</v>
      </c>
      <c r="C50" s="1045">
        <f t="array" aca="1" ref="C50:C54" ca="1">'Collections &amp; Payments 2'!O50:O54</f>
        <v>0</v>
      </c>
      <c r="D50" s="1033">
        <f t="array" aca="1" ref="D50" ca="1">SUM('Cashing &amp; Payment Policies'!$D$88:$D$95*B$35:B$42)</f>
        <v>0</v>
      </c>
      <c r="E50" s="1033">
        <f t="array" aca="1" ref="E50" ca="1">SUM('Cashing &amp; Payment Policies'!$D$88:$D$95*C$35:C$42)</f>
        <v>0</v>
      </c>
      <c r="F50" s="1033">
        <f t="array" aca="1" ref="F50" ca="1">SUM('Cashing &amp; Payment Policies'!$D$88:$D$95*D$35:D$42)</f>
        <v>0</v>
      </c>
      <c r="G50" s="1033">
        <f t="array" aca="1" ref="G50" ca="1">SUM('Cashing &amp; Payment Policies'!$D$88:$D$95*E$35:E$42)</f>
        <v>0</v>
      </c>
      <c r="H50" s="1033">
        <f t="array" aca="1" ref="H50" ca="1">SUM('Cashing &amp; Payment Policies'!$D$88:$D$95*F$35:F$42)</f>
        <v>0</v>
      </c>
      <c r="I50" s="1033">
        <f t="array" aca="1" ref="I50" ca="1">SUM('Cashing &amp; Payment Policies'!$D$88:$D$95*G$35:G$42)</f>
        <v>0</v>
      </c>
      <c r="J50" s="1033">
        <f t="array" aca="1" ref="J50" ca="1">SUM('Cashing &amp; Payment Policies'!$D$88:$D$95*H$35:H$42)</f>
        <v>0</v>
      </c>
      <c r="K50" s="1033">
        <f t="array" aca="1" ref="K50" ca="1">SUM('Cashing &amp; Payment Policies'!$D$88:$D$95*I$35:I$42)</f>
        <v>0</v>
      </c>
      <c r="L50" s="1033">
        <f t="array" aca="1" ref="L50" ca="1">SUM('Cashing &amp; Payment Policies'!$D$88:$D$95*J$35:J$42)</f>
        <v>0</v>
      </c>
      <c r="M50" s="1033">
        <f t="array" aca="1" ref="M50" ca="1">SUM('Cashing &amp; Payment Policies'!$D$88:$D$95*K$35:K$42)</f>
        <v>0</v>
      </c>
      <c r="N50" s="1033">
        <f t="array" aca="1" ref="N50" ca="1">SUM('Cashing &amp; Payment Policies'!$D$88:$D$95*L$35:L$42)</f>
        <v>0</v>
      </c>
      <c r="O50" s="1033">
        <f t="array" aca="1" ref="O50" ca="1">SUM('Cashing &amp; Payment Policies'!$D$88:$D$95*M$35:M$42)</f>
        <v>0</v>
      </c>
      <c r="P50" s="1033"/>
      <c r="Q50" s="1033"/>
      <c r="R50" s="1033"/>
      <c r="S50" s="1033"/>
    </row>
    <row r="51" spans="1:19" ht="14.25">
      <c r="A51" s="2421">
        <v>90</v>
      </c>
      <c r="B51" s="1045">
        <f ca="1"/>
        <v>0</v>
      </c>
      <c r="C51" s="1045">
        <f ca="1"/>
        <v>0</v>
      </c>
      <c r="D51" s="1045">
        <f t="array" aca="1" ref="D51:D54" ca="1">'Collections &amp; Payments 2'!P51:P54</f>
        <v>0</v>
      </c>
      <c r="E51" s="1033">
        <f t="array" aca="1" ref="E51" ca="1">SUM('Cashing &amp; Payment Policies'!$E$88:$E$95*B$35:B$42)</f>
        <v>0</v>
      </c>
      <c r="F51" s="1033">
        <f t="array" aca="1" ref="F51" ca="1">SUM('Cashing &amp; Payment Policies'!$E$88:$E$95*C$35:C$42)</f>
        <v>0</v>
      </c>
      <c r="G51" s="1033">
        <f t="array" aca="1" ref="G51" ca="1">SUM('Cashing &amp; Payment Policies'!$E$88:$E$95*D$35:D$42)</f>
        <v>0</v>
      </c>
      <c r="H51" s="1033">
        <f t="array" aca="1" ref="H51" ca="1">SUM('Cashing &amp; Payment Policies'!$E$88:$E$95*E$35:E$42)</f>
        <v>0</v>
      </c>
      <c r="I51" s="1033">
        <f t="array" aca="1" ref="I51" ca="1">SUM('Cashing &amp; Payment Policies'!$E$88:$E$95*F$35:F$42)</f>
        <v>0</v>
      </c>
      <c r="J51" s="1033">
        <f t="array" aca="1" ref="J51" ca="1">SUM('Cashing &amp; Payment Policies'!$E$88:$E$95*G$35:G$42)</f>
        <v>0</v>
      </c>
      <c r="K51" s="1033">
        <f t="array" aca="1" ref="K51" ca="1">SUM('Cashing &amp; Payment Policies'!$E$88:$E$95*H$35:H$42)</f>
        <v>0</v>
      </c>
      <c r="L51" s="1033">
        <f t="array" aca="1" ref="L51" ca="1">SUM('Cashing &amp; Payment Policies'!$E$88:$E$95*I$35:I$42)</f>
        <v>0</v>
      </c>
      <c r="M51" s="1033">
        <f t="array" aca="1" ref="M51" ca="1">SUM('Cashing &amp; Payment Policies'!$E$88:$E$95*J$35:J$42)</f>
        <v>0</v>
      </c>
      <c r="N51" s="1033">
        <f t="array" aca="1" ref="N51" ca="1">SUM('Cashing &amp; Payment Policies'!$E$88:$E$95*K$35:K$42)</f>
        <v>0</v>
      </c>
      <c r="O51" s="1033">
        <f t="array" aca="1" ref="O51" ca="1">SUM('Cashing &amp; Payment Policies'!$E$88:$E$95*L$35:L$42)</f>
        <v>0</v>
      </c>
      <c r="P51" s="1033">
        <f t="array" aca="1" ref="P51" ca="1">SUM('Cashing &amp; Payment Policies'!$E$88:$E$95*M$35:M$42)</f>
        <v>0</v>
      </c>
      <c r="Q51" s="1033"/>
      <c r="R51" s="1033"/>
      <c r="S51" s="1033"/>
    </row>
    <row r="52" spans="1:19" ht="14.25">
      <c r="A52" s="2421">
        <v>120</v>
      </c>
      <c r="B52" s="1045">
        <f ca="1"/>
        <v>0</v>
      </c>
      <c r="C52" s="1045">
        <f ca="1"/>
        <v>0</v>
      </c>
      <c r="D52" s="1045">
        <f ca="1"/>
        <v>0</v>
      </c>
      <c r="E52" s="1045">
        <f t="array" aca="1" ref="E52:E54" ca="1">'Collections &amp; Payments 2'!Q52:Q54</f>
        <v>0</v>
      </c>
      <c r="F52" s="1033">
        <f t="array" aca="1" ref="F52" ca="1">SUM('Cashing &amp; Payment Policies'!$F$88:$F$95*B$35:B$42)</f>
        <v>0</v>
      </c>
      <c r="G52" s="1033">
        <f t="array" aca="1" ref="G52" ca="1">SUM('Cashing &amp; Payment Policies'!$F$88:$F$95*C$35:C$42)</f>
        <v>0</v>
      </c>
      <c r="H52" s="1033">
        <f t="array" aca="1" ref="H52" ca="1">SUM('Cashing &amp; Payment Policies'!$F$88:$F$95*D$35:D$42)</f>
        <v>0</v>
      </c>
      <c r="I52" s="1033">
        <f t="array" aca="1" ref="I52" ca="1">SUM('Cashing &amp; Payment Policies'!$F$88:$F$95*E$35:E$42)</f>
        <v>0</v>
      </c>
      <c r="J52" s="1033">
        <f t="array" aca="1" ref="J52" ca="1">SUM('Cashing &amp; Payment Policies'!$F$88:$F$95*F$35:F$42)</f>
        <v>0</v>
      </c>
      <c r="K52" s="1033">
        <f t="array" aca="1" ref="K52" ca="1">SUM('Cashing &amp; Payment Policies'!$F$88:$F$95*G$35:G$42)</f>
        <v>0</v>
      </c>
      <c r="L52" s="1033">
        <f t="array" aca="1" ref="L52" ca="1">SUM('Cashing &amp; Payment Policies'!$F$88:$F$95*H$35:H$42)</f>
        <v>0</v>
      </c>
      <c r="M52" s="1033">
        <f t="array" aca="1" ref="M52" ca="1">SUM('Cashing &amp; Payment Policies'!$F$88:$F$95*I$35:I$42)</f>
        <v>0</v>
      </c>
      <c r="N52" s="1033">
        <f t="array" aca="1" ref="N52" ca="1">SUM('Cashing &amp; Payment Policies'!$F$88:$F$95*J$35:J$42)</f>
        <v>0</v>
      </c>
      <c r="O52" s="1033">
        <f t="array" aca="1" ref="O52" ca="1">SUM('Cashing &amp; Payment Policies'!$F$88:$F$95*K$35:K$42)</f>
        <v>0</v>
      </c>
      <c r="P52" s="1033">
        <f t="array" aca="1" ref="P52" ca="1">SUM('Cashing &amp; Payment Policies'!$F$88:$F$95*L$35:L$42)</f>
        <v>0</v>
      </c>
      <c r="Q52" s="1033">
        <f t="array" aca="1" ref="Q52" ca="1">SUM('Cashing &amp; Payment Policies'!$F$88:$F$95*M$35:M$42)</f>
        <v>0</v>
      </c>
      <c r="R52" s="1033"/>
      <c r="S52" s="1033"/>
    </row>
    <row r="53" spans="1:19" ht="14.25">
      <c r="A53" s="2421">
        <v>150</v>
      </c>
      <c r="B53" s="1045">
        <f ca="1"/>
        <v>0</v>
      </c>
      <c r="C53" s="1045">
        <f ca="1"/>
        <v>0</v>
      </c>
      <c r="D53" s="1045">
        <f ca="1"/>
        <v>0</v>
      </c>
      <c r="E53" s="1045">
        <f ca="1"/>
        <v>0</v>
      </c>
      <c r="F53" s="1045">
        <f t="array" aca="1" ref="F53:F54" ca="1">'Collections &amp; Payments 2'!R53:R54</f>
        <v>0</v>
      </c>
      <c r="G53" s="1033">
        <f t="array" aca="1" ref="G53" ca="1">SUM('Cashing &amp; Payment Policies'!$G$88:$G$95*B$35:B$42)</f>
        <v>0</v>
      </c>
      <c r="H53" s="1033">
        <f t="array" aca="1" ref="H53" ca="1">SUM('Cashing &amp; Payment Policies'!$G$88:$G$95*C$35:C$42)</f>
        <v>0</v>
      </c>
      <c r="I53" s="1033">
        <f t="array" aca="1" ref="I53" ca="1">SUM('Cashing &amp; Payment Policies'!$G$88:$G$95*D$35:D$42)</f>
        <v>0</v>
      </c>
      <c r="J53" s="1033">
        <f t="array" aca="1" ref="J53" ca="1">SUM('Cashing &amp; Payment Policies'!$G$88:$G$95*E$35:E$42)</f>
        <v>0</v>
      </c>
      <c r="K53" s="1033">
        <f t="array" aca="1" ref="K53" ca="1">SUM('Cashing &amp; Payment Policies'!$G$88:$G$95*F$35:F$42)</f>
        <v>0</v>
      </c>
      <c r="L53" s="1033">
        <f t="array" aca="1" ref="L53" ca="1">SUM('Cashing &amp; Payment Policies'!$G$88:$G$95*G$35:G$42)</f>
        <v>0</v>
      </c>
      <c r="M53" s="1033">
        <f t="array" aca="1" ref="M53" ca="1">SUM('Cashing &amp; Payment Policies'!$G$88:$G$95*H$35:H$42)</f>
        <v>0</v>
      </c>
      <c r="N53" s="1033">
        <f t="array" aca="1" ref="N53" ca="1">SUM('Cashing &amp; Payment Policies'!$G$88:$G$95*I$35:I$42)</f>
        <v>0</v>
      </c>
      <c r="O53" s="1033">
        <f t="array" aca="1" ref="O53" ca="1">SUM('Cashing &amp; Payment Policies'!$G$88:$G$95*J$35:J$42)</f>
        <v>0</v>
      </c>
      <c r="P53" s="1033">
        <f t="array" aca="1" ref="P53" ca="1">SUM('Cashing &amp; Payment Policies'!$G$88:$G$95*K$35:K$42)</f>
        <v>0</v>
      </c>
      <c r="Q53" s="1033">
        <f t="array" aca="1" ref="Q53" ca="1">SUM('Cashing &amp; Payment Policies'!$G$88:$G$95*L$35:L$42)</f>
        <v>0</v>
      </c>
      <c r="R53" s="1033">
        <f t="array" aca="1" ref="R53" ca="1">SUM('Cashing &amp; Payment Policies'!$G$88:$G$95*M$35:M$42)</f>
        <v>0</v>
      </c>
      <c r="S53" s="1033"/>
    </row>
    <row r="54" spans="1:19" ht="14.25">
      <c r="A54" s="2422">
        <v>180</v>
      </c>
      <c r="B54" s="1045">
        <f ca="1"/>
        <v>0</v>
      </c>
      <c r="C54" s="1045">
        <f ca="1"/>
        <v>0</v>
      </c>
      <c r="D54" s="1045">
        <f ca="1"/>
        <v>0</v>
      </c>
      <c r="E54" s="1045">
        <f ca="1"/>
        <v>0</v>
      </c>
      <c r="F54" s="1045">
        <f ca="1"/>
        <v>0</v>
      </c>
      <c r="G54" s="1045">
        <f ca="1">'Collections &amp; Payments 2'!S54</f>
        <v>0</v>
      </c>
      <c r="H54" s="1033">
        <f t="array" aca="1" ref="H54" ca="1">SUM('Cashing &amp; Payment Policies'!$H$88:$H$95*B$35:B$42)</f>
        <v>0</v>
      </c>
      <c r="I54" s="1033">
        <f t="array" aca="1" ref="I54" ca="1">SUM('Cashing &amp; Payment Policies'!$H$88:$H$95*C$35:C$42)</f>
        <v>0</v>
      </c>
      <c r="J54" s="1033">
        <f t="array" aca="1" ref="J54" ca="1">SUM('Cashing &amp; Payment Policies'!$H$88:$H$95*D$35:D$42)</f>
        <v>0</v>
      </c>
      <c r="K54" s="1033">
        <f t="array" aca="1" ref="K54" ca="1">SUM('Cashing &amp; Payment Policies'!$H$88:$H$95*E$35:E$42)</f>
        <v>0</v>
      </c>
      <c r="L54" s="1033">
        <f t="array" aca="1" ref="L54" ca="1">SUM('Cashing &amp; Payment Policies'!$H$88:$H$95*F$35:F$42)</f>
        <v>0</v>
      </c>
      <c r="M54" s="1033">
        <f t="array" aca="1" ref="M54" ca="1">SUM('Cashing &amp; Payment Policies'!$H$88:$H$95*G$35:G$42)</f>
        <v>0</v>
      </c>
      <c r="N54" s="1033">
        <f t="array" aca="1" ref="N54" ca="1">SUM('Cashing &amp; Payment Policies'!$H$88:$H$95*H$35:H$42)</f>
        <v>0</v>
      </c>
      <c r="O54" s="1033">
        <f t="array" aca="1" ref="O54" ca="1">SUM('Cashing &amp; Payment Policies'!$H$88:$H$95*I$35:I$42)</f>
        <v>0</v>
      </c>
      <c r="P54" s="1033">
        <f t="array" aca="1" ref="P54" ca="1">SUM('Cashing &amp; Payment Policies'!$H$88:$H$95*J$35:J$42)</f>
        <v>0</v>
      </c>
      <c r="Q54" s="1033">
        <f t="array" aca="1" ref="Q54" ca="1">SUM('Cashing &amp; Payment Policies'!$H$88:$H$95*K$35:K$42)</f>
        <v>0</v>
      </c>
      <c r="R54" s="1033">
        <f t="array" aca="1" ref="R54" ca="1">SUM('Cashing &amp; Payment Policies'!$H$88:$H$95*L$35:L$42)</f>
        <v>0</v>
      </c>
      <c r="S54" s="1033">
        <f t="array" aca="1" ref="S54" ca="1">SUM('Cashing &amp; Payment Policies'!$H$88:$H$95*M$35:M$42)</f>
        <v>0</v>
      </c>
    </row>
    <row r="55" spans="1:19" ht="15.75" thickBot="1">
      <c r="A55" s="2423" t="s">
        <v>577</v>
      </c>
      <c r="B55" s="2052">
        <f t="shared" ref="B55:S55" ca="1" si="6">SUM(B48:B54)</f>
        <v>145.83862360099999</v>
      </c>
      <c r="C55" s="2052">
        <f t="shared" ca="1" si="6"/>
        <v>145.83862360099999</v>
      </c>
      <c r="D55" s="2052">
        <f t="shared" ca="1" si="6"/>
        <v>145.83862360099999</v>
      </c>
      <c r="E55" s="2052">
        <f t="shared" ca="1" si="6"/>
        <v>145.83862360099999</v>
      </c>
      <c r="F55" s="2052">
        <f t="shared" ca="1" si="6"/>
        <v>145.83862360099999</v>
      </c>
      <c r="G55" s="2052">
        <f t="shared" ca="1" si="6"/>
        <v>145.83862360099999</v>
      </c>
      <c r="H55" s="2052">
        <f t="shared" ca="1" si="6"/>
        <v>145.83862360099999</v>
      </c>
      <c r="I55" s="2052">
        <f t="shared" ca="1" si="6"/>
        <v>145.83862360099999</v>
      </c>
      <c r="J55" s="2052">
        <f t="shared" ca="1" si="6"/>
        <v>145.83862360099999</v>
      </c>
      <c r="K55" s="2052">
        <f t="shared" ca="1" si="6"/>
        <v>145.83862360099999</v>
      </c>
      <c r="L55" s="2052">
        <f t="shared" ca="1" si="6"/>
        <v>145.83862360099999</v>
      </c>
      <c r="M55" s="2052">
        <f t="shared" ca="1" si="6"/>
        <v>145.83862360099999</v>
      </c>
      <c r="N55" s="2052">
        <f t="shared" ca="1" si="6"/>
        <v>0</v>
      </c>
      <c r="O55" s="2052">
        <f t="shared" ca="1" si="6"/>
        <v>0</v>
      </c>
      <c r="P55" s="2052">
        <f t="shared" ca="1" si="6"/>
        <v>0</v>
      </c>
      <c r="Q55" s="2052">
        <f t="shared" ca="1" si="6"/>
        <v>0</v>
      </c>
      <c r="R55" s="2052">
        <f t="shared" ca="1" si="6"/>
        <v>0</v>
      </c>
      <c r="S55" s="2052">
        <f t="shared" ca="1" si="6"/>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2030 ( VAT not incl.)</v>
      </c>
      <c r="S57" s="1057">
        <f ca="1">SUM(N55:S55)</f>
        <v>0</v>
      </c>
    </row>
  </sheetData>
  <sheetProtection sheet="1" objects="1" scenarios="1"/>
  <phoneticPr fontId="7"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2">
    <tabColor indexed="61"/>
    <pageSetUpPr fitToPage="1"/>
  </sheetPr>
  <dimension ref="A1:S57"/>
  <sheetViews>
    <sheetView zoomScale="75" zoomScaleNormal="100" workbookViewId="0">
      <pane xSplit="1" topLeftCell="B1" activePane="topRight" state="frozenSplit"/>
      <selection activeCell="E22" sqref="E22"/>
      <selection pane="topRight" activeCell="E22" sqref="E22"/>
    </sheetView>
  </sheetViews>
  <sheetFormatPr baseColWidth="10" defaultColWidth="11" defaultRowHeight="12.75"/>
  <cols>
    <col min="1" max="1" width="24.75" style="275" customWidth="1"/>
    <col min="2" max="2" width="9.75" style="277" customWidth="1"/>
    <col min="3" max="4" width="10" style="86" customWidth="1"/>
    <col min="5" max="5" width="11.375" style="86" customWidth="1"/>
    <col min="6" max="14" width="10" style="86" customWidth="1"/>
    <col min="15" max="15" width="9.5" style="275" customWidth="1"/>
    <col min="16" max="16384" width="11" style="86"/>
  </cols>
  <sheetData>
    <row r="1" spans="1:15" ht="25.5">
      <c r="A1" s="936" t="str">
        <f>'Collections &amp; Payments 0'!A1</f>
        <v xml:space="preserve">Cashing &amp; Payments </v>
      </c>
      <c r="B1" s="1049"/>
      <c r="E1" s="515" t="str">
        <f>Parameters!F$77</f>
        <v>Year 4:   2030</v>
      </c>
      <c r="F1" s="291"/>
      <c r="M1" s="1050"/>
      <c r="O1" s="86"/>
    </row>
    <row r="2" spans="1:15" s="534" customFormat="1" ht="25.5">
      <c r="A2" s="162" t="str">
        <f>'Base Data'!B9</f>
        <v>WWW, Ltd.</v>
      </c>
      <c r="B2" s="1049"/>
      <c r="D2" s="1051"/>
      <c r="E2" s="159"/>
    </row>
    <row r="3" spans="1:15" ht="21" customHeight="1">
      <c r="A3" s="86"/>
      <c r="B3" s="1036"/>
      <c r="O3" s="86"/>
    </row>
    <row r="4" spans="1:15" ht="25.5">
      <c r="A4" s="162" t="str">
        <f>'Collections &amp; Payments 0'!A4</f>
        <v>Sales (VAT incl.)</v>
      </c>
      <c r="B4" s="1036"/>
      <c r="E4" s="163"/>
      <c r="F4" s="163"/>
      <c r="O4" s="86"/>
    </row>
    <row r="5" spans="1:15" ht="5.25" customHeight="1" thickBot="1"/>
    <row r="6" spans="1:15" s="1032" customFormat="1" ht="16.149999999999999" customHeight="1" thickBot="1">
      <c r="A6" s="165" t="str">
        <f>'Collections &amp; Payments 0'!A6</f>
        <v>Sales</v>
      </c>
      <c r="B6" s="2044" t="str">
        <f t="array" ref="B6:M6">meses</f>
        <v>January</v>
      </c>
      <c r="C6" s="2045" t="str">
        <v>February</v>
      </c>
      <c r="D6" s="2045" t="str">
        <v>March</v>
      </c>
      <c r="E6" s="2045" t="str">
        <v>April</v>
      </c>
      <c r="F6" s="2045" t="str">
        <v>May</v>
      </c>
      <c r="G6" s="2045" t="str">
        <v>June</v>
      </c>
      <c r="H6" s="2045" t="str">
        <v>July</v>
      </c>
      <c r="I6" s="2045" t="str">
        <v>August</v>
      </c>
      <c r="J6" s="2045" t="str">
        <v>September</v>
      </c>
      <c r="K6" s="2045" t="str">
        <v>October</v>
      </c>
      <c r="L6" s="2045" t="str">
        <v>November</v>
      </c>
      <c r="M6" s="2045" t="str">
        <v>December</v>
      </c>
      <c r="N6" s="2045" t="s">
        <v>0</v>
      </c>
    </row>
    <row r="7" spans="1:15" s="541" customFormat="1" ht="16.149999999999999" customHeight="1">
      <c r="A7" s="2046" t="str">
        <f t="array" ref="A7:A14">productos</f>
        <v>product 1</v>
      </c>
      <c r="B7" s="1033">
        <f t="array" aca="1" ref="B7:M14" ca="1">'Sales Forecast 4'!B17:M24*(  1+Parameters!$E24:$E31-ret_irpf   )</f>
        <v>1577.0404343958</v>
      </c>
      <c r="C7" s="1033">
        <f ca="1"/>
        <v>1577.0404343958</v>
      </c>
      <c r="D7" s="1033">
        <f ca="1"/>
        <v>1577.0404343958</v>
      </c>
      <c r="E7" s="1033">
        <f ca="1"/>
        <v>1577.0404343958</v>
      </c>
      <c r="F7" s="1033">
        <f ca="1"/>
        <v>1577.0404343958</v>
      </c>
      <c r="G7" s="1033">
        <f ca="1"/>
        <v>1577.0404343958</v>
      </c>
      <c r="H7" s="1033">
        <f ca="1"/>
        <v>1577.0404343958</v>
      </c>
      <c r="I7" s="1033">
        <f ca="1"/>
        <v>1577.0404343958</v>
      </c>
      <c r="J7" s="1033">
        <f ca="1"/>
        <v>1577.0404343958</v>
      </c>
      <c r="K7" s="1033">
        <f ca="1"/>
        <v>1577.0404343958</v>
      </c>
      <c r="L7" s="1033">
        <f ca="1"/>
        <v>1577.0404343958</v>
      </c>
      <c r="M7" s="1033">
        <f ca="1"/>
        <v>1577.0404343958</v>
      </c>
      <c r="N7" s="2047">
        <f t="shared" ref="N7:N14" ca="1" si="0">SUM(B7:M7)</f>
        <v>18924.485212749601</v>
      </c>
    </row>
    <row r="8" spans="1:15" s="541" customFormat="1" ht="16.149999999999999" customHeight="1">
      <c r="A8" s="2048" t="str">
        <v/>
      </c>
      <c r="B8" s="1033">
        <f ca="1"/>
        <v>0</v>
      </c>
      <c r="C8" s="1033">
        <f ca="1"/>
        <v>0</v>
      </c>
      <c r="D8" s="1033">
        <f ca="1"/>
        <v>0</v>
      </c>
      <c r="E8" s="1033">
        <f ca="1"/>
        <v>0</v>
      </c>
      <c r="F8" s="1033">
        <f ca="1"/>
        <v>0</v>
      </c>
      <c r="G8" s="1033">
        <f ca="1"/>
        <v>0</v>
      </c>
      <c r="H8" s="1033">
        <f ca="1"/>
        <v>0</v>
      </c>
      <c r="I8" s="1033">
        <f ca="1"/>
        <v>0</v>
      </c>
      <c r="J8" s="1033">
        <f ca="1"/>
        <v>0</v>
      </c>
      <c r="K8" s="1033">
        <f ca="1"/>
        <v>0</v>
      </c>
      <c r="L8" s="1033">
        <f ca="1"/>
        <v>0</v>
      </c>
      <c r="M8" s="1033">
        <f ca="1"/>
        <v>0</v>
      </c>
      <c r="N8" s="2047">
        <f t="shared" ca="1" si="0"/>
        <v>0</v>
      </c>
    </row>
    <row r="9" spans="1:15" s="541" customFormat="1" ht="16.149999999999999" customHeight="1">
      <c r="A9" s="2048" t="str">
        <v/>
      </c>
      <c r="B9" s="1033">
        <f ca="1"/>
        <v>0</v>
      </c>
      <c r="C9" s="1033">
        <f ca="1"/>
        <v>0</v>
      </c>
      <c r="D9" s="1033">
        <f ca="1"/>
        <v>0</v>
      </c>
      <c r="E9" s="1033">
        <f ca="1"/>
        <v>0</v>
      </c>
      <c r="F9" s="1033">
        <f ca="1"/>
        <v>0</v>
      </c>
      <c r="G9" s="1033">
        <f ca="1"/>
        <v>0</v>
      </c>
      <c r="H9" s="1033">
        <f ca="1"/>
        <v>0</v>
      </c>
      <c r="I9" s="1033">
        <f ca="1"/>
        <v>0</v>
      </c>
      <c r="J9" s="1033">
        <f ca="1"/>
        <v>0</v>
      </c>
      <c r="K9" s="1033">
        <f ca="1"/>
        <v>0</v>
      </c>
      <c r="L9" s="1033">
        <f ca="1"/>
        <v>0</v>
      </c>
      <c r="M9" s="1033">
        <f ca="1"/>
        <v>0</v>
      </c>
      <c r="N9" s="2047">
        <f t="shared" ca="1" si="0"/>
        <v>0</v>
      </c>
    </row>
    <row r="10" spans="1:15" s="541" customFormat="1" ht="16.149999999999999" customHeight="1">
      <c r="A10" s="2048" t="str">
        <v/>
      </c>
      <c r="B10" s="1033">
        <f ca="1"/>
        <v>0</v>
      </c>
      <c r="C10" s="1033">
        <f ca="1"/>
        <v>0</v>
      </c>
      <c r="D10" s="1033">
        <f ca="1"/>
        <v>0</v>
      </c>
      <c r="E10" s="1033">
        <f ca="1"/>
        <v>0</v>
      </c>
      <c r="F10" s="1033">
        <f ca="1"/>
        <v>0</v>
      </c>
      <c r="G10" s="1033">
        <f ca="1"/>
        <v>0</v>
      </c>
      <c r="H10" s="1033">
        <f ca="1"/>
        <v>0</v>
      </c>
      <c r="I10" s="1033">
        <f ca="1"/>
        <v>0</v>
      </c>
      <c r="J10" s="1033">
        <f ca="1"/>
        <v>0</v>
      </c>
      <c r="K10" s="1033">
        <f ca="1"/>
        <v>0</v>
      </c>
      <c r="L10" s="1033">
        <f ca="1"/>
        <v>0</v>
      </c>
      <c r="M10" s="1033">
        <f ca="1"/>
        <v>0</v>
      </c>
      <c r="N10" s="2047">
        <f t="shared" ca="1" si="0"/>
        <v>0</v>
      </c>
    </row>
    <row r="11" spans="1:15" s="541" customFormat="1" ht="16.149999999999999" customHeight="1">
      <c r="A11" s="2048" t="str">
        <v/>
      </c>
      <c r="B11" s="1033">
        <f ca="1"/>
        <v>0</v>
      </c>
      <c r="C11" s="1033">
        <f ca="1"/>
        <v>0</v>
      </c>
      <c r="D11" s="1033">
        <f ca="1"/>
        <v>0</v>
      </c>
      <c r="E11" s="1033">
        <f ca="1"/>
        <v>0</v>
      </c>
      <c r="F11" s="1033">
        <f ca="1"/>
        <v>0</v>
      </c>
      <c r="G11" s="1033">
        <f ca="1"/>
        <v>0</v>
      </c>
      <c r="H11" s="1033">
        <f ca="1"/>
        <v>0</v>
      </c>
      <c r="I11" s="1033">
        <f ca="1"/>
        <v>0</v>
      </c>
      <c r="J11" s="1033">
        <f ca="1"/>
        <v>0</v>
      </c>
      <c r="K11" s="1033">
        <f ca="1"/>
        <v>0</v>
      </c>
      <c r="L11" s="1033">
        <f ca="1"/>
        <v>0</v>
      </c>
      <c r="M11" s="1033">
        <f ca="1"/>
        <v>0</v>
      </c>
      <c r="N11" s="2047">
        <f t="shared" ca="1" si="0"/>
        <v>0</v>
      </c>
    </row>
    <row r="12" spans="1:15" s="541" customFormat="1" ht="16.149999999999999" customHeight="1">
      <c r="A12" s="2048" t="str">
        <v/>
      </c>
      <c r="B12" s="1033">
        <f ca="1"/>
        <v>0</v>
      </c>
      <c r="C12" s="1033">
        <f ca="1"/>
        <v>0</v>
      </c>
      <c r="D12" s="1033">
        <f ca="1"/>
        <v>0</v>
      </c>
      <c r="E12" s="1033">
        <f ca="1"/>
        <v>0</v>
      </c>
      <c r="F12" s="1033">
        <f ca="1"/>
        <v>0</v>
      </c>
      <c r="G12" s="1033">
        <f ca="1"/>
        <v>0</v>
      </c>
      <c r="H12" s="1033">
        <f ca="1"/>
        <v>0</v>
      </c>
      <c r="I12" s="1033">
        <f ca="1"/>
        <v>0</v>
      </c>
      <c r="J12" s="1033">
        <f ca="1"/>
        <v>0</v>
      </c>
      <c r="K12" s="1033">
        <f ca="1"/>
        <v>0</v>
      </c>
      <c r="L12" s="1033">
        <f ca="1"/>
        <v>0</v>
      </c>
      <c r="M12" s="1033">
        <f ca="1"/>
        <v>0</v>
      </c>
      <c r="N12" s="2047">
        <f t="shared" ca="1" si="0"/>
        <v>0</v>
      </c>
    </row>
    <row r="13" spans="1:15" s="541" customFormat="1" ht="16.149999999999999" customHeight="1">
      <c r="A13" s="2048" t="str">
        <v/>
      </c>
      <c r="B13" s="1033">
        <f ca="1"/>
        <v>0</v>
      </c>
      <c r="C13" s="1033">
        <f ca="1"/>
        <v>0</v>
      </c>
      <c r="D13" s="1033">
        <f ca="1"/>
        <v>0</v>
      </c>
      <c r="E13" s="1033">
        <f ca="1"/>
        <v>0</v>
      </c>
      <c r="F13" s="1033">
        <f ca="1"/>
        <v>0</v>
      </c>
      <c r="G13" s="1033">
        <f ca="1"/>
        <v>0</v>
      </c>
      <c r="H13" s="1033">
        <f ca="1"/>
        <v>0</v>
      </c>
      <c r="I13" s="1033">
        <f ca="1"/>
        <v>0</v>
      </c>
      <c r="J13" s="1033">
        <f ca="1"/>
        <v>0</v>
      </c>
      <c r="K13" s="1033">
        <f ca="1"/>
        <v>0</v>
      </c>
      <c r="L13" s="1033">
        <f ca="1"/>
        <v>0</v>
      </c>
      <c r="M13" s="1033">
        <f ca="1"/>
        <v>0</v>
      </c>
      <c r="N13" s="2047">
        <f t="shared" ca="1" si="0"/>
        <v>0</v>
      </c>
    </row>
    <row r="14" spans="1:15" s="541" customFormat="1" ht="16.149999999999999" customHeight="1" thickBot="1">
      <c r="A14" s="2049" t="str">
        <v/>
      </c>
      <c r="B14" s="1034">
        <f ca="1"/>
        <v>0</v>
      </c>
      <c r="C14" s="1034">
        <f ca="1"/>
        <v>0</v>
      </c>
      <c r="D14" s="1034">
        <f ca="1"/>
        <v>0</v>
      </c>
      <c r="E14" s="1034">
        <f ca="1"/>
        <v>0</v>
      </c>
      <c r="F14" s="1034">
        <f ca="1"/>
        <v>0</v>
      </c>
      <c r="G14" s="1034">
        <f ca="1"/>
        <v>0</v>
      </c>
      <c r="H14" s="1034">
        <f ca="1"/>
        <v>0</v>
      </c>
      <c r="I14" s="1034">
        <f ca="1"/>
        <v>0</v>
      </c>
      <c r="J14" s="1034">
        <f ca="1"/>
        <v>0</v>
      </c>
      <c r="K14" s="1034">
        <f ca="1"/>
        <v>0</v>
      </c>
      <c r="L14" s="1034">
        <f ca="1"/>
        <v>0</v>
      </c>
      <c r="M14" s="1034">
        <f ca="1"/>
        <v>0</v>
      </c>
      <c r="N14" s="2047">
        <f t="shared" ca="1" si="0"/>
        <v>0</v>
      </c>
    </row>
    <row r="15" spans="1:15" s="541" customFormat="1" ht="16.149999999999999" customHeight="1" thickBot="1">
      <c r="A15" s="2050" t="s">
        <v>0</v>
      </c>
      <c r="B15" s="2051">
        <f t="shared" ref="B15:N15" ca="1" si="1">SUM(B7:B14)</f>
        <v>1577.0404343958</v>
      </c>
      <c r="C15" s="2051">
        <f t="shared" ca="1" si="1"/>
        <v>1577.0404343958</v>
      </c>
      <c r="D15" s="2051">
        <f t="shared" ca="1" si="1"/>
        <v>1577.0404343958</v>
      </c>
      <c r="E15" s="2051">
        <f t="shared" ca="1" si="1"/>
        <v>1577.0404343958</v>
      </c>
      <c r="F15" s="2051">
        <f t="shared" ca="1" si="1"/>
        <v>1577.0404343958</v>
      </c>
      <c r="G15" s="2051">
        <f t="shared" ca="1" si="1"/>
        <v>1577.0404343958</v>
      </c>
      <c r="H15" s="2051">
        <f t="shared" ca="1" si="1"/>
        <v>1577.0404343958</v>
      </c>
      <c r="I15" s="2051">
        <f t="shared" ca="1" si="1"/>
        <v>1577.0404343958</v>
      </c>
      <c r="J15" s="2051">
        <f t="shared" ca="1" si="1"/>
        <v>1577.0404343958</v>
      </c>
      <c r="K15" s="2051">
        <f t="shared" ca="1" si="1"/>
        <v>1577.0404343958</v>
      </c>
      <c r="L15" s="2051">
        <f t="shared" ca="1" si="1"/>
        <v>1577.0404343958</v>
      </c>
      <c r="M15" s="2051">
        <f t="shared" ca="1" si="1"/>
        <v>1577.0404343958</v>
      </c>
      <c r="N15" s="2051">
        <f t="shared" ca="1" si="1"/>
        <v>18924.485212749601</v>
      </c>
    </row>
    <row r="16" spans="1:15" s="541" customFormat="1" ht="16.149999999999999" customHeight="1">
      <c r="A16" s="24"/>
    </row>
    <row r="17" spans="1:19" s="318" customFormat="1" ht="22.5">
      <c r="A17" s="318" t="str">
        <f>'Collections &amp; Payments 0'!A17</f>
        <v>Yearly Sales Cashing</v>
      </c>
      <c r="B17" s="163"/>
      <c r="E17" s="163"/>
      <c r="F17" s="163"/>
    </row>
    <row r="18" spans="1:19" ht="16.5" customHeight="1" thickBot="1">
      <c r="A18" s="86"/>
      <c r="B18" s="86"/>
      <c r="O18" s="86"/>
      <c r="P18" s="1035" t="str">
        <f>'Collections &amp; Payments 0'!P18</f>
        <v>Pending for the following year:</v>
      </c>
      <c r="Q18" s="1048" t="str">
        <f>Parameters!I65</f>
        <v>2031</v>
      </c>
    </row>
    <row r="19" spans="1:19" s="1032" customFormat="1" ht="28.5" customHeight="1" thickBot="1">
      <c r="A19" s="165" t="str">
        <f t="array" ref="A19:A27">'Collections &amp; Payments 0'!A19:A27</f>
        <v>Cash Collections</v>
      </c>
      <c r="B19" s="2040" t="str">
        <f t="array" ref="B19:M19">'Sales Forecasts'!B57:M57</f>
        <v>January 
2030</v>
      </c>
      <c r="C19" s="2040" t="str">
        <v>February 
2030</v>
      </c>
      <c r="D19" s="2040" t="str">
        <v>March 
2030</v>
      </c>
      <c r="E19" s="2040" t="str">
        <v>April 
2030</v>
      </c>
      <c r="F19" s="2040" t="str">
        <v>May 
2030</v>
      </c>
      <c r="G19" s="2040" t="str">
        <v>June 
2030</v>
      </c>
      <c r="H19" s="2040" t="str">
        <v>July 
2030</v>
      </c>
      <c r="I19" s="2040" t="str">
        <v>August 
2030</v>
      </c>
      <c r="J19" s="2040" t="str">
        <v>September 
2030</v>
      </c>
      <c r="K19" s="2040" t="str">
        <v>October 
2030</v>
      </c>
      <c r="L19" s="2040" t="str">
        <v>November 
2030</v>
      </c>
      <c r="M19" s="2040" t="str">
        <v>December 
2030</v>
      </c>
      <c r="N19" s="2040" t="str">
        <f t="array" ref="N19:S19">'Sales Forecasts'!B70:G70</f>
        <v>January 
2031</v>
      </c>
      <c r="O19" s="2040" t="str">
        <v>February 
2031</v>
      </c>
      <c r="P19" s="2040" t="str">
        <v>March 
2031</v>
      </c>
      <c r="Q19" s="2040" t="str">
        <v>April 
2031</v>
      </c>
      <c r="R19" s="2040" t="str">
        <v>May 
2031</v>
      </c>
      <c r="S19" s="2040" t="str">
        <v>June 
2031</v>
      </c>
    </row>
    <row r="20" spans="1:19" s="534" customFormat="1" ht="16.149999999999999" customHeight="1">
      <c r="A20" s="2041" t="str">
        <v>In Cash</v>
      </c>
      <c r="B20" s="1037">
        <f t="array" aca="1" ref="B20" ca="1">SUM('Cashing &amp; Payment Policies'!$B$39:$B$46*B7:B14)</f>
        <v>1577.0404343958</v>
      </c>
      <c r="C20" s="1037">
        <f t="array" aca="1" ref="C20" ca="1">SUM('Cashing &amp; Payment Policies'!$B$39:$B$46*C7:C14)</f>
        <v>1577.0404343958</v>
      </c>
      <c r="D20" s="1037">
        <f t="array" aca="1" ref="D20" ca="1">SUM('Cashing &amp; Payment Policies'!$B$39:$B$46*D7:D14)</f>
        <v>1577.0404343958</v>
      </c>
      <c r="E20" s="1037">
        <f t="array" aca="1" ref="E20" ca="1">SUM('Cashing &amp; Payment Policies'!$B$39:$B$46*E7:E14)</f>
        <v>1577.0404343958</v>
      </c>
      <c r="F20" s="1037">
        <f t="array" aca="1" ref="F20" ca="1">SUM('Cashing &amp; Payment Policies'!$B$39:$B$46*F7:F14)</f>
        <v>1577.0404343958</v>
      </c>
      <c r="G20" s="1037">
        <f t="array" aca="1" ref="G20" ca="1">SUM('Cashing &amp; Payment Policies'!$B$39:$B$46*G7:G14)</f>
        <v>1577.0404343958</v>
      </c>
      <c r="H20" s="1037">
        <f t="array" aca="1" ref="H20" ca="1">SUM('Cashing &amp; Payment Policies'!$B$39:$B$46*H7:H14)</f>
        <v>1577.0404343958</v>
      </c>
      <c r="I20" s="1037">
        <f t="array" aca="1" ref="I20" ca="1">SUM('Cashing &amp; Payment Policies'!$B$39:$B$46*I7:I14)</f>
        <v>1577.0404343958</v>
      </c>
      <c r="J20" s="1037">
        <f t="array" aca="1" ref="J20" ca="1">SUM('Cashing &amp; Payment Policies'!$B$39:$B$46*J7:J14)</f>
        <v>1577.0404343958</v>
      </c>
      <c r="K20" s="1037">
        <f t="array" aca="1" ref="K20" ca="1">SUM('Cashing &amp; Payment Policies'!$B$39:$B$46*K7:K14)</f>
        <v>1577.0404343958</v>
      </c>
      <c r="L20" s="1037">
        <f t="array" aca="1" ref="L20" ca="1">SUM('Cashing &amp; Payment Policies'!$B$39:$B$46*L7:L14)</f>
        <v>1577.0404343958</v>
      </c>
      <c r="M20" s="1037">
        <f t="array" aca="1" ref="M20" ca="1">SUM('Cashing &amp; Payment Policies'!$B$39:$B$46*M7:M14)</f>
        <v>1577.0404343958</v>
      </c>
      <c r="N20" s="1037"/>
      <c r="O20" s="1037"/>
      <c r="P20" s="1037"/>
      <c r="Q20" s="1037"/>
      <c r="R20" s="1037"/>
      <c r="S20" s="1037"/>
    </row>
    <row r="21" spans="1:19" s="541" customFormat="1" ht="16.149999999999999" customHeight="1">
      <c r="A21" s="2421">
        <v>30</v>
      </c>
      <c r="B21" s="1038">
        <f t="array" aca="1" ref="B21:B26" ca="1">'Collections &amp; Payments 3'!N21:N26</f>
        <v>0</v>
      </c>
      <c r="C21" s="1037">
        <f t="array" aca="1" ref="C21" ca="1">SUM('Cashing &amp; Payment Policies'!$C$39:$C$46*B$7:B$14)</f>
        <v>0</v>
      </c>
      <c r="D21" s="1037">
        <f t="array" aca="1" ref="D21" ca="1">SUM('Cashing &amp; Payment Policies'!$C$39:$C$46*C$7:C$14)</f>
        <v>0</v>
      </c>
      <c r="E21" s="1037">
        <f t="array" aca="1" ref="E21" ca="1">SUM('Cashing &amp; Payment Policies'!$C$39:$C$46*D$7:D$14)</f>
        <v>0</v>
      </c>
      <c r="F21" s="1037">
        <f t="array" aca="1" ref="F21" ca="1">SUM('Cashing &amp; Payment Policies'!$C$39:$C$46*E$7:E$14)</f>
        <v>0</v>
      </c>
      <c r="G21" s="1037">
        <f t="array" aca="1" ref="G21" ca="1">SUM('Cashing &amp; Payment Policies'!$C$39:$C$46*F$7:F$14)</f>
        <v>0</v>
      </c>
      <c r="H21" s="1037">
        <f t="array" aca="1" ref="H21" ca="1">SUM('Cashing &amp; Payment Policies'!$C$39:$C$46*G$7:G$14)</f>
        <v>0</v>
      </c>
      <c r="I21" s="1037">
        <f t="array" aca="1" ref="I21" ca="1">SUM('Cashing &amp; Payment Policies'!$C$39:$C$46*H$7:H$14)</f>
        <v>0</v>
      </c>
      <c r="J21" s="1037">
        <f t="array" aca="1" ref="J21" ca="1">SUM('Cashing &amp; Payment Policies'!$C$39:$C$46*I$7:I$14)</f>
        <v>0</v>
      </c>
      <c r="K21" s="1037">
        <f t="array" aca="1" ref="K21" ca="1">SUM('Cashing &amp; Payment Policies'!$C$39:$C$46*J$7:J$14)</f>
        <v>0</v>
      </c>
      <c r="L21" s="1037">
        <f t="array" aca="1" ref="L21" ca="1">SUM('Cashing &amp; Payment Policies'!$C$39:$C$46*K$7:K$14)</f>
        <v>0</v>
      </c>
      <c r="M21" s="1037">
        <f t="array" aca="1" ref="M21" ca="1">SUM('Cashing &amp; Payment Policies'!$C$39:$C$46*L$7:L$14)</f>
        <v>0</v>
      </c>
      <c r="N21" s="1037">
        <f t="array" aca="1" ref="N21" ca="1">SUM('Cashing &amp; Payment Policies'!$C$39:$C$46*M$7:M$14)</f>
        <v>0</v>
      </c>
      <c r="O21" s="1037"/>
      <c r="P21" s="1037"/>
      <c r="Q21" s="1037"/>
      <c r="R21" s="1037"/>
      <c r="S21" s="1037"/>
    </row>
    <row r="22" spans="1:19" s="534" customFormat="1" ht="16.149999999999999" customHeight="1">
      <c r="A22" s="2421">
        <v>60</v>
      </c>
      <c r="B22" s="1038">
        <f ca="1"/>
        <v>0</v>
      </c>
      <c r="C22" s="1038">
        <f t="array" aca="1" ref="C22:C26" ca="1">'Collections &amp; Payments 3'!O22:O26</f>
        <v>0</v>
      </c>
      <c r="D22" s="1037">
        <f t="array" aca="1" ref="D22" ca="1">SUM('Cashing &amp; Payment Policies'!$D$39:$D$46*B$7:B$14)</f>
        <v>0</v>
      </c>
      <c r="E22" s="1037">
        <f t="array" aca="1" ref="E22" ca="1">SUM('Cashing &amp; Payment Policies'!$D$39:$D$46*C$7:C$14)</f>
        <v>0</v>
      </c>
      <c r="F22" s="1037">
        <f t="array" aca="1" ref="F22" ca="1">SUM('Cashing &amp; Payment Policies'!$D$39:$D$46*D$7:D$14)</f>
        <v>0</v>
      </c>
      <c r="G22" s="1037">
        <f t="array" aca="1" ref="G22" ca="1">SUM('Cashing &amp; Payment Policies'!$D$39:$D$46*E$7:E$14)</f>
        <v>0</v>
      </c>
      <c r="H22" s="1037">
        <f t="array" aca="1" ref="H22" ca="1">SUM('Cashing &amp; Payment Policies'!$D$39:$D$46*F$7:F$14)</f>
        <v>0</v>
      </c>
      <c r="I22" s="1037">
        <f t="array" aca="1" ref="I22" ca="1">SUM('Cashing &amp; Payment Policies'!$D$39:$D$46*G$7:G$14)</f>
        <v>0</v>
      </c>
      <c r="J22" s="1037">
        <f t="array" aca="1" ref="J22" ca="1">SUM('Cashing &amp; Payment Policies'!$D$39:$D$46*H$7:H$14)</f>
        <v>0</v>
      </c>
      <c r="K22" s="1037">
        <f t="array" aca="1" ref="K22" ca="1">SUM('Cashing &amp; Payment Policies'!$D$39:$D$46*I$7:I$14)</f>
        <v>0</v>
      </c>
      <c r="L22" s="1037">
        <f t="array" aca="1" ref="L22" ca="1">SUM('Cashing &amp; Payment Policies'!$D$39:$D$46*J$7:J$14)</f>
        <v>0</v>
      </c>
      <c r="M22" s="1037">
        <f t="array" aca="1" ref="M22" ca="1">SUM('Cashing &amp; Payment Policies'!$D$39:$D$46*K$7:K$14)</f>
        <v>0</v>
      </c>
      <c r="N22" s="1037">
        <f t="array" aca="1" ref="N22" ca="1">SUM('Cashing &amp; Payment Policies'!$D$39:$D$46*L$7:L$14)</f>
        <v>0</v>
      </c>
      <c r="O22" s="1037">
        <f t="array" aca="1" ref="O22" ca="1">SUM('Cashing &amp; Payment Policies'!$D$39:$D$46*M$7:M$14)</f>
        <v>0</v>
      </c>
      <c r="P22" s="1037"/>
      <c r="Q22" s="1037"/>
      <c r="R22" s="1037"/>
      <c r="S22" s="1037"/>
    </row>
    <row r="23" spans="1:19" s="534" customFormat="1" ht="16.149999999999999" customHeight="1">
      <c r="A23" s="2421">
        <v>90</v>
      </c>
      <c r="B23" s="1038">
        <f ca="1"/>
        <v>0</v>
      </c>
      <c r="C23" s="1038">
        <f ca="1"/>
        <v>0</v>
      </c>
      <c r="D23" s="1038">
        <f t="array" aca="1" ref="D23:D26" ca="1">'Collections &amp; Payments 3'!P23:P26</f>
        <v>0</v>
      </c>
      <c r="E23" s="1037">
        <f t="array" aca="1" ref="E23" ca="1">SUM('Cashing &amp; Payment Policies'!$E$39:$E$46*B$7:B$14)</f>
        <v>0</v>
      </c>
      <c r="F23" s="1037">
        <f t="array" aca="1" ref="F23" ca="1">SUM('Cashing &amp; Payment Policies'!$E$39:$E$46*C$7:C$14)</f>
        <v>0</v>
      </c>
      <c r="G23" s="1037">
        <f t="array" aca="1" ref="G23" ca="1">SUM('Cashing &amp; Payment Policies'!$E$39:$E$46*D$7:D$14)</f>
        <v>0</v>
      </c>
      <c r="H23" s="1037">
        <f t="array" aca="1" ref="H23" ca="1">SUM('Cashing &amp; Payment Policies'!$E$39:$E$46*E$7:E$14)</f>
        <v>0</v>
      </c>
      <c r="I23" s="1037">
        <f t="array" aca="1" ref="I23" ca="1">SUM('Cashing &amp; Payment Policies'!$E$39:$E$46*F$7:F$14)</f>
        <v>0</v>
      </c>
      <c r="J23" s="1037">
        <f t="array" aca="1" ref="J23" ca="1">SUM('Cashing &amp; Payment Policies'!$E$39:$E$46*G$7:G$14)</f>
        <v>0</v>
      </c>
      <c r="K23" s="1037">
        <f t="array" aca="1" ref="K23" ca="1">SUM('Cashing &amp; Payment Policies'!$E$39:$E$46*H$7:H$14)</f>
        <v>0</v>
      </c>
      <c r="L23" s="1037">
        <f t="array" aca="1" ref="L23" ca="1">SUM('Cashing &amp; Payment Policies'!$E$39:$E$46*I$7:I$14)</f>
        <v>0</v>
      </c>
      <c r="M23" s="1037">
        <f t="array" aca="1" ref="M23" ca="1">SUM('Cashing &amp; Payment Policies'!$E$39:$E$46*J$7:J$14)</f>
        <v>0</v>
      </c>
      <c r="N23" s="1037">
        <f t="array" aca="1" ref="N23" ca="1">SUM('Cashing &amp; Payment Policies'!$E$39:$E$46*K$7:K$14)</f>
        <v>0</v>
      </c>
      <c r="O23" s="1037">
        <f t="array" aca="1" ref="O23" ca="1">SUM('Cashing &amp; Payment Policies'!$E$39:$E$46*L$7:L$14)</f>
        <v>0</v>
      </c>
      <c r="P23" s="1037">
        <f t="array" aca="1" ref="P23" ca="1">SUM('Cashing &amp; Payment Policies'!$E$39:$E$46*M$7:M$14)</f>
        <v>0</v>
      </c>
      <c r="Q23" s="1037"/>
      <c r="R23" s="1037"/>
      <c r="S23" s="1037"/>
    </row>
    <row r="24" spans="1:19" s="534" customFormat="1" ht="16.149999999999999" customHeight="1">
      <c r="A24" s="2421">
        <v>120</v>
      </c>
      <c r="B24" s="1038">
        <f ca="1"/>
        <v>0</v>
      </c>
      <c r="C24" s="1038">
        <f ca="1"/>
        <v>0</v>
      </c>
      <c r="D24" s="1038">
        <f ca="1"/>
        <v>0</v>
      </c>
      <c r="E24" s="1038">
        <f t="array" aca="1" ref="E24:E26" ca="1">'Collections &amp; Payments 3'!Q24:Q26</f>
        <v>0</v>
      </c>
      <c r="F24" s="1037">
        <f t="array" aca="1" ref="F24" ca="1">SUM('Cashing &amp; Payment Policies'!$F$39:$F$46*B$7:B$14)</f>
        <v>0</v>
      </c>
      <c r="G24" s="1037">
        <f t="array" aca="1" ref="G24" ca="1">SUM('Cashing &amp; Payment Policies'!$F$39:$F$46*C$7:C$14)</f>
        <v>0</v>
      </c>
      <c r="H24" s="1037">
        <f t="array" aca="1" ref="H24" ca="1">SUM('Cashing &amp; Payment Policies'!$F$39:$F$46*D$7:D$14)</f>
        <v>0</v>
      </c>
      <c r="I24" s="1037">
        <f t="array" aca="1" ref="I24" ca="1">SUM('Cashing &amp; Payment Policies'!$F$39:$F$46*E$7:E$14)</f>
        <v>0</v>
      </c>
      <c r="J24" s="1037">
        <f t="array" aca="1" ref="J24" ca="1">SUM('Cashing &amp; Payment Policies'!$F$39:$F$46*F$7:F$14)</f>
        <v>0</v>
      </c>
      <c r="K24" s="1037">
        <f t="array" aca="1" ref="K24" ca="1">SUM('Cashing &amp; Payment Policies'!$F$39:$F$46*G$7:G$14)</f>
        <v>0</v>
      </c>
      <c r="L24" s="1037">
        <f t="array" aca="1" ref="L24" ca="1">SUM('Cashing &amp; Payment Policies'!$F$39:$F$46*H$7:H$14)</f>
        <v>0</v>
      </c>
      <c r="M24" s="1037">
        <f t="array" aca="1" ref="M24" ca="1">SUM('Cashing &amp; Payment Policies'!$F$39:$F$46*I$7:I$14)</f>
        <v>0</v>
      </c>
      <c r="N24" s="1037">
        <f t="array" aca="1" ref="N24" ca="1">SUM('Cashing &amp; Payment Policies'!$F$39:$F$46*J$7:J$14)</f>
        <v>0</v>
      </c>
      <c r="O24" s="1037">
        <f t="array" aca="1" ref="O24" ca="1">SUM('Cashing &amp; Payment Policies'!$F$39:$F$46*K$7:K$14)</f>
        <v>0</v>
      </c>
      <c r="P24" s="1037">
        <f t="array" aca="1" ref="P24" ca="1">SUM('Cashing &amp; Payment Policies'!$F$39:$F$46*L$7:L$14)</f>
        <v>0</v>
      </c>
      <c r="Q24" s="1037">
        <f t="array" aca="1" ref="Q24" ca="1">SUM('Cashing &amp; Payment Policies'!$F$39:$F$46*M$7:M$14)</f>
        <v>0</v>
      </c>
      <c r="R24" s="1037"/>
      <c r="S24" s="1037"/>
    </row>
    <row r="25" spans="1:19" s="534" customFormat="1" ht="16.149999999999999" customHeight="1">
      <c r="A25" s="2421">
        <v>150</v>
      </c>
      <c r="B25" s="1038">
        <f ca="1"/>
        <v>0</v>
      </c>
      <c r="C25" s="1038">
        <f ca="1"/>
        <v>0</v>
      </c>
      <c r="D25" s="1038">
        <f ca="1"/>
        <v>0</v>
      </c>
      <c r="E25" s="1038">
        <f ca="1"/>
        <v>0</v>
      </c>
      <c r="F25" s="1038">
        <f t="array" aca="1" ref="F25:F26" ca="1">'Collections &amp; Payments 3'!R25:R26</f>
        <v>0</v>
      </c>
      <c r="G25" s="1037">
        <f t="array" aca="1" ref="G25" ca="1">SUM('Cashing &amp; Payment Policies'!$G$39:$G$46*B$7:B$14)</f>
        <v>0</v>
      </c>
      <c r="H25" s="1037">
        <f t="array" aca="1" ref="H25" ca="1">SUM('Cashing &amp; Payment Policies'!$G$39:$G$46*C$7:C$14)</f>
        <v>0</v>
      </c>
      <c r="I25" s="1037">
        <f t="array" aca="1" ref="I25" ca="1">SUM('Cashing &amp; Payment Policies'!$G$39:$G$46*D$7:D$14)</f>
        <v>0</v>
      </c>
      <c r="J25" s="1037">
        <f t="array" aca="1" ref="J25" ca="1">SUM('Cashing &amp; Payment Policies'!$G$39:$G$46*E$7:E$14)</f>
        <v>0</v>
      </c>
      <c r="K25" s="1037">
        <f t="array" aca="1" ref="K25" ca="1">SUM('Cashing &amp; Payment Policies'!$G$39:$G$46*F$7:F$14)</f>
        <v>0</v>
      </c>
      <c r="L25" s="1037">
        <f t="array" aca="1" ref="L25" ca="1">SUM('Cashing &amp; Payment Policies'!$G$39:$G$46*G$7:G$14)</f>
        <v>0</v>
      </c>
      <c r="M25" s="1037">
        <f t="array" aca="1" ref="M25" ca="1">SUM('Cashing &amp; Payment Policies'!$G$39:$G$46*H$7:H$14)</f>
        <v>0</v>
      </c>
      <c r="N25" s="1037">
        <f t="array" aca="1" ref="N25" ca="1">SUM('Cashing &amp; Payment Policies'!$G$39:$G$46*I$7:I$14)</f>
        <v>0</v>
      </c>
      <c r="O25" s="1037">
        <f t="array" aca="1" ref="O25" ca="1">SUM('Cashing &amp; Payment Policies'!$G$39:$G$46*J$7:J$14)</f>
        <v>0</v>
      </c>
      <c r="P25" s="1037">
        <f t="array" aca="1" ref="P25" ca="1">SUM('Cashing &amp; Payment Policies'!$G$39:$G$46*K$7:K$14)</f>
        <v>0</v>
      </c>
      <c r="Q25" s="1037">
        <f t="array" aca="1" ref="Q25" ca="1">SUM('Cashing &amp; Payment Policies'!$G$39:$G$46*L$7:L$14)</f>
        <v>0</v>
      </c>
      <c r="R25" s="1037">
        <f t="array" aca="1" ref="R25" ca="1">SUM('Cashing &amp; Payment Policies'!$G$39:$G$46*M$7:M$14)</f>
        <v>0</v>
      </c>
      <c r="S25" s="1037"/>
    </row>
    <row r="26" spans="1:19" s="534" customFormat="1" ht="16.149999999999999" customHeight="1">
      <c r="A26" s="2421">
        <v>180</v>
      </c>
      <c r="B26" s="1038">
        <f ca="1"/>
        <v>0</v>
      </c>
      <c r="C26" s="1038">
        <f ca="1"/>
        <v>0</v>
      </c>
      <c r="D26" s="1038">
        <f ca="1"/>
        <v>0</v>
      </c>
      <c r="E26" s="1038">
        <f ca="1"/>
        <v>0</v>
      </c>
      <c r="F26" s="1038">
        <f ca="1"/>
        <v>0</v>
      </c>
      <c r="G26" s="1038">
        <f ca="1">'Collections &amp; Payments 3'!S26</f>
        <v>0</v>
      </c>
      <c r="H26" s="1037">
        <f t="array" aca="1" ref="H26" ca="1">SUM('Cashing &amp; Payment Policies'!$H$39:$H$46*B$7:B$14)</f>
        <v>0</v>
      </c>
      <c r="I26" s="1037">
        <f t="array" aca="1" ref="I26" ca="1">SUM('Cashing &amp; Payment Policies'!$H$39:$H$46*C$7:C$14)</f>
        <v>0</v>
      </c>
      <c r="J26" s="1037">
        <f t="array" aca="1" ref="J26" ca="1">SUM('Cashing &amp; Payment Policies'!$H$39:$H$46*D$7:D$14)</f>
        <v>0</v>
      </c>
      <c r="K26" s="1037">
        <f t="array" aca="1" ref="K26" ca="1">SUM('Cashing &amp; Payment Policies'!$H$39:$H$46*E$7:E$14)</f>
        <v>0</v>
      </c>
      <c r="L26" s="1037">
        <f t="array" aca="1" ref="L26" ca="1">SUM('Cashing &amp; Payment Policies'!$H$39:$H$46*F$7:F$14)</f>
        <v>0</v>
      </c>
      <c r="M26" s="1037">
        <f t="array" aca="1" ref="M26" ca="1">SUM('Cashing &amp; Payment Policies'!$H$39:$H$46*G$7:G$14)</f>
        <v>0</v>
      </c>
      <c r="N26" s="1037">
        <f t="array" aca="1" ref="N26" ca="1">SUM('Cashing &amp; Payment Policies'!$H$39:$H$46*H$7:H$14)</f>
        <v>0</v>
      </c>
      <c r="O26" s="1037">
        <f t="array" aca="1" ref="O26" ca="1">SUM('Cashing &amp; Payment Policies'!$H$39:$H$46*I$7:I$14)</f>
        <v>0</v>
      </c>
      <c r="P26" s="1037">
        <f t="array" aca="1" ref="P26" ca="1">SUM('Cashing &amp; Payment Policies'!$H$39:$H$46*J$7:J$14)</f>
        <v>0</v>
      </c>
      <c r="Q26" s="1037">
        <f t="array" aca="1" ref="Q26" ca="1">SUM('Cashing &amp; Payment Policies'!$H$39:$H$46*K$7:K$14)</f>
        <v>0</v>
      </c>
      <c r="R26" s="1037">
        <f t="array" aca="1" ref="R26" ca="1">SUM('Cashing &amp; Payment Policies'!$H$39:$H$46*L$7:L$14)</f>
        <v>0</v>
      </c>
      <c r="S26" s="1037">
        <f t="array" aca="1" ref="S26" ca="1">SUM('Cashing &amp; Payment Policies'!$H$39:$H$46*M$7:M$14)</f>
        <v>0</v>
      </c>
    </row>
    <row r="27" spans="1:19" s="534" customFormat="1" ht="16.149999999999999" customHeight="1">
      <c r="A27" s="2042" t="str">
        <v>Defaulted credits</v>
      </c>
      <c r="B27" s="1052">
        <f t="shared" ref="B27:M27" ca="1" si="2">-morisidad*SUM(B20:B26)</f>
        <v>0</v>
      </c>
      <c r="C27" s="1052">
        <f t="shared" ca="1" si="2"/>
        <v>0</v>
      </c>
      <c r="D27" s="1052">
        <f t="shared" ca="1" si="2"/>
        <v>0</v>
      </c>
      <c r="E27" s="1052">
        <f t="shared" ca="1" si="2"/>
        <v>0</v>
      </c>
      <c r="F27" s="1052">
        <f t="shared" ca="1" si="2"/>
        <v>0</v>
      </c>
      <c r="G27" s="1052">
        <f t="shared" ca="1" si="2"/>
        <v>0</v>
      </c>
      <c r="H27" s="1052">
        <f t="shared" ca="1" si="2"/>
        <v>0</v>
      </c>
      <c r="I27" s="1052">
        <f t="shared" ca="1" si="2"/>
        <v>0</v>
      </c>
      <c r="J27" s="1052">
        <f t="shared" ca="1" si="2"/>
        <v>0</v>
      </c>
      <c r="K27" s="1052">
        <f t="shared" ca="1" si="2"/>
        <v>0</v>
      </c>
      <c r="L27" s="1052">
        <f t="shared" ca="1" si="2"/>
        <v>0</v>
      </c>
      <c r="M27" s="1052">
        <f t="shared" ca="1" si="2"/>
        <v>0</v>
      </c>
      <c r="N27" s="1039"/>
      <c r="O27" s="1039"/>
      <c r="P27" s="1039"/>
      <c r="Q27" s="1039"/>
      <c r="R27" s="1039"/>
      <c r="S27" s="1039"/>
    </row>
    <row r="28" spans="1:19" s="541" customFormat="1" ht="16.149999999999999" customHeight="1" thickBot="1">
      <c r="A28" s="2423" t="s">
        <v>577</v>
      </c>
      <c r="B28" s="2043">
        <f t="shared" ref="B28:S28" ca="1" si="3">SUM(B20:B27)</f>
        <v>1577.0404343958</v>
      </c>
      <c r="C28" s="2043">
        <f t="shared" ca="1" si="3"/>
        <v>1577.0404343958</v>
      </c>
      <c r="D28" s="2043">
        <f t="shared" ca="1" si="3"/>
        <v>1577.0404343958</v>
      </c>
      <c r="E28" s="2043">
        <f t="shared" ca="1" si="3"/>
        <v>1577.0404343958</v>
      </c>
      <c r="F28" s="2043">
        <f t="shared" ca="1" si="3"/>
        <v>1577.0404343958</v>
      </c>
      <c r="G28" s="2043">
        <f t="shared" ca="1" si="3"/>
        <v>1577.0404343958</v>
      </c>
      <c r="H28" s="2043">
        <f t="shared" ca="1" si="3"/>
        <v>1577.0404343958</v>
      </c>
      <c r="I28" s="2043">
        <f t="shared" ca="1" si="3"/>
        <v>1577.0404343958</v>
      </c>
      <c r="J28" s="2043">
        <f t="shared" ca="1" si="3"/>
        <v>1577.0404343958</v>
      </c>
      <c r="K28" s="2043">
        <f t="shared" ca="1" si="3"/>
        <v>1577.0404343958</v>
      </c>
      <c r="L28" s="2043">
        <f t="shared" ca="1" si="3"/>
        <v>1577.0404343958</v>
      </c>
      <c r="M28" s="2043">
        <f t="shared" ca="1" si="3"/>
        <v>1577.0404343958</v>
      </c>
      <c r="N28" s="2043">
        <f t="shared" ca="1" si="3"/>
        <v>0</v>
      </c>
      <c r="O28" s="2043">
        <f t="shared" ca="1" si="3"/>
        <v>0</v>
      </c>
      <c r="P28" s="2043">
        <f t="shared" ca="1" si="3"/>
        <v>0</v>
      </c>
      <c r="Q28" s="2043">
        <f t="shared" ca="1" si="3"/>
        <v>0</v>
      </c>
      <c r="R28" s="2043">
        <f t="shared" ca="1" si="3"/>
        <v>0</v>
      </c>
      <c r="S28" s="2043">
        <f t="shared" ca="1" si="3"/>
        <v>0</v>
      </c>
    </row>
    <row r="29" spans="1:19" s="541" customFormat="1" ht="13.5" customHeight="1" thickBot="1">
      <c r="B29" s="1040"/>
    </row>
    <row r="30" spans="1:19" s="534" customFormat="1" ht="16.149999999999999" customHeight="1" thickBot="1">
      <c r="A30" s="275"/>
      <c r="B30" s="1040"/>
      <c r="O30" s="1041"/>
      <c r="P30" s="1042"/>
      <c r="Q30" s="1042"/>
      <c r="R30" s="1054" t="str">
        <f>CONCATENATE("Sales Collections pending for ",Q18," ( ",'Base Data'!$A$28," not incl. )")</f>
        <v>Sales Collections pending for 2031 ( VAT not incl. )</v>
      </c>
      <c r="S30" s="1043">
        <f ca="1">SUM(N28:S28)</f>
        <v>0</v>
      </c>
    </row>
    <row r="31" spans="1:19" s="534" customFormat="1" ht="16.149999999999999" customHeight="1" thickBot="1">
      <c r="A31" s="275"/>
      <c r="B31" s="1040"/>
      <c r="O31" s="1041"/>
      <c r="P31" s="1042"/>
      <c r="Q31" s="1042"/>
      <c r="R31" s="1055" t="str">
        <f>'Collections &amp; Payments 0'!R31</f>
        <v>Yearly Defaulted Credits</v>
      </c>
      <c r="S31" s="1044">
        <f ca="1">-SUM(B27:M27)</f>
        <v>0</v>
      </c>
    </row>
    <row r="32" spans="1:19" s="318" customFormat="1" ht="22.5">
      <c r="A32" s="318" t="str">
        <f>'Collections &amp; Payments 0'!A32</f>
        <v>Purchases &amp; Direct Costs (VAT incl.)</v>
      </c>
      <c r="B32" s="163"/>
      <c r="G32" s="163"/>
      <c r="H32" s="163"/>
    </row>
    <row r="33" spans="1:19" ht="7.5" customHeight="1" thickBot="1">
      <c r="P33" s="541"/>
    </row>
    <row r="34" spans="1:19" ht="15.75" thickBot="1">
      <c r="A34" s="165" t="str">
        <f>'Collections &amp; Payments 0'!A34</f>
        <v>Purchases &amp; Direct Costs</v>
      </c>
      <c r="B34" s="2044" t="str">
        <f t="array" ref="B34:M34">meses</f>
        <v>January</v>
      </c>
      <c r="C34" s="2044" t="str">
        <v>February</v>
      </c>
      <c r="D34" s="2044" t="str">
        <v>March</v>
      </c>
      <c r="E34" s="2044" t="str">
        <v>April</v>
      </c>
      <c r="F34" s="2044" t="str">
        <v>May</v>
      </c>
      <c r="G34" s="2044" t="str">
        <v>June</v>
      </c>
      <c r="H34" s="2044" t="str">
        <v>July</v>
      </c>
      <c r="I34" s="2044" t="str">
        <v>August</v>
      </c>
      <c r="J34" s="2044" t="str">
        <v>September</v>
      </c>
      <c r="K34" s="2044" t="str">
        <v>October</v>
      </c>
      <c r="L34" s="2044" t="str">
        <v>November</v>
      </c>
      <c r="M34" s="2044" t="str">
        <v>December</v>
      </c>
      <c r="N34" s="2045" t="s">
        <v>0</v>
      </c>
      <c r="O34" s="541"/>
    </row>
    <row r="35" spans="1:19" ht="14.25">
      <c r="A35" s="2046" t="str">
        <f t="array" ref="A35:A42">productos</f>
        <v>product 1</v>
      </c>
      <c r="B35" s="1033">
        <f t="array" aca="1" ref="B35:M42" ca="1">'DC Distr 4'!B46:M53+'DC Distr 4'!B59:M66</f>
        <v>157.70404343958</v>
      </c>
      <c r="C35" s="1033">
        <f ca="1"/>
        <v>157.70404343958</v>
      </c>
      <c r="D35" s="1033">
        <f ca="1"/>
        <v>157.70404343958</v>
      </c>
      <c r="E35" s="1033">
        <f ca="1"/>
        <v>157.70404343958</v>
      </c>
      <c r="F35" s="1033">
        <f ca="1"/>
        <v>157.70404343958</v>
      </c>
      <c r="G35" s="1033">
        <f ca="1"/>
        <v>157.70404343958</v>
      </c>
      <c r="H35" s="1033">
        <f ca="1"/>
        <v>157.70404343958</v>
      </c>
      <c r="I35" s="1033">
        <f ca="1"/>
        <v>157.70404343958</v>
      </c>
      <c r="J35" s="1033">
        <f ca="1"/>
        <v>157.70404343958</v>
      </c>
      <c r="K35" s="1033">
        <f ca="1"/>
        <v>157.70404343958</v>
      </c>
      <c r="L35" s="1033">
        <f ca="1"/>
        <v>157.70404343958</v>
      </c>
      <c r="M35" s="1033">
        <f ca="1"/>
        <v>157.70404343958</v>
      </c>
      <c r="N35" s="2047">
        <f t="shared" ref="N35:N42" ca="1" si="4">SUM(B35:M35)</f>
        <v>1892.4485212749596</v>
      </c>
      <c r="O35" s="541"/>
    </row>
    <row r="36" spans="1:19" ht="14.25">
      <c r="A36" s="2048" t="str">
        <v/>
      </c>
      <c r="B36" s="1033">
        <f ca="1"/>
        <v>0</v>
      </c>
      <c r="C36" s="1033">
        <f ca="1"/>
        <v>0</v>
      </c>
      <c r="D36" s="1033">
        <f ca="1"/>
        <v>0</v>
      </c>
      <c r="E36" s="1033">
        <f ca="1"/>
        <v>0</v>
      </c>
      <c r="F36" s="1033">
        <f ca="1"/>
        <v>0</v>
      </c>
      <c r="G36" s="1033">
        <f ca="1"/>
        <v>0</v>
      </c>
      <c r="H36" s="1033">
        <f ca="1"/>
        <v>0</v>
      </c>
      <c r="I36" s="1033">
        <f ca="1"/>
        <v>0</v>
      </c>
      <c r="J36" s="1033">
        <f ca="1"/>
        <v>0</v>
      </c>
      <c r="K36" s="1033">
        <f ca="1"/>
        <v>0</v>
      </c>
      <c r="L36" s="1033">
        <f ca="1"/>
        <v>0</v>
      </c>
      <c r="M36" s="1033">
        <f ca="1"/>
        <v>0</v>
      </c>
      <c r="N36" s="2047">
        <f t="shared" ca="1" si="4"/>
        <v>0</v>
      </c>
      <c r="O36" s="541"/>
    </row>
    <row r="37" spans="1:19" ht="14.25">
      <c r="A37" s="2048" t="str">
        <v/>
      </c>
      <c r="B37" s="1033">
        <f ca="1"/>
        <v>0</v>
      </c>
      <c r="C37" s="1033">
        <f ca="1"/>
        <v>0</v>
      </c>
      <c r="D37" s="1033">
        <f ca="1"/>
        <v>0</v>
      </c>
      <c r="E37" s="1033">
        <f ca="1"/>
        <v>0</v>
      </c>
      <c r="F37" s="1033">
        <f ca="1"/>
        <v>0</v>
      </c>
      <c r="G37" s="1033">
        <f ca="1"/>
        <v>0</v>
      </c>
      <c r="H37" s="1033">
        <f ca="1"/>
        <v>0</v>
      </c>
      <c r="I37" s="1033">
        <f ca="1"/>
        <v>0</v>
      </c>
      <c r="J37" s="1033">
        <f ca="1"/>
        <v>0</v>
      </c>
      <c r="K37" s="1033">
        <f ca="1"/>
        <v>0</v>
      </c>
      <c r="L37" s="1033">
        <f ca="1"/>
        <v>0</v>
      </c>
      <c r="M37" s="1033">
        <f ca="1"/>
        <v>0</v>
      </c>
      <c r="N37" s="2047">
        <f t="shared" ca="1" si="4"/>
        <v>0</v>
      </c>
      <c r="O37" s="541"/>
    </row>
    <row r="38" spans="1:19" ht="14.25">
      <c r="A38" s="2048" t="str">
        <v/>
      </c>
      <c r="B38" s="1033">
        <f ca="1"/>
        <v>0</v>
      </c>
      <c r="C38" s="1033">
        <f ca="1"/>
        <v>0</v>
      </c>
      <c r="D38" s="1033">
        <f ca="1"/>
        <v>0</v>
      </c>
      <c r="E38" s="1033">
        <f ca="1"/>
        <v>0</v>
      </c>
      <c r="F38" s="1033">
        <f ca="1"/>
        <v>0</v>
      </c>
      <c r="G38" s="1033">
        <f ca="1"/>
        <v>0</v>
      </c>
      <c r="H38" s="1033">
        <f ca="1"/>
        <v>0</v>
      </c>
      <c r="I38" s="1033">
        <f ca="1"/>
        <v>0</v>
      </c>
      <c r="J38" s="1033">
        <f ca="1"/>
        <v>0</v>
      </c>
      <c r="K38" s="1033">
        <f ca="1"/>
        <v>0</v>
      </c>
      <c r="L38" s="1033">
        <f ca="1"/>
        <v>0</v>
      </c>
      <c r="M38" s="1033">
        <f ca="1"/>
        <v>0</v>
      </c>
      <c r="N38" s="2047">
        <f t="shared" ca="1" si="4"/>
        <v>0</v>
      </c>
      <c r="O38" s="541"/>
    </row>
    <row r="39" spans="1:19" ht="14.25">
      <c r="A39" s="2048" t="str">
        <v/>
      </c>
      <c r="B39" s="1033">
        <f ca="1"/>
        <v>0</v>
      </c>
      <c r="C39" s="1033">
        <f ca="1"/>
        <v>0</v>
      </c>
      <c r="D39" s="1033">
        <f ca="1"/>
        <v>0</v>
      </c>
      <c r="E39" s="1033">
        <f ca="1"/>
        <v>0</v>
      </c>
      <c r="F39" s="1033">
        <f ca="1"/>
        <v>0</v>
      </c>
      <c r="G39" s="1033">
        <f ca="1"/>
        <v>0</v>
      </c>
      <c r="H39" s="1033">
        <f ca="1"/>
        <v>0</v>
      </c>
      <c r="I39" s="1033">
        <f ca="1"/>
        <v>0</v>
      </c>
      <c r="J39" s="1033">
        <f ca="1"/>
        <v>0</v>
      </c>
      <c r="K39" s="1033">
        <f ca="1"/>
        <v>0</v>
      </c>
      <c r="L39" s="1033">
        <f ca="1"/>
        <v>0</v>
      </c>
      <c r="M39" s="1033">
        <f ca="1"/>
        <v>0</v>
      </c>
      <c r="N39" s="2047">
        <f t="shared" ca="1" si="4"/>
        <v>0</v>
      </c>
      <c r="O39" s="541"/>
    </row>
    <row r="40" spans="1:19" ht="14.25">
      <c r="A40" s="2048" t="str">
        <v/>
      </c>
      <c r="B40" s="1033">
        <f ca="1"/>
        <v>0</v>
      </c>
      <c r="C40" s="1033">
        <f ca="1"/>
        <v>0</v>
      </c>
      <c r="D40" s="1033">
        <f ca="1"/>
        <v>0</v>
      </c>
      <c r="E40" s="1033">
        <f ca="1"/>
        <v>0</v>
      </c>
      <c r="F40" s="1033">
        <f ca="1"/>
        <v>0</v>
      </c>
      <c r="G40" s="1033">
        <f ca="1"/>
        <v>0</v>
      </c>
      <c r="H40" s="1033">
        <f ca="1"/>
        <v>0</v>
      </c>
      <c r="I40" s="1033">
        <f ca="1"/>
        <v>0</v>
      </c>
      <c r="J40" s="1033">
        <f ca="1"/>
        <v>0</v>
      </c>
      <c r="K40" s="1033">
        <f ca="1"/>
        <v>0</v>
      </c>
      <c r="L40" s="1033">
        <f ca="1"/>
        <v>0</v>
      </c>
      <c r="M40" s="1033">
        <f ca="1"/>
        <v>0</v>
      </c>
      <c r="N40" s="2047">
        <f t="shared" ca="1" si="4"/>
        <v>0</v>
      </c>
      <c r="O40" s="541"/>
    </row>
    <row r="41" spans="1:19" ht="14.25">
      <c r="A41" s="2048" t="str">
        <v/>
      </c>
      <c r="B41" s="1033">
        <f ca="1"/>
        <v>0</v>
      </c>
      <c r="C41" s="1033">
        <f ca="1"/>
        <v>0</v>
      </c>
      <c r="D41" s="1033">
        <f ca="1"/>
        <v>0</v>
      </c>
      <c r="E41" s="1033">
        <f ca="1"/>
        <v>0</v>
      </c>
      <c r="F41" s="1033">
        <f ca="1"/>
        <v>0</v>
      </c>
      <c r="G41" s="1033">
        <f ca="1"/>
        <v>0</v>
      </c>
      <c r="H41" s="1033">
        <f ca="1"/>
        <v>0</v>
      </c>
      <c r="I41" s="1033">
        <f ca="1"/>
        <v>0</v>
      </c>
      <c r="J41" s="1033">
        <f ca="1"/>
        <v>0</v>
      </c>
      <c r="K41" s="1033">
        <f ca="1"/>
        <v>0</v>
      </c>
      <c r="L41" s="1033">
        <f ca="1"/>
        <v>0</v>
      </c>
      <c r="M41" s="1033">
        <f ca="1"/>
        <v>0</v>
      </c>
      <c r="N41" s="2047">
        <f t="shared" ca="1" si="4"/>
        <v>0</v>
      </c>
      <c r="O41" s="541"/>
    </row>
    <row r="42" spans="1:19" ht="15" thickBot="1">
      <c r="A42" s="2049" t="str">
        <v/>
      </c>
      <c r="B42" s="1034">
        <f ca="1"/>
        <v>0</v>
      </c>
      <c r="C42" s="1034">
        <f ca="1"/>
        <v>0</v>
      </c>
      <c r="D42" s="1034">
        <f ca="1"/>
        <v>0</v>
      </c>
      <c r="E42" s="1034">
        <f ca="1"/>
        <v>0</v>
      </c>
      <c r="F42" s="1034">
        <f ca="1"/>
        <v>0</v>
      </c>
      <c r="G42" s="1034">
        <f ca="1"/>
        <v>0</v>
      </c>
      <c r="H42" s="1034">
        <f ca="1"/>
        <v>0</v>
      </c>
      <c r="I42" s="1034">
        <f ca="1"/>
        <v>0</v>
      </c>
      <c r="J42" s="1034">
        <f ca="1"/>
        <v>0</v>
      </c>
      <c r="K42" s="1034">
        <f ca="1"/>
        <v>0</v>
      </c>
      <c r="L42" s="1034">
        <f ca="1"/>
        <v>0</v>
      </c>
      <c r="M42" s="1034">
        <f ca="1"/>
        <v>0</v>
      </c>
      <c r="N42" s="2047">
        <f t="shared" ca="1" si="4"/>
        <v>0</v>
      </c>
      <c r="O42" s="541"/>
    </row>
    <row r="43" spans="1:19" ht="15.75" thickBot="1">
      <c r="A43" s="2050" t="s">
        <v>0</v>
      </c>
      <c r="B43" s="2051">
        <f t="shared" ref="B43:N43" ca="1" si="5">SUM(B35:B42)</f>
        <v>157.70404343958</v>
      </c>
      <c r="C43" s="2051">
        <f t="shared" ca="1" si="5"/>
        <v>157.70404343958</v>
      </c>
      <c r="D43" s="2051">
        <f t="shared" ca="1" si="5"/>
        <v>157.70404343958</v>
      </c>
      <c r="E43" s="2051">
        <f t="shared" ca="1" si="5"/>
        <v>157.70404343958</v>
      </c>
      <c r="F43" s="2051">
        <f t="shared" ca="1" si="5"/>
        <v>157.70404343958</v>
      </c>
      <c r="G43" s="2051">
        <f t="shared" ca="1" si="5"/>
        <v>157.70404343958</v>
      </c>
      <c r="H43" s="2051">
        <f t="shared" ca="1" si="5"/>
        <v>157.70404343958</v>
      </c>
      <c r="I43" s="2051">
        <f t="shared" ca="1" si="5"/>
        <v>157.70404343958</v>
      </c>
      <c r="J43" s="2051">
        <f t="shared" ca="1" si="5"/>
        <v>157.70404343958</v>
      </c>
      <c r="K43" s="2051">
        <f t="shared" ca="1" si="5"/>
        <v>157.70404343958</v>
      </c>
      <c r="L43" s="2051">
        <f t="shared" ca="1" si="5"/>
        <v>157.70404343958</v>
      </c>
      <c r="M43" s="2051">
        <f t="shared" ca="1" si="5"/>
        <v>157.70404343958</v>
      </c>
      <c r="N43" s="2051">
        <f t="shared" ca="1" si="5"/>
        <v>1892.4485212749596</v>
      </c>
      <c r="O43" s="541"/>
    </row>
    <row r="44" spans="1:19">
      <c r="C44" s="541"/>
      <c r="D44" s="541"/>
      <c r="E44" s="541"/>
      <c r="F44" s="541"/>
      <c r="G44" s="541"/>
      <c r="H44" s="541"/>
      <c r="I44" s="541"/>
      <c r="J44" s="541"/>
      <c r="K44" s="541"/>
      <c r="L44" s="541"/>
      <c r="M44" s="541"/>
      <c r="N44" s="541"/>
      <c r="O44" s="541"/>
      <c r="P44" s="541"/>
    </row>
    <row r="45" spans="1:19" s="318" customFormat="1" ht="22.5">
      <c r="A45" s="318" t="str">
        <f>'Collections &amp; Payments 0'!A45</f>
        <v>Purchases &amp; Direct Costs payments (VAT incl.)</v>
      </c>
      <c r="B45" s="163"/>
      <c r="G45" s="163"/>
      <c r="H45" s="163"/>
    </row>
    <row r="46" spans="1:19" ht="15" thickBot="1">
      <c r="A46" s="541"/>
      <c r="B46" s="1032"/>
      <c r="C46" s="541"/>
      <c r="D46" s="541"/>
      <c r="E46" s="541"/>
      <c r="F46" s="541"/>
      <c r="G46" s="541"/>
      <c r="H46" s="541"/>
      <c r="I46" s="541"/>
      <c r="J46" s="541"/>
      <c r="K46" s="541"/>
      <c r="L46" s="541"/>
      <c r="M46" s="541"/>
      <c r="N46" s="541"/>
      <c r="O46" s="541"/>
      <c r="P46" s="1035" t="str">
        <f>'Collections &amp; Payments 0'!P46</f>
        <v>Pending for the following year:</v>
      </c>
      <c r="Q46" s="1036" t="str">
        <f>Q18</f>
        <v>2031</v>
      </c>
    </row>
    <row r="47" spans="1:19" ht="27.75" customHeight="1" thickBot="1">
      <c r="A47" s="165" t="str">
        <f t="array" ref="A47:A54">'Collections &amp; Payments 0'!A47:A54</f>
        <v>Payment Instalments</v>
      </c>
      <c r="B47" s="2040" t="str">
        <f t="array" ref="B47:S47">B19:S19</f>
        <v>January 
2030</v>
      </c>
      <c r="C47" s="2040" t="str">
        <v>February 
2030</v>
      </c>
      <c r="D47" s="2040" t="str">
        <v>March 
2030</v>
      </c>
      <c r="E47" s="2040" t="str">
        <v>April 
2030</v>
      </c>
      <c r="F47" s="2040" t="str">
        <v>May 
2030</v>
      </c>
      <c r="G47" s="2040" t="str">
        <v>June 
2030</v>
      </c>
      <c r="H47" s="2040" t="str">
        <v>July 
2030</v>
      </c>
      <c r="I47" s="2040" t="str">
        <v>August 
2030</v>
      </c>
      <c r="J47" s="2040" t="str">
        <v>September 
2030</v>
      </c>
      <c r="K47" s="2040" t="str">
        <v>October 
2030</v>
      </c>
      <c r="L47" s="2040" t="str">
        <v>November 
2030</v>
      </c>
      <c r="M47" s="2040" t="str">
        <v>December 
2030</v>
      </c>
      <c r="N47" s="2040" t="str">
        <v>January 
2031</v>
      </c>
      <c r="O47" s="2040" t="str">
        <v>February 
2031</v>
      </c>
      <c r="P47" s="2040" t="str">
        <v>March 
2031</v>
      </c>
      <c r="Q47" s="2040" t="str">
        <v>April 
2031</v>
      </c>
      <c r="R47" s="2040" t="str">
        <v>May 
2031</v>
      </c>
      <c r="S47" s="2040" t="str">
        <v>June 
2031</v>
      </c>
    </row>
    <row r="48" spans="1:19" ht="14.25">
      <c r="A48" s="2041" t="str">
        <v>In Cash</v>
      </c>
      <c r="B48" s="1033">
        <f t="array" aca="1" ref="B48" ca="1">SUM('Cashing &amp; Payment Policies'!$B$88:$B$95*B$35:B$42)</f>
        <v>157.70404343958</v>
      </c>
      <c r="C48" s="1033">
        <f t="array" aca="1" ref="C48" ca="1">SUM('Cashing &amp; Payment Policies'!$B$88:$B$95*C$35:C$42)</f>
        <v>157.70404343958</v>
      </c>
      <c r="D48" s="1033">
        <f t="array" aca="1" ref="D48" ca="1">SUM('Cashing &amp; Payment Policies'!$B$88:$B$95*D$35:D$42)</f>
        <v>157.70404343958</v>
      </c>
      <c r="E48" s="1033">
        <f t="array" aca="1" ref="E48" ca="1">SUM('Cashing &amp; Payment Policies'!$B$88:$B$95*E$35:E$42)</f>
        <v>157.70404343958</v>
      </c>
      <c r="F48" s="1033">
        <f t="array" aca="1" ref="F48" ca="1">SUM('Cashing &amp; Payment Policies'!$B$88:$B$95*F$35:F$42)</f>
        <v>157.70404343958</v>
      </c>
      <c r="G48" s="1033">
        <f t="array" aca="1" ref="G48" ca="1">SUM('Cashing &amp; Payment Policies'!$B$88:$B$95*G$35:G$42)</f>
        <v>157.70404343958</v>
      </c>
      <c r="H48" s="1033">
        <f t="array" aca="1" ref="H48" ca="1">SUM('Cashing &amp; Payment Policies'!$B$88:$B$95*H$35:H$42)</f>
        <v>157.70404343958</v>
      </c>
      <c r="I48" s="1033">
        <f t="array" aca="1" ref="I48" ca="1">SUM('Cashing &amp; Payment Policies'!$B$88:$B$95*I$35:I$42)</f>
        <v>157.70404343958</v>
      </c>
      <c r="J48" s="1033">
        <f t="array" aca="1" ref="J48" ca="1">SUM('Cashing &amp; Payment Policies'!$B$88:$B$95*J$35:J$42)</f>
        <v>157.70404343958</v>
      </c>
      <c r="K48" s="1033">
        <f t="array" aca="1" ref="K48" ca="1">SUM('Cashing &amp; Payment Policies'!$B$88:$B$95*K$35:K$42)</f>
        <v>157.70404343958</v>
      </c>
      <c r="L48" s="1033">
        <f t="array" aca="1" ref="L48" ca="1">SUM('Cashing &amp; Payment Policies'!$B$88:$B$95*L$35:L$42)</f>
        <v>157.70404343958</v>
      </c>
      <c r="M48" s="1033">
        <f t="array" aca="1" ref="M48" ca="1">SUM('Cashing &amp; Payment Policies'!$B$88:$B$95*M$35:M$42)</f>
        <v>157.70404343958</v>
      </c>
      <c r="N48" s="1033"/>
      <c r="O48" s="1033"/>
      <c r="P48" s="1033"/>
      <c r="Q48" s="1033"/>
      <c r="R48" s="1033"/>
      <c r="S48" s="1033"/>
    </row>
    <row r="49" spans="1:19" ht="14.25">
      <c r="A49" s="2421">
        <v>30</v>
      </c>
      <c r="B49" s="1045">
        <f t="array" aca="1" ref="B49:B54" ca="1">'Collections &amp; Payments 3'!N49:N54</f>
        <v>0</v>
      </c>
      <c r="C49" s="1033">
        <f t="array" aca="1" ref="C49" ca="1">SUM('Cashing &amp; Payment Policies'!$C$88:$C$95*B$35:B$42)</f>
        <v>0</v>
      </c>
      <c r="D49" s="1033">
        <f t="array" aca="1" ref="D49" ca="1">SUM('Cashing &amp; Payment Policies'!$C$88:$C$95*C$35:C$42)</f>
        <v>0</v>
      </c>
      <c r="E49" s="1033">
        <f t="array" aca="1" ref="E49" ca="1">SUM('Cashing &amp; Payment Policies'!$C$88:$C$95*D$35:D$42)</f>
        <v>0</v>
      </c>
      <c r="F49" s="1033">
        <f t="array" aca="1" ref="F49" ca="1">SUM('Cashing &amp; Payment Policies'!$C$88:$C$95*E$35:E$42)</f>
        <v>0</v>
      </c>
      <c r="G49" s="1033">
        <f t="array" aca="1" ref="G49" ca="1">SUM('Cashing &amp; Payment Policies'!$C$88:$C$95*F$35:F$42)</f>
        <v>0</v>
      </c>
      <c r="H49" s="1033">
        <f t="array" aca="1" ref="H49" ca="1">SUM('Cashing &amp; Payment Policies'!$C$88:$C$95*G$35:G$42)</f>
        <v>0</v>
      </c>
      <c r="I49" s="1033">
        <f t="array" aca="1" ref="I49" ca="1">SUM('Cashing &amp; Payment Policies'!$C$88:$C$95*H$35:H$42)</f>
        <v>0</v>
      </c>
      <c r="J49" s="1033">
        <f t="array" aca="1" ref="J49" ca="1">SUM('Cashing &amp; Payment Policies'!$C$88:$C$95*I$35:I$42)</f>
        <v>0</v>
      </c>
      <c r="K49" s="1033">
        <f t="array" aca="1" ref="K49" ca="1">SUM('Cashing &amp; Payment Policies'!$C$88:$C$95*J$35:J$42)</f>
        <v>0</v>
      </c>
      <c r="L49" s="1033">
        <f t="array" aca="1" ref="L49" ca="1">SUM('Cashing &amp; Payment Policies'!$C$88:$C$95*K$35:K$42)</f>
        <v>0</v>
      </c>
      <c r="M49" s="1033">
        <f t="array" aca="1" ref="M49" ca="1">SUM('Cashing &amp; Payment Policies'!$C$88:$C$95*L$35:L$42)</f>
        <v>0</v>
      </c>
      <c r="N49" s="1033">
        <f t="array" aca="1" ref="N49" ca="1">SUM('Cashing &amp; Payment Policies'!$C$88:$C$95*M$35:M$42)</f>
        <v>0</v>
      </c>
      <c r="O49" s="1033"/>
      <c r="P49" s="1033"/>
      <c r="Q49" s="1033"/>
      <c r="R49" s="1033"/>
      <c r="S49" s="1033"/>
    </row>
    <row r="50" spans="1:19" ht="14.25">
      <c r="A50" s="2421">
        <v>60</v>
      </c>
      <c r="B50" s="1045">
        <f ca="1"/>
        <v>0</v>
      </c>
      <c r="C50" s="1045">
        <f t="array" aca="1" ref="C50:C54" ca="1">'Collections &amp; Payments 3'!O50:O54</f>
        <v>0</v>
      </c>
      <c r="D50" s="1033">
        <f t="array" aca="1" ref="D50" ca="1">SUM('Cashing &amp; Payment Policies'!$D$88:$D$95*B$35:B$42)</f>
        <v>0</v>
      </c>
      <c r="E50" s="1033">
        <f t="array" aca="1" ref="E50" ca="1">SUM('Cashing &amp; Payment Policies'!$D$88:$D$95*C$35:C$42)</f>
        <v>0</v>
      </c>
      <c r="F50" s="1033">
        <f t="array" aca="1" ref="F50" ca="1">SUM('Cashing &amp; Payment Policies'!$D$88:$D$95*D$35:D$42)</f>
        <v>0</v>
      </c>
      <c r="G50" s="1033">
        <f t="array" aca="1" ref="G50" ca="1">SUM('Cashing &amp; Payment Policies'!$D$88:$D$95*E$35:E$42)</f>
        <v>0</v>
      </c>
      <c r="H50" s="1033">
        <f t="array" aca="1" ref="H50" ca="1">SUM('Cashing &amp; Payment Policies'!$D$88:$D$95*F$35:F$42)</f>
        <v>0</v>
      </c>
      <c r="I50" s="1033">
        <f t="array" aca="1" ref="I50" ca="1">SUM('Cashing &amp; Payment Policies'!$D$88:$D$95*G$35:G$42)</f>
        <v>0</v>
      </c>
      <c r="J50" s="1033">
        <f t="array" aca="1" ref="J50" ca="1">SUM('Cashing &amp; Payment Policies'!$D$88:$D$95*H$35:H$42)</f>
        <v>0</v>
      </c>
      <c r="K50" s="1033">
        <f t="array" aca="1" ref="K50" ca="1">SUM('Cashing &amp; Payment Policies'!$D$88:$D$95*I$35:I$42)</f>
        <v>0</v>
      </c>
      <c r="L50" s="1033">
        <f t="array" aca="1" ref="L50" ca="1">SUM('Cashing &amp; Payment Policies'!$D$88:$D$95*J$35:J$42)</f>
        <v>0</v>
      </c>
      <c r="M50" s="1033">
        <f t="array" aca="1" ref="M50" ca="1">SUM('Cashing &amp; Payment Policies'!$D$88:$D$95*K$35:K$42)</f>
        <v>0</v>
      </c>
      <c r="N50" s="1033">
        <f t="array" aca="1" ref="N50" ca="1">SUM('Cashing &amp; Payment Policies'!$D$88:$D$95*L$35:L$42)</f>
        <v>0</v>
      </c>
      <c r="O50" s="1033">
        <f t="array" aca="1" ref="O50" ca="1">SUM('Cashing &amp; Payment Policies'!$D$88:$D$95*M$35:M$42)</f>
        <v>0</v>
      </c>
      <c r="P50" s="1033"/>
      <c r="Q50" s="1033"/>
      <c r="R50" s="1033"/>
      <c r="S50" s="1033"/>
    </row>
    <row r="51" spans="1:19" ht="14.25">
      <c r="A51" s="2421">
        <v>90</v>
      </c>
      <c r="B51" s="1045">
        <f ca="1"/>
        <v>0</v>
      </c>
      <c r="C51" s="1045">
        <f ca="1"/>
        <v>0</v>
      </c>
      <c r="D51" s="1045">
        <f t="array" aca="1" ref="D51:D54" ca="1">'Collections &amp; Payments 3'!P51:P54</f>
        <v>0</v>
      </c>
      <c r="E51" s="1033">
        <f t="array" aca="1" ref="E51" ca="1">SUM('Cashing &amp; Payment Policies'!$E$88:$E$95*B$35:B$42)</f>
        <v>0</v>
      </c>
      <c r="F51" s="1033">
        <f t="array" aca="1" ref="F51" ca="1">SUM('Cashing &amp; Payment Policies'!$E$88:$E$95*C$35:C$42)</f>
        <v>0</v>
      </c>
      <c r="G51" s="1033">
        <f t="array" aca="1" ref="G51" ca="1">SUM('Cashing &amp; Payment Policies'!$E$88:$E$95*D$35:D$42)</f>
        <v>0</v>
      </c>
      <c r="H51" s="1033">
        <f t="array" aca="1" ref="H51" ca="1">SUM('Cashing &amp; Payment Policies'!$E$88:$E$95*E$35:E$42)</f>
        <v>0</v>
      </c>
      <c r="I51" s="1033">
        <f t="array" aca="1" ref="I51" ca="1">SUM('Cashing &amp; Payment Policies'!$E$88:$E$95*F$35:F$42)</f>
        <v>0</v>
      </c>
      <c r="J51" s="1033">
        <f t="array" aca="1" ref="J51" ca="1">SUM('Cashing &amp; Payment Policies'!$E$88:$E$95*G$35:G$42)</f>
        <v>0</v>
      </c>
      <c r="K51" s="1033">
        <f t="array" aca="1" ref="K51" ca="1">SUM('Cashing &amp; Payment Policies'!$E$88:$E$95*H$35:H$42)</f>
        <v>0</v>
      </c>
      <c r="L51" s="1033">
        <f t="array" aca="1" ref="L51" ca="1">SUM('Cashing &amp; Payment Policies'!$E$88:$E$95*I$35:I$42)</f>
        <v>0</v>
      </c>
      <c r="M51" s="1033">
        <f t="array" aca="1" ref="M51" ca="1">SUM('Cashing &amp; Payment Policies'!$E$88:$E$95*J$35:J$42)</f>
        <v>0</v>
      </c>
      <c r="N51" s="1033">
        <f t="array" aca="1" ref="N51" ca="1">SUM('Cashing &amp; Payment Policies'!$E$88:$E$95*K$35:K$42)</f>
        <v>0</v>
      </c>
      <c r="O51" s="1033">
        <f t="array" aca="1" ref="O51" ca="1">SUM('Cashing &amp; Payment Policies'!$E$88:$E$95*L$35:L$42)</f>
        <v>0</v>
      </c>
      <c r="P51" s="1033">
        <f t="array" aca="1" ref="P51" ca="1">SUM('Cashing &amp; Payment Policies'!$E$88:$E$95*M$35:M$42)</f>
        <v>0</v>
      </c>
      <c r="Q51" s="1033"/>
      <c r="R51" s="1033"/>
      <c r="S51" s="1033"/>
    </row>
    <row r="52" spans="1:19" ht="14.25">
      <c r="A52" s="2421">
        <v>120</v>
      </c>
      <c r="B52" s="1045">
        <f ca="1"/>
        <v>0</v>
      </c>
      <c r="C52" s="1045">
        <f ca="1"/>
        <v>0</v>
      </c>
      <c r="D52" s="1045">
        <f ca="1"/>
        <v>0</v>
      </c>
      <c r="E52" s="1045">
        <f t="array" aca="1" ref="E52:E54" ca="1">'Collections &amp; Payments 3'!Q52:Q54</f>
        <v>0</v>
      </c>
      <c r="F52" s="1033">
        <f t="array" aca="1" ref="F52" ca="1">SUM('Cashing &amp; Payment Policies'!$F$88:$F$95*B$35:B$42)</f>
        <v>0</v>
      </c>
      <c r="G52" s="1033">
        <f t="array" aca="1" ref="G52" ca="1">SUM('Cashing &amp; Payment Policies'!$F$88:$F$95*C$35:C$42)</f>
        <v>0</v>
      </c>
      <c r="H52" s="1033">
        <f t="array" aca="1" ref="H52" ca="1">SUM('Cashing &amp; Payment Policies'!$F$88:$F$95*D$35:D$42)</f>
        <v>0</v>
      </c>
      <c r="I52" s="1033">
        <f t="array" aca="1" ref="I52" ca="1">SUM('Cashing &amp; Payment Policies'!$F$88:$F$95*E$35:E$42)</f>
        <v>0</v>
      </c>
      <c r="J52" s="1033">
        <f t="array" aca="1" ref="J52" ca="1">SUM('Cashing &amp; Payment Policies'!$F$88:$F$95*F$35:F$42)</f>
        <v>0</v>
      </c>
      <c r="K52" s="1033">
        <f t="array" aca="1" ref="K52" ca="1">SUM('Cashing &amp; Payment Policies'!$F$88:$F$95*G$35:G$42)</f>
        <v>0</v>
      </c>
      <c r="L52" s="1033">
        <f t="array" aca="1" ref="L52" ca="1">SUM('Cashing &amp; Payment Policies'!$F$88:$F$95*H$35:H$42)</f>
        <v>0</v>
      </c>
      <c r="M52" s="1033">
        <f t="array" aca="1" ref="M52" ca="1">SUM('Cashing &amp; Payment Policies'!$F$88:$F$95*I$35:I$42)</f>
        <v>0</v>
      </c>
      <c r="N52" s="1033">
        <f t="array" aca="1" ref="N52" ca="1">SUM('Cashing &amp; Payment Policies'!$F$88:$F$95*J$35:J$42)</f>
        <v>0</v>
      </c>
      <c r="O52" s="1033">
        <f t="array" aca="1" ref="O52" ca="1">SUM('Cashing &amp; Payment Policies'!$F$88:$F$95*K$35:K$42)</f>
        <v>0</v>
      </c>
      <c r="P52" s="1033">
        <f t="array" aca="1" ref="P52" ca="1">SUM('Cashing &amp; Payment Policies'!$F$88:$F$95*L$35:L$42)</f>
        <v>0</v>
      </c>
      <c r="Q52" s="1033">
        <f t="array" aca="1" ref="Q52" ca="1">SUM('Cashing &amp; Payment Policies'!$F$88:$F$95*M$35:M$42)</f>
        <v>0</v>
      </c>
      <c r="R52" s="1033"/>
      <c r="S52" s="1033"/>
    </row>
    <row r="53" spans="1:19" ht="14.25">
      <c r="A53" s="2421">
        <v>150</v>
      </c>
      <c r="B53" s="1045">
        <f ca="1"/>
        <v>0</v>
      </c>
      <c r="C53" s="1045">
        <f ca="1"/>
        <v>0</v>
      </c>
      <c r="D53" s="1045">
        <f ca="1"/>
        <v>0</v>
      </c>
      <c r="E53" s="1045">
        <f ca="1"/>
        <v>0</v>
      </c>
      <c r="F53" s="1045">
        <f t="array" aca="1" ref="F53:F54" ca="1">'Collections &amp; Payments 3'!R53:R54</f>
        <v>0</v>
      </c>
      <c r="G53" s="1033">
        <f t="array" aca="1" ref="G53" ca="1">SUM('Cashing &amp; Payment Policies'!$G$88:$G$95*B$35:B$42)</f>
        <v>0</v>
      </c>
      <c r="H53" s="1033">
        <f t="array" aca="1" ref="H53" ca="1">SUM('Cashing &amp; Payment Policies'!$G$88:$G$95*C$35:C$42)</f>
        <v>0</v>
      </c>
      <c r="I53" s="1033">
        <f t="array" aca="1" ref="I53" ca="1">SUM('Cashing &amp; Payment Policies'!$G$88:$G$95*D$35:D$42)</f>
        <v>0</v>
      </c>
      <c r="J53" s="1033">
        <f t="array" aca="1" ref="J53" ca="1">SUM('Cashing &amp; Payment Policies'!$G$88:$G$95*E$35:E$42)</f>
        <v>0</v>
      </c>
      <c r="K53" s="1033">
        <f t="array" aca="1" ref="K53" ca="1">SUM('Cashing &amp; Payment Policies'!$G$88:$G$95*F$35:F$42)</f>
        <v>0</v>
      </c>
      <c r="L53" s="1033">
        <f t="array" aca="1" ref="L53" ca="1">SUM('Cashing &amp; Payment Policies'!$G$88:$G$95*G$35:G$42)</f>
        <v>0</v>
      </c>
      <c r="M53" s="1033">
        <f t="array" aca="1" ref="M53" ca="1">SUM('Cashing &amp; Payment Policies'!$G$88:$G$95*H$35:H$42)</f>
        <v>0</v>
      </c>
      <c r="N53" s="1033">
        <f t="array" aca="1" ref="N53" ca="1">SUM('Cashing &amp; Payment Policies'!$G$88:$G$95*I$35:I$42)</f>
        <v>0</v>
      </c>
      <c r="O53" s="1033">
        <f t="array" aca="1" ref="O53" ca="1">SUM('Cashing &amp; Payment Policies'!$G$88:$G$95*J$35:J$42)</f>
        <v>0</v>
      </c>
      <c r="P53" s="1033">
        <f t="array" aca="1" ref="P53" ca="1">SUM('Cashing &amp; Payment Policies'!$G$88:$G$95*K$35:K$42)</f>
        <v>0</v>
      </c>
      <c r="Q53" s="1033">
        <f t="array" aca="1" ref="Q53" ca="1">SUM('Cashing &amp; Payment Policies'!$G$88:$G$95*L$35:L$42)</f>
        <v>0</v>
      </c>
      <c r="R53" s="1033">
        <f t="array" aca="1" ref="R53" ca="1">SUM('Cashing &amp; Payment Policies'!$G$88:$G$95*M$35:M$42)</f>
        <v>0</v>
      </c>
      <c r="S53" s="1033"/>
    </row>
    <row r="54" spans="1:19" ht="14.25">
      <c r="A54" s="2422">
        <v>180</v>
      </c>
      <c r="B54" s="1045">
        <f ca="1"/>
        <v>0</v>
      </c>
      <c r="C54" s="1045">
        <f ca="1"/>
        <v>0</v>
      </c>
      <c r="D54" s="1045">
        <f ca="1"/>
        <v>0</v>
      </c>
      <c r="E54" s="1045">
        <f ca="1"/>
        <v>0</v>
      </c>
      <c r="F54" s="1045">
        <f ca="1"/>
        <v>0</v>
      </c>
      <c r="G54" s="1045">
        <f ca="1">'Collections &amp; Payments 3'!S54</f>
        <v>0</v>
      </c>
      <c r="H54" s="1033">
        <f t="array" aca="1" ref="H54" ca="1">SUM('Cashing &amp; Payment Policies'!$H$88:$H$95*B$35:B$42)</f>
        <v>0</v>
      </c>
      <c r="I54" s="1033">
        <f t="array" aca="1" ref="I54" ca="1">SUM('Cashing &amp; Payment Policies'!$H$88:$H$95*C$35:C$42)</f>
        <v>0</v>
      </c>
      <c r="J54" s="1033">
        <f t="array" aca="1" ref="J54" ca="1">SUM('Cashing &amp; Payment Policies'!$H$88:$H$95*D$35:D$42)</f>
        <v>0</v>
      </c>
      <c r="K54" s="1033">
        <f t="array" aca="1" ref="K54" ca="1">SUM('Cashing &amp; Payment Policies'!$H$88:$H$95*E$35:E$42)</f>
        <v>0</v>
      </c>
      <c r="L54" s="1033">
        <f t="array" aca="1" ref="L54" ca="1">SUM('Cashing &amp; Payment Policies'!$H$88:$H$95*F$35:F$42)</f>
        <v>0</v>
      </c>
      <c r="M54" s="1033">
        <f t="array" aca="1" ref="M54" ca="1">SUM('Cashing &amp; Payment Policies'!$H$88:$H$95*G$35:G$42)</f>
        <v>0</v>
      </c>
      <c r="N54" s="1033">
        <f t="array" aca="1" ref="N54" ca="1">SUM('Cashing &amp; Payment Policies'!$H$88:$H$95*H$35:H$42)</f>
        <v>0</v>
      </c>
      <c r="O54" s="1033">
        <f t="array" aca="1" ref="O54" ca="1">SUM('Cashing &amp; Payment Policies'!$H$88:$H$95*I$35:I$42)</f>
        <v>0</v>
      </c>
      <c r="P54" s="1033">
        <f t="array" aca="1" ref="P54" ca="1">SUM('Cashing &amp; Payment Policies'!$H$88:$H$95*J$35:J$42)</f>
        <v>0</v>
      </c>
      <c r="Q54" s="1033">
        <f t="array" aca="1" ref="Q54" ca="1">SUM('Cashing &amp; Payment Policies'!$H$88:$H$95*K$35:K$42)</f>
        <v>0</v>
      </c>
      <c r="R54" s="1033">
        <f t="array" aca="1" ref="R54" ca="1">SUM('Cashing &amp; Payment Policies'!$H$88:$H$95*L$35:L$42)</f>
        <v>0</v>
      </c>
      <c r="S54" s="1033">
        <f t="array" aca="1" ref="S54" ca="1">SUM('Cashing &amp; Payment Policies'!$H$88:$H$95*M$35:M$42)</f>
        <v>0</v>
      </c>
    </row>
    <row r="55" spans="1:19" ht="15.75" thickBot="1">
      <c r="A55" s="2423" t="s">
        <v>577</v>
      </c>
      <c r="B55" s="2052">
        <f t="shared" ref="B55:S55" ca="1" si="6">SUM(B48:B54)</f>
        <v>157.70404343958</v>
      </c>
      <c r="C55" s="2052">
        <f t="shared" ca="1" si="6"/>
        <v>157.70404343958</v>
      </c>
      <c r="D55" s="2052">
        <f t="shared" ca="1" si="6"/>
        <v>157.70404343958</v>
      </c>
      <c r="E55" s="2052">
        <f t="shared" ca="1" si="6"/>
        <v>157.70404343958</v>
      </c>
      <c r="F55" s="2052">
        <f t="shared" ca="1" si="6"/>
        <v>157.70404343958</v>
      </c>
      <c r="G55" s="2052">
        <f t="shared" ca="1" si="6"/>
        <v>157.70404343958</v>
      </c>
      <c r="H55" s="2052">
        <f t="shared" ca="1" si="6"/>
        <v>157.70404343958</v>
      </c>
      <c r="I55" s="2052">
        <f t="shared" ca="1" si="6"/>
        <v>157.70404343958</v>
      </c>
      <c r="J55" s="2052">
        <f t="shared" ca="1" si="6"/>
        <v>157.70404343958</v>
      </c>
      <c r="K55" s="2052">
        <f t="shared" ca="1" si="6"/>
        <v>157.70404343958</v>
      </c>
      <c r="L55" s="2052">
        <f t="shared" ca="1" si="6"/>
        <v>157.70404343958</v>
      </c>
      <c r="M55" s="2052">
        <f t="shared" ca="1" si="6"/>
        <v>157.70404343958</v>
      </c>
      <c r="N55" s="2052">
        <f t="shared" ca="1" si="6"/>
        <v>0</v>
      </c>
      <c r="O55" s="2052">
        <f t="shared" ca="1" si="6"/>
        <v>0</v>
      </c>
      <c r="P55" s="2052">
        <f t="shared" ca="1" si="6"/>
        <v>0</v>
      </c>
      <c r="Q55" s="2052">
        <f t="shared" ca="1" si="6"/>
        <v>0</v>
      </c>
      <c r="R55" s="2052">
        <f t="shared" ca="1" si="6"/>
        <v>0</v>
      </c>
      <c r="S55" s="2052">
        <f t="shared" ca="1" si="6"/>
        <v>0</v>
      </c>
    </row>
    <row r="56" spans="1:19" ht="13.5" thickBot="1">
      <c r="A56" s="541"/>
      <c r="B56" s="1032"/>
      <c r="C56" s="534"/>
      <c r="D56" s="534"/>
      <c r="E56" s="534"/>
      <c r="F56" s="534"/>
      <c r="G56" s="534"/>
      <c r="H56" s="534"/>
      <c r="I56" s="534"/>
      <c r="J56" s="534"/>
      <c r="K56" s="534"/>
      <c r="L56" s="534"/>
      <c r="M56" s="534"/>
      <c r="N56" s="534"/>
      <c r="O56" s="541"/>
      <c r="P56" s="534"/>
    </row>
    <row r="57" spans="1:19" ht="13.5" thickBot="1">
      <c r="N57" s="1046"/>
      <c r="O57" s="1047"/>
      <c r="P57" s="1047"/>
      <c r="Q57" s="1047"/>
      <c r="R57" s="1056" t="str">
        <f>CONCATENATE("Payments pending for the following year ",Q46," ( ",'Base Data'!$A$28," not incl.)")</f>
        <v>Payments pending for the following year 2031 ( VAT not incl.)</v>
      </c>
      <c r="S57" s="1057">
        <f ca="1">SUM(N55:S55)</f>
        <v>0</v>
      </c>
    </row>
  </sheetData>
  <sheetProtection sheet="1" objects="1" scenarios="1"/>
  <phoneticPr fontId="7" type="noConversion"/>
  <printOptions horizontalCentered="1" verticalCentered="1"/>
  <pageMargins left="0.39370078740157483" right="0.39370078740157483" top="0.31" bottom="0.3" header="0.31496062992125984" footer="0.31496062992125984"/>
  <pageSetup paperSize="9" scale="60" orientation="landscape" horizontalDpi="300" verticalDpi="300" r:id="rId1"/>
  <headerFooter alignWithMargins="0">
    <oddFooter>&amp;C&amp;"Tahoma,Normal"&amp;10&amp;A</oddFooter>
  </headerFooter>
  <rowBreaks count="1" manualBreakCount="1">
    <brk id="16" max="14" man="1"/>
  </rowBreak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282">
    <tabColor indexed="43"/>
    <pageSetUpPr fitToPage="1"/>
  </sheetPr>
  <dimension ref="A1:O49"/>
  <sheetViews>
    <sheetView zoomScale="85" zoomScaleNormal="85" workbookViewId="0">
      <pane xSplit="1" topLeftCell="B1" activePane="topRight" state="frozenSplit"/>
      <selection activeCell="E22" sqref="E22"/>
      <selection pane="topRight" activeCell="E22" sqref="E22"/>
    </sheetView>
  </sheetViews>
  <sheetFormatPr baseColWidth="10" defaultColWidth="11" defaultRowHeight="15"/>
  <cols>
    <col min="1" max="1" width="30.875" style="35" customWidth="1"/>
    <col min="2" max="2" width="13.5" style="35" customWidth="1"/>
    <col min="3" max="4" width="11" style="35"/>
    <col min="5" max="5" width="12.625" style="35" customWidth="1"/>
    <col min="6" max="6" width="14.125" style="35" bestFit="1" customWidth="1"/>
    <col min="7" max="7" width="11" style="35"/>
    <col min="8" max="8" width="12" style="35" customWidth="1"/>
    <col min="9" max="10" width="11" style="35"/>
    <col min="11" max="11" width="12" style="35" customWidth="1"/>
    <col min="12" max="13" width="11" style="35"/>
    <col min="14" max="14" width="11.75" style="35" bestFit="1" customWidth="1"/>
    <col min="15" max="16" width="8.625" style="35" customWidth="1"/>
    <col min="17" max="17" width="9.875" style="35" customWidth="1"/>
    <col min="18" max="19" width="8.625" style="35" customWidth="1"/>
    <col min="20" max="16384" width="11" style="35"/>
  </cols>
  <sheetData>
    <row r="1" spans="1:14" s="97" customFormat="1" ht="22.5">
      <c r="A1" s="66" t="s">
        <v>665</v>
      </c>
      <c r="I1" s="1071" t="str">
        <f>IF(irpf=0,CONCATENATE("Legal form: ",'Base Data'!B24),"")</f>
        <v>Legal form: Limited Liability Company  ( LLC )</v>
      </c>
    </row>
    <row r="2" spans="1:14" s="66" customFormat="1" ht="22.5">
      <c r="A2" s="66" t="str">
        <f>CONCATENATE("Retained Income &amp; Payments in account   (",Parameters!$H$11,")")</f>
        <v>Retained Income &amp; Payments in account   (€)</v>
      </c>
      <c r="I2" s="1071" t="str">
        <f>IF($I$1="","","Not subject to Personal Income Taxation")</f>
        <v>Not subject to Personal Income Taxation</v>
      </c>
    </row>
    <row r="3" spans="1:14" s="66" customFormat="1" ht="22.5">
      <c r="A3" s="66" t="str">
        <f>'Sales Forecast 0'!A2</f>
        <v>WWW, Ltd.</v>
      </c>
      <c r="I3" s="1071" t="str">
        <f>IF(I1="","","SUBJECT TO CORPORATE INCOME TAXATION")</f>
        <v>SUBJECT TO CORPORATE INCOME TAXATION</v>
      </c>
    </row>
    <row r="4" spans="1:14" s="97" customFormat="1" ht="22.5"/>
    <row r="5" spans="1:14" s="97" customFormat="1" ht="22.5">
      <c r="A5" s="1502" t="str">
        <f>IF(B5=0,"",'Base Data'!F28)</f>
        <v/>
      </c>
      <c r="B5" s="1532">
        <f>irpf</f>
        <v>0</v>
      </c>
      <c r="C5" s="1533"/>
      <c r="D5" s="1534" t="str">
        <f>IF(ret_irpf=0,"",CONCATENATE(TEXT('Base Data'!I29,"#%")," de retención sobre el ",TEXT('Base Data'!I30,"#%")," de la facturación."))</f>
        <v/>
      </c>
      <c r="E5" s="1533"/>
    </row>
    <row r="6" spans="1:14" s="97" customFormat="1" ht="22.5">
      <c r="A6" s="48"/>
    </row>
    <row r="7" spans="1:14" s="97" customFormat="1" ht="23.25" thickBot="1">
      <c r="A7" s="66" t="s">
        <v>691</v>
      </c>
      <c r="E7" s="2417" t="str">
        <f>Parameters!B$77</f>
        <v>Year 0:   2026</v>
      </c>
      <c r="F7" s="231"/>
    </row>
    <row r="8" spans="1:14">
      <c r="A8" s="1530"/>
      <c r="B8" s="1073" t="str">
        <f t="array" ref="B8:M8">meses</f>
        <v>January</v>
      </c>
      <c r="C8" s="1073" t="str">
        <v>February</v>
      </c>
      <c r="D8" s="1073" t="str">
        <v>March</v>
      </c>
      <c r="E8" s="1073" t="str">
        <v>April</v>
      </c>
      <c r="F8" s="1073" t="str">
        <v>May</v>
      </c>
      <c r="G8" s="1073" t="str">
        <v>June</v>
      </c>
      <c r="H8" s="1073" t="str">
        <v>July</v>
      </c>
      <c r="I8" s="1073" t="str">
        <v>August</v>
      </c>
      <c r="J8" s="1073" t="str">
        <v>September</v>
      </c>
      <c r="K8" s="1073" t="str">
        <v>October</v>
      </c>
      <c r="L8" s="1073" t="str">
        <v>November</v>
      </c>
      <c r="M8" s="1073" t="str">
        <v>December</v>
      </c>
      <c r="N8" s="1074" t="s">
        <v>554</v>
      </c>
    </row>
    <row r="9" spans="1:14" ht="16.5" customHeight="1">
      <c r="A9" s="2102" t="s">
        <v>693</v>
      </c>
      <c r="B9" s="80">
        <f ca="1">'Sales Forecast 0'!B25*ret_irpf+'Current Asset Invest.'!G21</f>
        <v>0</v>
      </c>
      <c r="C9" s="80">
        <f ca="1">'Sales Forecast 0'!C25*ret_irpf</f>
        <v>0</v>
      </c>
      <c r="D9" s="80">
        <f ca="1">'Sales Forecast 0'!D25*ret_irpf</f>
        <v>0</v>
      </c>
      <c r="E9" s="80">
        <f ca="1">'Sales Forecast 0'!E25*ret_irpf</f>
        <v>0</v>
      </c>
      <c r="F9" s="80">
        <f ca="1">'Sales Forecast 0'!F25*ret_irpf</f>
        <v>0</v>
      </c>
      <c r="G9" s="80">
        <f ca="1">'Sales Forecast 0'!G25*ret_irpf</f>
        <v>0</v>
      </c>
      <c r="H9" s="80">
        <f ca="1">'Sales Forecast 0'!H25*ret_irpf</f>
        <v>0</v>
      </c>
      <c r="I9" s="80">
        <f ca="1">'Sales Forecast 0'!I25*ret_irpf</f>
        <v>0</v>
      </c>
      <c r="J9" s="80">
        <f ca="1">'Sales Forecast 0'!J25*ret_irpf</f>
        <v>0</v>
      </c>
      <c r="K9" s="80">
        <f ca="1">'Sales Forecast 0'!K25*ret_irpf</f>
        <v>0</v>
      </c>
      <c r="L9" s="80">
        <f ca="1">'Sales Forecast 0'!L25*ret_irpf</f>
        <v>0</v>
      </c>
      <c r="M9" s="80">
        <f ca="1">'Sales Forecast 0'!M25*ret_irpf</f>
        <v>0</v>
      </c>
      <c r="N9" s="1075">
        <f ca="1">SUM(B9:M9)</f>
        <v>0</v>
      </c>
    </row>
    <row r="10" spans="1:14" ht="16.5" customHeight="1">
      <c r="A10" s="2102" t="s">
        <v>676</v>
      </c>
      <c r="B10" s="80">
        <f>IF($B$5=0,0,'DC Distr 0'!B28+'Fixed Expenses 0'!B58-'Fixed Expenses 0'!B7+'Financial Expenses'!C19-'Financial Expenses'!C87+'Income St 0'!B22)</f>
        <v>0</v>
      </c>
      <c r="C10" s="80">
        <f>IF($B$5=0,0,'DC Distr 0'!C28+'Fixed Expenses 0'!C58-'Fixed Expenses 0'!C7+'Financial Expenses'!D19-'Financial Expenses'!D87+'Income St 0'!C22)</f>
        <v>0</v>
      </c>
      <c r="D10" s="80">
        <f>IF($B$5=0,0,'DC Distr 0'!D28+'Fixed Expenses 0'!D58-'Fixed Expenses 0'!D7+'Financial Expenses'!E19-'Financial Expenses'!E87+'Income St 0'!D22)</f>
        <v>0</v>
      </c>
      <c r="E10" s="80">
        <f>IF($B$5=0,0,'DC Distr 0'!E28+'Fixed Expenses 0'!E58-'Fixed Expenses 0'!E7+'Financial Expenses'!F19-'Financial Expenses'!F87+'Income St 0'!E22)</f>
        <v>0</v>
      </c>
      <c r="F10" s="80">
        <f>IF($B$5=0,0,'DC Distr 0'!F28+'Fixed Expenses 0'!F58-'Fixed Expenses 0'!F7+'Financial Expenses'!G19-'Financial Expenses'!G87+'Income St 0'!F22)</f>
        <v>0</v>
      </c>
      <c r="G10" s="80">
        <f>IF($B$5=0,0,'DC Distr 0'!G28+'Fixed Expenses 0'!G58-'Fixed Expenses 0'!G7+'Financial Expenses'!H19-'Financial Expenses'!H87+'Income St 0'!G22)</f>
        <v>0</v>
      </c>
      <c r="H10" s="80">
        <f>IF($B$5=0,0,'DC Distr 0'!H28+'Fixed Expenses 0'!H58-'Fixed Expenses 0'!H7+'Financial Expenses'!I19-'Financial Expenses'!I87+'Income St 0'!H22)</f>
        <v>0</v>
      </c>
      <c r="I10" s="80">
        <f>IF($B$5=0,0,'DC Distr 0'!I28+'Fixed Expenses 0'!I58-'Fixed Expenses 0'!I7+'Financial Expenses'!J19-'Financial Expenses'!J87+'Income St 0'!I22)</f>
        <v>0</v>
      </c>
      <c r="J10" s="80">
        <f>IF($B$5=0,0,'DC Distr 0'!J28+'Fixed Expenses 0'!J58-'Fixed Expenses 0'!J7+'Financial Expenses'!K19-'Financial Expenses'!K87+'Income St 0'!J22)</f>
        <v>0</v>
      </c>
      <c r="K10" s="80">
        <f>IF($B$5=0,0,'DC Distr 0'!K28+'Fixed Expenses 0'!K58-'Fixed Expenses 0'!K7+'Financial Expenses'!L19-'Financial Expenses'!L87+'Income St 0'!K22)</f>
        <v>0</v>
      </c>
      <c r="L10" s="80">
        <f>IF($B$5=0,0,'DC Distr 0'!L28+'Fixed Expenses 0'!L58-'Fixed Expenses 0'!L7+'Financial Expenses'!M19-'Financial Expenses'!M87+'Income St 0'!L22)</f>
        <v>0</v>
      </c>
      <c r="M10" s="80">
        <f>IF($B$5=0,0,'DC Distr 0'!M28+'Fixed Expenses 0'!M58-'Fixed Expenses 0'!M7+'Financial Expenses'!N19-'Financial Expenses'!N87+'Income St 0'!M22)</f>
        <v>0</v>
      </c>
      <c r="N10" s="1075">
        <f>SUM(B10:M10)</f>
        <v>0</v>
      </c>
    </row>
    <row r="11" spans="1:14" ht="18.75" customHeight="1">
      <c r="A11" s="2102" t="s">
        <v>694</v>
      </c>
      <c r="B11" s="1068">
        <v>0</v>
      </c>
      <c r="C11" s="1068">
        <v>0</v>
      </c>
      <c r="D11" s="1068">
        <v>0</v>
      </c>
      <c r="E11" s="1068">
        <f ca="1">$B$5*(SUM('Sales Forecast 0'!B25:D25)-SUM(B10:D10))</f>
        <v>0</v>
      </c>
      <c r="F11" s="1068">
        <v>0</v>
      </c>
      <c r="G11" s="1068">
        <v>0</v>
      </c>
      <c r="H11" s="1068">
        <f ca="1">$B$5*(SUM('Sales Forecast 0'!$B25:G25)-SUM($B10:G10))</f>
        <v>0</v>
      </c>
      <c r="I11" s="1068">
        <v>0</v>
      </c>
      <c r="J11" s="1068">
        <v>0</v>
      </c>
      <c r="K11" s="1068">
        <f ca="1">$B$5*(SUM('Sales Forecast 0'!$B25:J25)-SUM($B10:J10))</f>
        <v>0</v>
      </c>
      <c r="L11" s="1068">
        <v>0</v>
      </c>
      <c r="M11" s="1068">
        <v>0</v>
      </c>
      <c r="N11" s="1075">
        <f ca="1">$B$5*(SUM('Sales Forecast 0'!$B25:M25)-SUM($B10:M10))</f>
        <v>0</v>
      </c>
    </row>
    <row r="12" spans="1:14">
      <c r="A12" s="1531"/>
      <c r="B12" s="1069"/>
      <c r="C12" s="1069"/>
      <c r="D12" s="1069"/>
      <c r="E12" s="1069"/>
      <c r="F12" s="1069"/>
      <c r="G12" s="1069"/>
      <c r="H12" s="1069"/>
      <c r="I12" s="1069"/>
      <c r="J12" s="1069"/>
      <c r="K12" s="1069"/>
      <c r="L12" s="1069"/>
      <c r="M12" s="1069"/>
      <c r="N12" s="1076"/>
    </row>
    <row r="13" spans="1:14" ht="19.5" customHeight="1" thickBot="1">
      <c r="A13" s="2774" t="s">
        <v>692</v>
      </c>
      <c r="B13" s="1078">
        <v>0</v>
      </c>
      <c r="C13" s="1079"/>
      <c r="D13" s="1079"/>
      <c r="E13" s="1079">
        <f ca="1">MAX(E11-SUM($B9:D9)-SUM($C13:D13),0)</f>
        <v>0</v>
      </c>
      <c r="F13" s="1079"/>
      <c r="G13" s="1079"/>
      <c r="H13" s="1079">
        <f ca="1">MAX(H11-SUM($B9:G9)-SUM($C13:G13),0)</f>
        <v>0</v>
      </c>
      <c r="I13" s="1079"/>
      <c r="J13" s="1079"/>
      <c r="K13" s="1079">
        <f ca="1">MAX(K11-SUM($B9:J9)-SUM($C13:J13),0)</f>
        <v>0</v>
      </c>
      <c r="L13" s="1079"/>
      <c r="M13" s="1079"/>
      <c r="N13" s="1800">
        <f ca="1">MAX(N11-SUM($B9:M9)-SUM($C13:M13),0)</f>
        <v>0</v>
      </c>
    </row>
    <row r="16" spans="1:14" ht="23.25" thickBot="1">
      <c r="A16" s="66" t="str">
        <f>$A$7</f>
        <v>Retained Income &amp; Payments in account</v>
      </c>
      <c r="E16" s="2417" t="str">
        <f>Parameters!C$77</f>
        <v>Year 1:   2027</v>
      </c>
      <c r="F16" s="231"/>
    </row>
    <row r="17" spans="1:15">
      <c r="A17" s="1072"/>
      <c r="B17" s="1073" t="str">
        <f t="array" ref="B17:M17">meses</f>
        <v>January</v>
      </c>
      <c r="C17" s="1073" t="str">
        <v>February</v>
      </c>
      <c r="D17" s="1073" t="str">
        <v>March</v>
      </c>
      <c r="E17" s="1073" t="str">
        <v>April</v>
      </c>
      <c r="F17" s="1073" t="str">
        <v>May</v>
      </c>
      <c r="G17" s="1073" t="str">
        <v>June</v>
      </c>
      <c r="H17" s="1073" t="str">
        <v>July</v>
      </c>
      <c r="I17" s="1073" t="str">
        <v>August</v>
      </c>
      <c r="J17" s="1073" t="str">
        <v>September</v>
      </c>
      <c r="K17" s="1073" t="str">
        <v>October</v>
      </c>
      <c r="L17" s="1073" t="str">
        <v>November</v>
      </c>
      <c r="M17" s="1073" t="str">
        <v>December</v>
      </c>
      <c r="N17" s="1074" t="str">
        <f>$N$8</f>
        <v>Totals</v>
      </c>
    </row>
    <row r="18" spans="1:15">
      <c r="A18" s="2102" t="str">
        <f t="array" ref="A18:A20">$A$9:$A$11</f>
        <v>Retained Income</v>
      </c>
      <c r="B18" s="80">
        <f ca="1">'Sales Forecast 1'!B25*ret_irpf</f>
        <v>0</v>
      </c>
      <c r="C18" s="80">
        <f ca="1">'Sales Forecast 1'!C25*ret_irpf</f>
        <v>0</v>
      </c>
      <c r="D18" s="80">
        <f ca="1">'Sales Forecast 1'!D25*ret_irpf</f>
        <v>0</v>
      </c>
      <c r="E18" s="80">
        <f ca="1">'Sales Forecast 1'!E25*ret_irpf</f>
        <v>0</v>
      </c>
      <c r="F18" s="80">
        <f ca="1">'Sales Forecast 1'!F25*ret_irpf</f>
        <v>0</v>
      </c>
      <c r="G18" s="80">
        <f ca="1">'Sales Forecast 1'!G25*ret_irpf</f>
        <v>0</v>
      </c>
      <c r="H18" s="80">
        <f ca="1">'Sales Forecast 1'!H25*ret_irpf</f>
        <v>0</v>
      </c>
      <c r="I18" s="80">
        <f ca="1">'Sales Forecast 1'!I25*ret_irpf</f>
        <v>0</v>
      </c>
      <c r="J18" s="80">
        <f ca="1">'Sales Forecast 1'!J25*ret_irpf</f>
        <v>0</v>
      </c>
      <c r="K18" s="80">
        <f ca="1">'Sales Forecast 1'!K25*ret_irpf</f>
        <v>0</v>
      </c>
      <c r="L18" s="80">
        <f ca="1">'Sales Forecast 1'!L25*ret_irpf</f>
        <v>0</v>
      </c>
      <c r="M18" s="80">
        <f ca="1">'Sales Forecast 1'!M25*ret_irpf</f>
        <v>0</v>
      </c>
      <c r="N18" s="1075">
        <f ca="1">SUM(B18:M18)</f>
        <v>0</v>
      </c>
    </row>
    <row r="19" spans="1:15">
      <c r="A19" s="2102" t="str">
        <v>Deductible Expenses</v>
      </c>
      <c r="B19" s="80">
        <f>IF($B$5=0,0,'Fixed Expenses 1'!B58-'Fixed Expenses 1'!B7+'DC Distr 1'!B28+'Financial Expenses'!C34-'Financial Expenses'!C92+'Income St 1'!B22)</f>
        <v>0</v>
      </c>
      <c r="C19" s="80">
        <f>IF($B$5=0,0,'Fixed Expenses 1'!C58-'Fixed Expenses 1'!C7+'DC Distr 1'!C28+'Financial Expenses'!D34-'Financial Expenses'!D92+'Income St 1'!C22)</f>
        <v>0</v>
      </c>
      <c r="D19" s="80">
        <f>IF($B$5=0,0,'Fixed Expenses 1'!D58-'Fixed Expenses 1'!D7+'DC Distr 1'!D28+'Financial Expenses'!E34-'Financial Expenses'!E92+'Income St 1'!D22)</f>
        <v>0</v>
      </c>
      <c r="E19" s="80">
        <f>IF($B$5=0,0,'Fixed Expenses 1'!E58-'Fixed Expenses 1'!E7+'DC Distr 1'!E28+'Financial Expenses'!F34-'Financial Expenses'!F92+'Income St 1'!E22)</f>
        <v>0</v>
      </c>
      <c r="F19" s="80">
        <f>IF($B$5=0,0,'Fixed Expenses 1'!F58-'Fixed Expenses 1'!F7+'DC Distr 1'!F28+'Financial Expenses'!G34-'Financial Expenses'!G92+'Income St 1'!F22)</f>
        <v>0</v>
      </c>
      <c r="G19" s="80">
        <f>IF($B$5=0,0,'Fixed Expenses 1'!G58-'Fixed Expenses 1'!G7+'DC Distr 1'!G28+'Financial Expenses'!H34-'Financial Expenses'!H92+'Income St 1'!G22)</f>
        <v>0</v>
      </c>
      <c r="H19" s="80">
        <f>IF($B$5=0,0,'Fixed Expenses 1'!H58-'Fixed Expenses 1'!H7+'DC Distr 1'!H28+'Financial Expenses'!I34-'Financial Expenses'!I92+'Income St 1'!H22)</f>
        <v>0</v>
      </c>
      <c r="I19" s="80">
        <f>IF($B$5=0,0,'Fixed Expenses 1'!I58-'Fixed Expenses 1'!I7+'DC Distr 1'!I28+'Financial Expenses'!J34-'Financial Expenses'!J92+'Income St 1'!I22)</f>
        <v>0</v>
      </c>
      <c r="J19" s="80">
        <f>IF($B$5=0,0,'Fixed Expenses 1'!J58-'Fixed Expenses 1'!J7+'DC Distr 1'!J28+'Financial Expenses'!K34-'Financial Expenses'!K92+'Income St 1'!J22)</f>
        <v>0</v>
      </c>
      <c r="K19" s="80">
        <f>IF($B$5=0,0,'Fixed Expenses 1'!K58-'Fixed Expenses 1'!K7+'DC Distr 1'!K28+'Financial Expenses'!L34-'Financial Expenses'!L92+'Income St 1'!K22)</f>
        <v>0</v>
      </c>
      <c r="L19" s="80">
        <f>IF($B$5=0,0,'Fixed Expenses 1'!L58-'Fixed Expenses 1'!L7+'DC Distr 1'!L28+'Financial Expenses'!M34-'Financial Expenses'!M92+'Income St 1'!L22)</f>
        <v>0</v>
      </c>
      <c r="M19" s="80">
        <f>IF($B$5=0,0,'Fixed Expenses 1'!M58-'Fixed Expenses 1'!M7+'DC Distr 1'!M28+'Financial Expenses'!N34-'Financial Expenses'!N92+'Income St 1'!M22)</f>
        <v>0</v>
      </c>
      <c r="N19" s="1075">
        <f>SUM(B19:M19)</f>
        <v>0</v>
      </c>
    </row>
    <row r="20" spans="1:15">
      <c r="A20" s="2102" t="str">
        <v>Personal Income Tax Quote</v>
      </c>
      <c r="B20" s="1068">
        <v>0</v>
      </c>
      <c r="C20" s="1068">
        <v>0</v>
      </c>
      <c r="D20" s="1068">
        <v>0</v>
      </c>
      <c r="E20" s="1068">
        <f ca="1">$B$5*(SUM('Sales Forecast 1'!B25:D25)-SUM(B19:D19))</f>
        <v>0</v>
      </c>
      <c r="F20" s="1068">
        <v>0</v>
      </c>
      <c r="G20" s="1068">
        <v>0</v>
      </c>
      <c r="H20" s="1068">
        <f ca="1">$B$5*(SUM('Sales Forecast 1'!$B25:G25)-SUM($B19:G19))</f>
        <v>0</v>
      </c>
      <c r="I20" s="1068">
        <v>0</v>
      </c>
      <c r="J20" s="1068">
        <v>0</v>
      </c>
      <c r="K20" s="1068">
        <f ca="1">$B$5*(SUM('Sales Forecast 1'!$B25:J25)-SUM($B19:J19))</f>
        <v>0</v>
      </c>
      <c r="L20" s="1068">
        <v>0</v>
      </c>
      <c r="M20" s="1068">
        <v>0</v>
      </c>
      <c r="N20" s="1075">
        <f ca="1">$B$5*(SUM('Sales Forecast 1'!$B25:M25)-N19)</f>
        <v>0</v>
      </c>
      <c r="O20" s="71"/>
    </row>
    <row r="21" spans="1:15">
      <c r="A21" s="1531"/>
      <c r="B21" s="1069"/>
      <c r="C21" s="1069"/>
      <c r="D21" s="1069"/>
      <c r="E21" s="1069"/>
      <c r="F21" s="1069"/>
      <c r="G21" s="1069"/>
      <c r="H21" s="1069"/>
      <c r="I21" s="1069"/>
      <c r="J21" s="1069"/>
      <c r="K21" s="1069"/>
      <c r="L21" s="1069"/>
      <c r="M21" s="1069"/>
      <c r="N21" s="1076"/>
    </row>
    <row r="22" spans="1:15" ht="19.5" customHeight="1" thickBot="1">
      <c r="A22" s="2774" t="str">
        <f>$A$13</f>
        <v>Quarterly Liquidations</v>
      </c>
      <c r="B22" s="1078">
        <f ca="1">N13</f>
        <v>0</v>
      </c>
      <c r="C22" s="1079"/>
      <c r="D22" s="1079"/>
      <c r="E22" s="1079">
        <f ca="1">MAX(E20-SUM($B18:D18)-SUM($C22:D22),0)</f>
        <v>0</v>
      </c>
      <c r="F22" s="1079"/>
      <c r="G22" s="1079"/>
      <c r="H22" s="1079">
        <f ca="1">MAX(H20-SUM($B18:G18)-SUM($C22:G22),0)</f>
        <v>0</v>
      </c>
      <c r="I22" s="1079"/>
      <c r="J22" s="1079"/>
      <c r="K22" s="1079">
        <f ca="1">MAX(K20-SUM($B18:J18)-SUM($C22:J22),0)</f>
        <v>0</v>
      </c>
      <c r="L22" s="1079"/>
      <c r="M22" s="1079"/>
      <c r="N22" s="1800">
        <f ca="1">MAX(N20-SUM($B18:M18)-SUM($C22:M22),0)</f>
        <v>0</v>
      </c>
    </row>
    <row r="25" spans="1:15" ht="23.25" thickBot="1">
      <c r="A25" s="66" t="str">
        <f>$A$7</f>
        <v>Retained Income &amp; Payments in account</v>
      </c>
      <c r="E25" s="2417" t="str">
        <f>Parameters!D$77</f>
        <v>Year 2:   2028</v>
      </c>
      <c r="F25" s="231"/>
    </row>
    <row r="26" spans="1:15">
      <c r="A26" s="1072"/>
      <c r="B26" s="1073" t="str">
        <f t="array" ref="B26:M26">meses</f>
        <v>January</v>
      </c>
      <c r="C26" s="1073" t="str">
        <v>February</v>
      </c>
      <c r="D26" s="1073" t="str">
        <v>March</v>
      </c>
      <c r="E26" s="1073" t="str">
        <v>April</v>
      </c>
      <c r="F26" s="1073" t="str">
        <v>May</v>
      </c>
      <c r="G26" s="1073" t="str">
        <v>June</v>
      </c>
      <c r="H26" s="1073" t="str">
        <v>July</v>
      </c>
      <c r="I26" s="1073" t="str">
        <v>August</v>
      </c>
      <c r="J26" s="1073" t="str">
        <v>September</v>
      </c>
      <c r="K26" s="1073" t="str">
        <v>October</v>
      </c>
      <c r="L26" s="1073" t="str">
        <v>November</v>
      </c>
      <c r="M26" s="1073" t="str">
        <v>December</v>
      </c>
      <c r="N26" s="1074" t="str">
        <f>$N$8</f>
        <v>Totals</v>
      </c>
    </row>
    <row r="27" spans="1:15">
      <c r="A27" s="2102" t="str">
        <f t="array" ref="A27:A29">$A$9:$A$11</f>
        <v>Retained Income</v>
      </c>
      <c r="B27" s="80">
        <f ca="1">'Sales Forecast 2'!B25*ret_irpf</f>
        <v>0</v>
      </c>
      <c r="C27" s="80">
        <f ca="1">'Sales Forecast 2'!C25*ret_irpf</f>
        <v>0</v>
      </c>
      <c r="D27" s="80">
        <f ca="1">'Sales Forecast 2'!D25*ret_irpf</f>
        <v>0</v>
      </c>
      <c r="E27" s="80">
        <f ca="1">'Sales Forecast 2'!E25*ret_irpf</f>
        <v>0</v>
      </c>
      <c r="F27" s="80">
        <f ca="1">'Sales Forecast 2'!F25*ret_irpf</f>
        <v>0</v>
      </c>
      <c r="G27" s="80">
        <f ca="1">'Sales Forecast 2'!G25*ret_irpf</f>
        <v>0</v>
      </c>
      <c r="H27" s="80">
        <f ca="1">'Sales Forecast 2'!H25*ret_irpf</f>
        <v>0</v>
      </c>
      <c r="I27" s="80">
        <f ca="1">'Sales Forecast 2'!I25*ret_irpf</f>
        <v>0</v>
      </c>
      <c r="J27" s="80">
        <f ca="1">'Sales Forecast 2'!J25*ret_irpf</f>
        <v>0</v>
      </c>
      <c r="K27" s="80">
        <f ca="1">'Sales Forecast 2'!K25*ret_irpf</f>
        <v>0</v>
      </c>
      <c r="L27" s="80">
        <f ca="1">'Sales Forecast 2'!L25*ret_irpf</f>
        <v>0</v>
      </c>
      <c r="M27" s="80">
        <f ca="1">'Sales Forecast 2'!M25*ret_irpf</f>
        <v>0</v>
      </c>
      <c r="N27" s="1075">
        <f ca="1">SUM(B27:M27)</f>
        <v>0</v>
      </c>
    </row>
    <row r="28" spans="1:15">
      <c r="A28" s="2102" t="str">
        <v>Deductible Expenses</v>
      </c>
      <c r="B28" s="80">
        <f>IF($B$5=0,0,'Fixed Expenses 2'!B58+'DC Distr 2'!B28-'Fixed Expenses 2'!B7+'Financial Expenses'!C49-'Financial Expenses'!C97+'Income St 2'!B22)</f>
        <v>0</v>
      </c>
      <c r="C28" s="80">
        <f>IF($B$5=0,0,'Fixed Expenses 2'!C58+'DC Distr 2'!C28-'Fixed Expenses 2'!C7+'Financial Expenses'!D49-'Financial Expenses'!D97+'Income St 2'!C22)</f>
        <v>0</v>
      </c>
      <c r="D28" s="80">
        <f>IF($B$5=0,0,'Fixed Expenses 2'!D58+'DC Distr 2'!D28-'Fixed Expenses 2'!D7+'Financial Expenses'!E49-'Financial Expenses'!E97+'Income St 2'!D22)</f>
        <v>0</v>
      </c>
      <c r="E28" s="80">
        <f>IF($B$5=0,0,'Fixed Expenses 2'!E58+'DC Distr 2'!E28-'Fixed Expenses 2'!E7+'Financial Expenses'!F49-'Financial Expenses'!F97+'Income St 2'!E22)</f>
        <v>0</v>
      </c>
      <c r="F28" s="80">
        <f>IF($B$5=0,0,'Fixed Expenses 2'!F58+'DC Distr 2'!F28-'Fixed Expenses 2'!F7+'Financial Expenses'!G49-'Financial Expenses'!G97+'Income St 2'!F22)</f>
        <v>0</v>
      </c>
      <c r="G28" s="80">
        <f>IF($B$5=0,0,'Fixed Expenses 2'!G58+'DC Distr 2'!G28-'Fixed Expenses 2'!G7+'Financial Expenses'!H49-'Financial Expenses'!H97+'Income St 2'!G22)</f>
        <v>0</v>
      </c>
      <c r="H28" s="80">
        <f>IF($B$5=0,0,'Fixed Expenses 2'!H58+'DC Distr 2'!H28-'Fixed Expenses 2'!H7+'Financial Expenses'!I49-'Financial Expenses'!I97+'Income St 2'!H22)</f>
        <v>0</v>
      </c>
      <c r="I28" s="80">
        <f>IF($B$5=0,0,'Fixed Expenses 2'!I58+'DC Distr 2'!I28-'Fixed Expenses 2'!I7+'Financial Expenses'!J49-'Financial Expenses'!J97+'Income St 2'!I22)</f>
        <v>0</v>
      </c>
      <c r="J28" s="80">
        <f>IF($B$5=0,0,'Fixed Expenses 2'!J58+'DC Distr 2'!J28-'Fixed Expenses 2'!J7+'Financial Expenses'!K49-'Financial Expenses'!K97+'Income St 2'!J22)</f>
        <v>0</v>
      </c>
      <c r="K28" s="80">
        <f>IF($B$5=0,0,'Fixed Expenses 2'!K58+'DC Distr 2'!K28-'Fixed Expenses 2'!K7+'Financial Expenses'!L49-'Financial Expenses'!L97+'Income St 2'!K22)</f>
        <v>0</v>
      </c>
      <c r="L28" s="80">
        <f>IF($B$5=0,0,'Fixed Expenses 2'!L58+'DC Distr 2'!L28-'Fixed Expenses 2'!L7+'Financial Expenses'!M49-'Financial Expenses'!M97+'Income St 2'!L22)</f>
        <v>0</v>
      </c>
      <c r="M28" s="80">
        <f>IF($B$5=0,0,'Fixed Expenses 2'!M58+'DC Distr 2'!M28-'Fixed Expenses 2'!M7+'Financial Expenses'!N49-'Financial Expenses'!N97+'Income St 2'!M22)</f>
        <v>0</v>
      </c>
      <c r="N28" s="1075">
        <f>SUM(B28:M28)</f>
        <v>0</v>
      </c>
    </row>
    <row r="29" spans="1:15">
      <c r="A29" s="2102" t="str">
        <v>Personal Income Tax Quote</v>
      </c>
      <c r="B29" s="1068">
        <v>0</v>
      </c>
      <c r="C29" s="1068">
        <v>0</v>
      </c>
      <c r="D29" s="1068">
        <v>0</v>
      </c>
      <c r="E29" s="1068">
        <f ca="1">$B$5*(SUM('Sales Forecast 2'!$B25:D25)-SUM(B28:D28))</f>
        <v>0</v>
      </c>
      <c r="F29" s="1068">
        <v>0</v>
      </c>
      <c r="G29" s="1068">
        <v>0</v>
      </c>
      <c r="H29" s="1068">
        <f ca="1">$B$5*(SUM('Sales Forecast 2'!$B25:G25)-SUM($B28:G28))</f>
        <v>0</v>
      </c>
      <c r="I29" s="1068">
        <v>0</v>
      </c>
      <c r="J29" s="1068">
        <v>0</v>
      </c>
      <c r="K29" s="1068">
        <f ca="1">$B$5*(SUM('Sales Forecast 2'!$B25:J25)-SUM($B28:J28))</f>
        <v>0</v>
      </c>
      <c r="L29" s="1068">
        <v>0</v>
      </c>
      <c r="M29" s="1068">
        <v>0</v>
      </c>
      <c r="N29" s="1075">
        <f ca="1">$B$5*(SUM('Sales Forecast 2'!$B25:M25)-N28)</f>
        <v>0</v>
      </c>
    </row>
    <row r="30" spans="1:15">
      <c r="A30" s="1531"/>
      <c r="B30" s="1069"/>
      <c r="C30" s="1069"/>
      <c r="D30" s="1069"/>
      <c r="E30" s="1069"/>
      <c r="F30" s="1069"/>
      <c r="G30" s="1069"/>
      <c r="H30" s="1069"/>
      <c r="I30" s="1069"/>
      <c r="J30" s="1069"/>
      <c r="K30" s="1069"/>
      <c r="L30" s="1069"/>
      <c r="M30" s="1069"/>
      <c r="N30" s="1076"/>
    </row>
    <row r="31" spans="1:15" ht="19.5" customHeight="1" thickBot="1">
      <c r="A31" s="2774" t="str">
        <f>$A$13</f>
        <v>Quarterly Liquidations</v>
      </c>
      <c r="B31" s="1078">
        <f ca="1">N22</f>
        <v>0</v>
      </c>
      <c r="C31" s="1079"/>
      <c r="D31" s="1079"/>
      <c r="E31" s="1079">
        <f ca="1">MAX(E29-SUM($B27:D27)-SUM($C31:D31),0)</f>
        <v>0</v>
      </c>
      <c r="F31" s="1079"/>
      <c r="G31" s="1079"/>
      <c r="H31" s="1079">
        <f ca="1">MAX(H29-SUM($B27:G27)-SUM($C31:G31),0)</f>
        <v>0</v>
      </c>
      <c r="I31" s="1079"/>
      <c r="J31" s="1079"/>
      <c r="K31" s="1079">
        <f ca="1">MAX(K29-SUM($B27:J27)-SUM($C31:J31),0)</f>
        <v>0</v>
      </c>
      <c r="L31" s="1079"/>
      <c r="M31" s="1079"/>
      <c r="N31" s="1800">
        <f ca="1">MAX(N29-SUM($B27:M27)-SUM($C31:M31),0)</f>
        <v>0</v>
      </c>
    </row>
    <row r="33" spans="1:14">
      <c r="M33" s="1070"/>
    </row>
    <row r="34" spans="1:14" ht="23.25" thickBot="1">
      <c r="A34" s="66" t="str">
        <f>$A$7</f>
        <v>Retained Income &amp; Payments in account</v>
      </c>
      <c r="E34" s="2417" t="str">
        <f>Parameters!E$77</f>
        <v>Year 3:   2029</v>
      </c>
      <c r="F34" s="231"/>
    </row>
    <row r="35" spans="1:14">
      <c r="A35" s="1072"/>
      <c r="B35" s="1073" t="str">
        <f t="array" ref="B35:M35">meses</f>
        <v>January</v>
      </c>
      <c r="C35" s="1073" t="str">
        <v>February</v>
      </c>
      <c r="D35" s="1073" t="str">
        <v>March</v>
      </c>
      <c r="E35" s="1073" t="str">
        <v>April</v>
      </c>
      <c r="F35" s="1073" t="str">
        <v>May</v>
      </c>
      <c r="G35" s="1073" t="str">
        <v>June</v>
      </c>
      <c r="H35" s="1073" t="str">
        <v>July</v>
      </c>
      <c r="I35" s="1073" t="str">
        <v>August</v>
      </c>
      <c r="J35" s="1073" t="str">
        <v>September</v>
      </c>
      <c r="K35" s="1073" t="str">
        <v>October</v>
      </c>
      <c r="L35" s="1073" t="str">
        <v>November</v>
      </c>
      <c r="M35" s="1073" t="str">
        <v>December</v>
      </c>
      <c r="N35" s="1074" t="str">
        <f>$N$8</f>
        <v>Totals</v>
      </c>
    </row>
    <row r="36" spans="1:14">
      <c r="A36" s="2102" t="str">
        <f t="array" ref="A36:A38">$A$9:$A$11</f>
        <v>Retained Income</v>
      </c>
      <c r="B36" s="80">
        <f ca="1">'Sales Forecast 3'!B25*ret_irpf</f>
        <v>0</v>
      </c>
      <c r="C36" s="80">
        <f ca="1">'Sales Forecast 3'!C25*ret_irpf</f>
        <v>0</v>
      </c>
      <c r="D36" s="80">
        <f ca="1">'Sales Forecast 3'!D25*ret_irpf</f>
        <v>0</v>
      </c>
      <c r="E36" s="80">
        <f ca="1">'Sales Forecast 3'!E25*ret_irpf</f>
        <v>0</v>
      </c>
      <c r="F36" s="80">
        <f ca="1">'Sales Forecast 3'!F25*ret_irpf</f>
        <v>0</v>
      </c>
      <c r="G36" s="80">
        <f ca="1">'Sales Forecast 3'!G25*ret_irpf</f>
        <v>0</v>
      </c>
      <c r="H36" s="80">
        <f ca="1">'Sales Forecast 3'!H25*ret_irpf</f>
        <v>0</v>
      </c>
      <c r="I36" s="80">
        <f ca="1">'Sales Forecast 3'!I25*ret_irpf</f>
        <v>0</v>
      </c>
      <c r="J36" s="80">
        <f ca="1">'Sales Forecast 3'!J25*ret_irpf</f>
        <v>0</v>
      </c>
      <c r="K36" s="80">
        <f ca="1">'Sales Forecast 3'!K25*ret_irpf</f>
        <v>0</v>
      </c>
      <c r="L36" s="80">
        <f ca="1">'Sales Forecast 3'!L25*ret_irpf</f>
        <v>0</v>
      </c>
      <c r="M36" s="80">
        <f ca="1">'Sales Forecast 3'!M25*ret_irpf</f>
        <v>0</v>
      </c>
      <c r="N36" s="1075">
        <f ca="1">SUM(B36:M36)</f>
        <v>0</v>
      </c>
    </row>
    <row r="37" spans="1:14">
      <c r="A37" s="2102" t="str">
        <v>Deductible Expenses</v>
      </c>
      <c r="B37" s="80">
        <f>IF($B$5=0,0,'Fixed Expenses 3'!B58+'DC Distr 3'!B28-'Fixed Expenses 3'!B7+'Financial Expenses'!C64-'Financial Expenses'!C102+'Income St 3'!B22)</f>
        <v>0</v>
      </c>
      <c r="C37" s="80">
        <f>IF($B$5=0,0,'Fixed Expenses 3'!C58+'DC Distr 3'!C28-'Fixed Expenses 3'!C7+'Financial Expenses'!D64-'Financial Expenses'!D102+'Income St 3'!C22)</f>
        <v>0</v>
      </c>
      <c r="D37" s="80">
        <f>IF($B$5=0,0,'Fixed Expenses 3'!D58+'DC Distr 3'!D28-'Fixed Expenses 3'!D7+'Financial Expenses'!E64-'Financial Expenses'!E102+'Income St 3'!D22)</f>
        <v>0</v>
      </c>
      <c r="E37" s="80">
        <f>IF($B$5=0,0,'Fixed Expenses 3'!E58+'DC Distr 3'!E28-'Fixed Expenses 3'!E7+'Financial Expenses'!F64-'Financial Expenses'!F102+'Income St 3'!E22)</f>
        <v>0</v>
      </c>
      <c r="F37" s="80">
        <f>IF($B$5=0,0,'Fixed Expenses 3'!F58+'DC Distr 3'!F28-'Fixed Expenses 3'!F7+'Financial Expenses'!G64-'Financial Expenses'!G102+'Income St 3'!F22)</f>
        <v>0</v>
      </c>
      <c r="G37" s="80">
        <f>IF($B$5=0,0,'Fixed Expenses 3'!G58+'DC Distr 3'!G28-'Fixed Expenses 3'!G7+'Financial Expenses'!H64-'Financial Expenses'!H102+'Income St 3'!G22)</f>
        <v>0</v>
      </c>
      <c r="H37" s="80">
        <f>IF($B$5=0,0,'Fixed Expenses 3'!H58+'DC Distr 3'!H28-'Fixed Expenses 3'!H7+'Financial Expenses'!I64-'Financial Expenses'!I102+'Income St 3'!H22)</f>
        <v>0</v>
      </c>
      <c r="I37" s="80">
        <f>IF($B$5=0,0,'Fixed Expenses 3'!I58+'DC Distr 3'!I28-'Fixed Expenses 3'!I7+'Financial Expenses'!J64-'Financial Expenses'!J102+'Income St 3'!I22)</f>
        <v>0</v>
      </c>
      <c r="J37" s="80">
        <f>IF($B$5=0,0,'Fixed Expenses 3'!J58+'DC Distr 3'!J28-'Fixed Expenses 3'!J7+'Financial Expenses'!K64-'Financial Expenses'!K102+'Income St 3'!J22)</f>
        <v>0</v>
      </c>
      <c r="K37" s="80">
        <f>IF($B$5=0,0,'Fixed Expenses 3'!K58+'DC Distr 3'!K28-'Fixed Expenses 3'!K7+'Financial Expenses'!L64-'Financial Expenses'!L102+'Income St 3'!K22)</f>
        <v>0</v>
      </c>
      <c r="L37" s="80">
        <f>IF($B$5=0,0,'Fixed Expenses 3'!L58+'DC Distr 3'!L28-'Fixed Expenses 3'!L7+'Financial Expenses'!M64-'Financial Expenses'!M102+'Income St 3'!L22)</f>
        <v>0</v>
      </c>
      <c r="M37" s="80">
        <f>IF($B$5=0,0,'Fixed Expenses 3'!M58+'DC Distr 3'!M28-'Fixed Expenses 3'!M7+'Financial Expenses'!N64-'Financial Expenses'!N102+'Income St 3'!M22)</f>
        <v>0</v>
      </c>
      <c r="N37" s="1075">
        <f>SUM(B37:M37)</f>
        <v>0</v>
      </c>
    </row>
    <row r="38" spans="1:14">
      <c r="A38" s="2102" t="str">
        <v>Personal Income Tax Quote</v>
      </c>
      <c r="B38" s="1068">
        <v>0</v>
      </c>
      <c r="C38" s="1068">
        <v>0</v>
      </c>
      <c r="D38" s="1068">
        <v>0</v>
      </c>
      <c r="E38" s="1068">
        <f ca="1">$B$5*(SUM('Sales Forecast 3'!$B25:D25)-SUM($B37:D37))</f>
        <v>0</v>
      </c>
      <c r="F38" s="1068">
        <v>0</v>
      </c>
      <c r="G38" s="1068">
        <v>0</v>
      </c>
      <c r="H38" s="1068">
        <f ca="1">$B$5*(SUM('Sales Forecast 3'!$B25:G25)-SUM($B37:G37))</f>
        <v>0</v>
      </c>
      <c r="I38" s="1068">
        <v>0</v>
      </c>
      <c r="J38" s="1068">
        <v>0</v>
      </c>
      <c r="K38" s="1068">
        <f ca="1">$B$5*(SUM('Sales Forecast 3'!$B25:J25)-SUM($B37:J37))</f>
        <v>0</v>
      </c>
      <c r="L38" s="1068">
        <v>0</v>
      </c>
      <c r="M38" s="1068">
        <v>0</v>
      </c>
      <c r="N38" s="1075">
        <f ca="1">$B$5*(SUM('Sales Forecast 3'!$B25:M25)-N37)</f>
        <v>0</v>
      </c>
    </row>
    <row r="39" spans="1:14">
      <c r="A39" s="1531"/>
      <c r="B39" s="1069"/>
      <c r="C39" s="1069"/>
      <c r="D39" s="1069"/>
      <c r="E39" s="1069"/>
      <c r="F39" s="1069"/>
      <c r="G39" s="1069"/>
      <c r="H39" s="1069"/>
      <c r="I39" s="1069"/>
      <c r="J39" s="1069"/>
      <c r="K39" s="1069"/>
      <c r="L39" s="1069"/>
      <c r="M39" s="1069"/>
      <c r="N39" s="1076"/>
    </row>
    <row r="40" spans="1:14" ht="19.5" customHeight="1" thickBot="1">
      <c r="A40" s="2774" t="str">
        <f>$A$13</f>
        <v>Quarterly Liquidations</v>
      </c>
      <c r="B40" s="1078">
        <f ca="1">N31</f>
        <v>0</v>
      </c>
      <c r="C40" s="1079"/>
      <c r="D40" s="1079"/>
      <c r="E40" s="1079">
        <f ca="1">MAX(E38-SUM($B36:D36)-SUM($C40:D40),0)</f>
        <v>0</v>
      </c>
      <c r="F40" s="1079"/>
      <c r="G40" s="1079"/>
      <c r="H40" s="1079">
        <f ca="1">MAX(H38-SUM($B36:G36)-SUM($C40:G40),0)</f>
        <v>0</v>
      </c>
      <c r="I40" s="1079"/>
      <c r="J40" s="1079"/>
      <c r="K40" s="1079">
        <f ca="1">MAX(K38-SUM($B36:J36)-SUM($C40:J40),0)</f>
        <v>0</v>
      </c>
      <c r="L40" s="1079"/>
      <c r="M40" s="1079"/>
      <c r="N40" s="1800">
        <f ca="1">MAX(N38-SUM($B36:M36)-SUM($C40:M40),0)</f>
        <v>0</v>
      </c>
    </row>
    <row r="43" spans="1:14" ht="23.25" thickBot="1">
      <c r="A43" s="66" t="str">
        <f>$A$7</f>
        <v>Retained Income &amp; Payments in account</v>
      </c>
      <c r="E43" s="2417" t="str">
        <f>Parameters!F$77</f>
        <v>Year 4:   2030</v>
      </c>
      <c r="F43" s="231"/>
    </row>
    <row r="44" spans="1:14">
      <c r="A44" s="1072"/>
      <c r="B44" s="1073" t="str">
        <f t="array" ref="B44:M44">meses</f>
        <v>January</v>
      </c>
      <c r="C44" s="1073" t="str">
        <v>February</v>
      </c>
      <c r="D44" s="1073" t="str">
        <v>March</v>
      </c>
      <c r="E44" s="1073" t="str">
        <v>April</v>
      </c>
      <c r="F44" s="1073" t="str">
        <v>May</v>
      </c>
      <c r="G44" s="1073" t="str">
        <v>June</v>
      </c>
      <c r="H44" s="1073" t="str">
        <v>July</v>
      </c>
      <c r="I44" s="1073" t="str">
        <v>August</v>
      </c>
      <c r="J44" s="1073" t="str">
        <v>September</v>
      </c>
      <c r="K44" s="1073" t="str">
        <v>October</v>
      </c>
      <c r="L44" s="1073" t="str">
        <v>November</v>
      </c>
      <c r="M44" s="1073" t="str">
        <v>December</v>
      </c>
      <c r="N44" s="1074" t="str">
        <f>$N$8</f>
        <v>Totals</v>
      </c>
    </row>
    <row r="45" spans="1:14">
      <c r="A45" s="2102" t="str">
        <f t="array" ref="A45:A47">$A$9:$A$11</f>
        <v>Retained Income</v>
      </c>
      <c r="B45" s="80">
        <f ca="1">'Sales Forecast 4'!B25*ret_irpf</f>
        <v>0</v>
      </c>
      <c r="C45" s="80">
        <f ca="1">'Sales Forecast 4'!C25*ret_irpf</f>
        <v>0</v>
      </c>
      <c r="D45" s="80">
        <f ca="1">'Sales Forecast 4'!D25*ret_irpf</f>
        <v>0</v>
      </c>
      <c r="E45" s="80">
        <f ca="1">'Sales Forecast 4'!E25*ret_irpf</f>
        <v>0</v>
      </c>
      <c r="F45" s="80">
        <f ca="1">'Sales Forecast 4'!F25*ret_irpf</f>
        <v>0</v>
      </c>
      <c r="G45" s="80">
        <f ca="1">'Sales Forecast 4'!G25*ret_irpf</f>
        <v>0</v>
      </c>
      <c r="H45" s="80">
        <f ca="1">'Sales Forecast 4'!H25*ret_irpf</f>
        <v>0</v>
      </c>
      <c r="I45" s="80">
        <f ca="1">'Sales Forecast 4'!I25*ret_irpf</f>
        <v>0</v>
      </c>
      <c r="J45" s="80">
        <f ca="1">'Sales Forecast 4'!J25*ret_irpf</f>
        <v>0</v>
      </c>
      <c r="K45" s="80">
        <f ca="1">'Sales Forecast 4'!K25*ret_irpf</f>
        <v>0</v>
      </c>
      <c r="L45" s="80">
        <f ca="1">'Sales Forecast 4'!L25*ret_irpf</f>
        <v>0</v>
      </c>
      <c r="M45" s="80">
        <f ca="1">'Sales Forecast 4'!M25*ret_irpf</f>
        <v>0</v>
      </c>
      <c r="N45" s="1075">
        <f ca="1">SUM(B45:M45)</f>
        <v>0</v>
      </c>
    </row>
    <row r="46" spans="1:14">
      <c r="A46" s="2102" t="str">
        <v>Deductible Expenses</v>
      </c>
      <c r="B46" s="80">
        <f>IF($B$5=0,0,'Fixed Expenses 4'!B58+'DC Distr 4'!B28-'Fixed Expenses 4'!B7+'Financial Expenses'!C79-'Financial Expenses'!C107+'Income St 4'!B22)</f>
        <v>0</v>
      </c>
      <c r="C46" s="80">
        <f>IF($B$5=0,0,'Fixed Expenses 4'!C58+'DC Distr 4'!C28-'Fixed Expenses 4'!C7+'Financial Expenses'!D79-'Financial Expenses'!D107+'Income St 4'!C22)</f>
        <v>0</v>
      </c>
      <c r="D46" s="80">
        <f>IF($B$5=0,0,'Fixed Expenses 4'!D58+'DC Distr 4'!D28-'Fixed Expenses 4'!D7+'Financial Expenses'!E79-'Financial Expenses'!E107+'Income St 4'!D22)</f>
        <v>0</v>
      </c>
      <c r="E46" s="80">
        <f>IF($B$5=0,0,'Fixed Expenses 4'!E58+'DC Distr 4'!E28-'Fixed Expenses 4'!E7+'Financial Expenses'!F79-'Financial Expenses'!F107+'Income St 4'!E22)</f>
        <v>0</v>
      </c>
      <c r="F46" s="80">
        <f>IF($B$5=0,0,'Fixed Expenses 4'!F58+'DC Distr 4'!F28-'Fixed Expenses 4'!F7+'Financial Expenses'!G79-'Financial Expenses'!G107+'Income St 4'!F22)</f>
        <v>0</v>
      </c>
      <c r="G46" s="80">
        <f>IF($B$5=0,0,'Fixed Expenses 4'!G58+'DC Distr 4'!G28-'Fixed Expenses 4'!G7+'Financial Expenses'!H79-'Financial Expenses'!H107+'Income St 4'!G22)</f>
        <v>0</v>
      </c>
      <c r="H46" s="80">
        <f>IF($B$5=0,0,'Fixed Expenses 4'!H58+'DC Distr 4'!H28-'Fixed Expenses 4'!H7+'Financial Expenses'!I79-'Financial Expenses'!I107+'Income St 4'!H22)</f>
        <v>0</v>
      </c>
      <c r="I46" s="80">
        <f>IF($B$5=0,0,'Fixed Expenses 4'!I58+'DC Distr 4'!I28-'Fixed Expenses 4'!I7+'Financial Expenses'!J79-'Financial Expenses'!J107+'Income St 4'!I22)</f>
        <v>0</v>
      </c>
      <c r="J46" s="80">
        <f>IF($B$5=0,0,'Fixed Expenses 4'!J58+'DC Distr 4'!J28-'Fixed Expenses 4'!J7+'Financial Expenses'!K79-'Financial Expenses'!K107+'Income St 4'!J22)</f>
        <v>0</v>
      </c>
      <c r="K46" s="80">
        <f>IF($B$5=0,0,'Fixed Expenses 4'!K58+'DC Distr 4'!K28-'Fixed Expenses 4'!K7+'Financial Expenses'!L79-'Financial Expenses'!L107+'Income St 4'!K22)</f>
        <v>0</v>
      </c>
      <c r="L46" s="80">
        <f>IF($B$5=0,0,'Fixed Expenses 4'!L58+'DC Distr 4'!L28-'Fixed Expenses 4'!L7+'Financial Expenses'!M79-'Financial Expenses'!M107+'Income St 4'!L22)</f>
        <v>0</v>
      </c>
      <c r="M46" s="80">
        <f>IF($B$5=0,0,'Fixed Expenses 4'!M58+'DC Distr 4'!M28-'Fixed Expenses 4'!M7+'Financial Expenses'!N79-'Financial Expenses'!N107+'Income St 4'!M22)</f>
        <v>0</v>
      </c>
      <c r="N46" s="1075">
        <f>SUM(B46:M46)</f>
        <v>0</v>
      </c>
    </row>
    <row r="47" spans="1:14">
      <c r="A47" s="2102" t="str">
        <v>Personal Income Tax Quote</v>
      </c>
      <c r="B47" s="1068">
        <v>0</v>
      </c>
      <c r="C47" s="1068">
        <v>0</v>
      </c>
      <c r="D47" s="1068">
        <v>0</v>
      </c>
      <c r="E47" s="1068">
        <f ca="1">$B$5*(SUM('Sales Forecast 4'!$B25:D25)-SUM($B46:D46))</f>
        <v>0</v>
      </c>
      <c r="F47" s="1068">
        <v>0</v>
      </c>
      <c r="G47" s="1068">
        <v>0</v>
      </c>
      <c r="H47" s="1068">
        <f ca="1">$B$5*(SUM('Sales Forecast 4'!$B25:G25)-SUM($B46:G46))</f>
        <v>0</v>
      </c>
      <c r="I47" s="1068">
        <v>0</v>
      </c>
      <c r="J47" s="1068">
        <v>0</v>
      </c>
      <c r="K47" s="1068">
        <f ca="1">$B$5*(SUM('Sales Forecast 4'!$B25:J25)-SUM($B46:J46))</f>
        <v>0</v>
      </c>
      <c r="L47" s="1068">
        <v>0</v>
      </c>
      <c r="M47" s="1068">
        <v>0</v>
      </c>
      <c r="N47" s="1075">
        <f ca="1">$B$5*(SUM('Sales Forecast 4'!$B25:M25)-N46)</f>
        <v>0</v>
      </c>
    </row>
    <row r="48" spans="1:14">
      <c r="A48" s="1531"/>
      <c r="B48" s="1069"/>
      <c r="C48" s="1069"/>
      <c r="D48" s="1069"/>
      <c r="E48" s="1069"/>
      <c r="F48" s="1069"/>
      <c r="G48" s="1069"/>
      <c r="H48" s="1069"/>
      <c r="I48" s="1069"/>
      <c r="J48" s="1069"/>
      <c r="K48" s="1069"/>
      <c r="L48" s="1069"/>
      <c r="M48" s="1069"/>
      <c r="N48" s="1076"/>
    </row>
    <row r="49" spans="1:14" ht="19.5" customHeight="1" thickBot="1">
      <c r="A49" s="2774" t="str">
        <f>$A$13</f>
        <v>Quarterly Liquidations</v>
      </c>
      <c r="B49" s="1078">
        <f ca="1">N40</f>
        <v>0</v>
      </c>
      <c r="C49" s="1079"/>
      <c r="D49" s="1079"/>
      <c r="E49" s="1079">
        <f ca="1">MAX(E47-SUM($B45:D45)-SUM($C49:D49),0)</f>
        <v>0</v>
      </c>
      <c r="F49" s="1079"/>
      <c r="G49" s="1079"/>
      <c r="H49" s="1079">
        <f ca="1">MAX(H47-SUM($B45:G45)-SUM($C49:G49),0)</f>
        <v>0</v>
      </c>
      <c r="I49" s="1079"/>
      <c r="J49" s="1079"/>
      <c r="K49" s="1079">
        <f ca="1">MAX(K47-SUM($B45:J45)-SUM($C49:J49),0)</f>
        <v>0</v>
      </c>
      <c r="L49" s="1079"/>
      <c r="M49" s="1079"/>
      <c r="N49" s="1800">
        <f ca="1">MAX(N47-SUM($B45:M45)-SUM($C49:M49),0)</f>
        <v>0</v>
      </c>
    </row>
  </sheetData>
  <sheetProtection sheet="1" objects="1" scenarios="1"/>
  <phoneticPr fontId="7" type="noConversion"/>
  <conditionalFormatting sqref="B5">
    <cfRule type="cellIs" dxfId="17" priority="2" stopIfTrue="1" operator="equal">
      <formula>0</formula>
    </cfRule>
  </conditionalFormatting>
  <conditionalFormatting sqref="B9:M11">
    <cfRule type="expression" dxfId="16" priority="1" stopIfTrue="1">
      <formula>COLUMN(B$8)&lt;=mes0</formula>
    </cfRule>
  </conditionalFormatting>
  <printOptions horizontalCentered="1"/>
  <pageMargins left="0.57999999999999996" right="0.75" top="0.46" bottom="1" header="0" footer="0"/>
  <pageSetup paperSize="9" scale="59" orientation="landscape" horizontalDpi="300" r:id="rId1"/>
  <headerFooter alignWithMargins="0"/>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3">
    <tabColor indexed="42"/>
    <pageSetUpPr fitToPage="1"/>
  </sheetPr>
  <dimension ref="A1:O60"/>
  <sheetViews>
    <sheetView topLeftCell="A22" zoomScale="85" zoomScaleNormal="85" workbookViewId="0">
      <pane xSplit="1" topLeftCell="B1" activePane="topRight" state="frozenSplit"/>
      <selection activeCell="E22" sqref="E22"/>
      <selection pane="topRight" activeCell="E22" sqref="E22"/>
    </sheetView>
  </sheetViews>
  <sheetFormatPr baseColWidth="10" defaultColWidth="11" defaultRowHeight="15"/>
  <cols>
    <col min="1" max="1" width="31.375" style="35" customWidth="1"/>
    <col min="2" max="2" width="11.125" style="35" bestFit="1" customWidth="1"/>
    <col min="3" max="3" width="11.625" style="35" customWidth="1"/>
    <col min="4" max="9" width="11.125" style="35" bestFit="1" customWidth="1"/>
    <col min="10" max="10" width="11.75" style="35" bestFit="1" customWidth="1"/>
    <col min="11" max="13" width="11.125" style="35" bestFit="1" customWidth="1"/>
    <col min="14" max="14" width="12" style="35" bestFit="1" customWidth="1"/>
    <col min="15" max="15" width="9.25" style="35" customWidth="1"/>
    <col min="16" max="16384" width="11" style="35"/>
  </cols>
  <sheetData>
    <row r="1" spans="1:15" s="97" customFormat="1" ht="22.5">
      <c r="A1" s="66" t="s">
        <v>698</v>
      </c>
      <c r="B1" s="66"/>
      <c r="C1" s="66"/>
      <c r="D1" s="66"/>
      <c r="E1" s="2398" t="str">
        <f>Parameters!B$77</f>
        <v>Year 0:   2026</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5" t="s">
        <v>629</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
        <v>554</v>
      </c>
      <c r="O4" s="102" t="s">
        <v>3</v>
      </c>
    </row>
    <row r="5" spans="1:15" ht="15.75" thickBot="1">
      <c r="A5" s="2063"/>
      <c r="B5" s="110"/>
      <c r="C5" s="111"/>
      <c r="D5" s="111"/>
      <c r="E5" s="111"/>
      <c r="F5" s="111"/>
      <c r="G5" s="111"/>
      <c r="H5" s="111"/>
      <c r="I5" s="111"/>
      <c r="J5" s="111"/>
      <c r="K5" s="111"/>
      <c r="L5" s="111"/>
      <c r="M5" s="112"/>
      <c r="N5" s="113"/>
      <c r="O5" s="114"/>
    </row>
    <row r="6" spans="1:15">
      <c r="A6" s="2776" t="s">
        <v>695</v>
      </c>
      <c r="B6" s="72"/>
      <c r="C6" s="73"/>
      <c r="D6" s="73"/>
      <c r="E6" s="73"/>
      <c r="F6" s="73"/>
      <c r="G6" s="73"/>
      <c r="H6" s="73"/>
      <c r="I6" s="73"/>
      <c r="J6" s="73"/>
      <c r="K6" s="73"/>
      <c r="L6" s="73"/>
      <c r="M6" s="74"/>
      <c r="N6" s="75"/>
      <c r="O6" s="104"/>
    </row>
    <row r="7" spans="1:15">
      <c r="A7" s="2777" t="str">
        <f t="array" ref="A7:A14">catlaborales</f>
        <v>Working Owners / Self employees</v>
      </c>
      <c r="B7" s="76">
        <f>IF(COLUMN(B$4)&lt;=mes0+Staff!$D$33,0,
       IF(COLUMN(B$4)&lt;=mes0+Staff!$D$33+Staff!$D$34, Staff!$B19*'Detailed Staff'!C9/(Staff!$D$34)*(COLUMN(B$4)-Staff!$D$33-mes0),
             Staff!$B19*'Detailed Staff'!C9))</f>
        <v>1200</v>
      </c>
      <c r="C7" s="77">
        <f>IF(COLUMN(C$4)&lt;=mes0+Staff!$D$33,0,
       IF(COLUMN(C$4)&lt;=mes0+Staff!$D$33+Staff!$D$34, Staff!$B19*'Detailed Staff'!D9/(Staff!$D$34)*(COLUMN(C$4)-Staff!$D$33-mes0),
             Staff!$B19*'Detailed Staff'!D9))</f>
        <v>1200</v>
      </c>
      <c r="D7" s="77">
        <f>IF(COLUMN(D$4)&lt;=mes0+Staff!$D$33,0,
       IF(COLUMN(D$4)&lt;=mes0+Staff!$D$33+Staff!$D$34, Staff!$B19*'Detailed Staff'!E9/(Staff!$D$34)*(COLUMN(D$4)-Staff!$D$33-mes0),
             Staff!$B19*'Detailed Staff'!E9))</f>
        <v>1200</v>
      </c>
      <c r="E7" s="77">
        <f>IF(COLUMN(E$4)&lt;=mes0+Staff!$D$33,0,
       IF(COLUMN(E$4)&lt;=mes0+Staff!$D$33+Staff!$D$34, Staff!$B19*'Detailed Staff'!F9/(Staff!$D$34)*(COLUMN(E$4)-Staff!$D$33-mes0),
             Staff!$B19*'Detailed Staff'!F9))</f>
        <v>1200</v>
      </c>
      <c r="F7" s="77">
        <f>IF(COLUMN(F$4)&lt;=mes0+Staff!$D$33,0,
       IF(COLUMN(F$4)&lt;=mes0+Staff!$D$33+Staff!$D$34, Staff!$B19*'Detailed Staff'!G9/(Staff!$D$34)*(COLUMN(F$4)-Staff!$D$33-mes0),
             Staff!$B19*'Detailed Staff'!G9))</f>
        <v>1200</v>
      </c>
      <c r="G7" s="77">
        <f>IF(COLUMN(G$4)&lt;=mes0+Staff!$D$33,0,
       IF(COLUMN(G$4)&lt;=mes0+Staff!$D$33+Staff!$D$34, Staff!$B19*'Detailed Staff'!H9/(Staff!$D$34)*(COLUMN(G$4)-Staff!$D$33-mes0),
             Staff!$B19*'Detailed Staff'!H9))</f>
        <v>1200</v>
      </c>
      <c r="H7" s="77">
        <f>IF(COLUMN(H$4)&lt;=mes0+Staff!$D$33,0,
       IF(COLUMN(H$4)&lt;=mes0+Staff!$D$33+Staff!$D$34, Staff!$B19*'Detailed Staff'!I9/(Staff!$D$34)*(COLUMN(H$4)-Staff!$D$33-mes0),
             Staff!$B19*'Detailed Staff'!I9))</f>
        <v>1200</v>
      </c>
      <c r="I7" s="77">
        <f>IF(COLUMN(I$4)&lt;=mes0+Staff!$D$33,0,
       IF(COLUMN(I$4)&lt;=mes0+Staff!$D$33+Staff!$D$34, Staff!$B19*'Detailed Staff'!J9/(Staff!$D$34)*(COLUMN(I$4)-Staff!$D$33-mes0),
             Staff!$B19*'Detailed Staff'!J9))</f>
        <v>1200</v>
      </c>
      <c r="J7" s="77">
        <f>IF(COLUMN(J$4)&lt;=mes0+Staff!$D$33,0,
       IF(COLUMN(J$4)&lt;=mes0+Staff!$D$33+Staff!$D$34, Staff!$B19*'Detailed Staff'!K9/(Staff!$D$34)*(COLUMN(J$4)-Staff!$D$33-mes0),
             Staff!$B19*'Detailed Staff'!K9))</f>
        <v>1200</v>
      </c>
      <c r="K7" s="77">
        <f>IF(COLUMN(K$4)&lt;=mes0+Staff!$D$33,0,
       IF(COLUMN(K$4)&lt;=mes0+Staff!$D$33+Staff!$D$34, Staff!$B19*'Detailed Staff'!L9/(Staff!$D$34)*(COLUMN(K$4)-Staff!$D$33-mes0),
             Staff!$B19*'Detailed Staff'!L9))</f>
        <v>1200</v>
      </c>
      <c r="L7" s="77">
        <f>IF(COLUMN(L$4)&lt;=mes0+Staff!$D$33,0,
       IF(COLUMN(L$4)&lt;=mes0+Staff!$D$33+Staff!$D$34, Staff!$B19*'Detailed Staff'!M9/(Staff!$D$34)*(COLUMN(L$4)-Staff!$D$33-mes0),
             Staff!$B19*'Detailed Staff'!M9))</f>
        <v>1200</v>
      </c>
      <c r="M7" s="78">
        <f>IF(COLUMN(M$4)&lt;=mes0+Staff!$D$33,0,
       IF(COLUMN(M$4)&lt;=mes0+Staff!$D$33+Staff!$D$34, Staff!$B19*'Detailed Staff'!N9/(Staff!$D$34)*(COLUMN(M$4)-Staff!$D$33-mes0),
             Staff!$B19*'Detailed Staff'!N9))</f>
        <v>1200</v>
      </c>
      <c r="N7" s="96">
        <f t="shared" ref="N7:N14" si="0">SUM(B7:M7)</f>
        <v>14400</v>
      </c>
      <c r="O7" s="105">
        <f t="array" ref="O7:O15">N7:N15/$N$27</f>
        <v>0.93312597200622083</v>
      </c>
    </row>
    <row r="8" spans="1:15">
      <c r="A8" s="2777" t="str">
        <v>Other non staff not employees</v>
      </c>
      <c r="B8" s="76">
        <f>IF(COLUMN(B$4)&lt;=mes0+Staff!$D$33,0,
       IF(COLUMN(B$4)&lt;=mes0+Staff!$D$33+Staff!$D$34, Staff!$B20*'Detailed Staff'!C10/(Staff!$D$34)*(COLUMN(B$4)-Staff!$D$33-mes0),
             Staff!$B20*'Detailed Staff'!C10))</f>
        <v>0</v>
      </c>
      <c r="C8" s="77">
        <f>IF(COLUMN(C$4)&lt;=mes0+Staff!$D$33,0,
       IF(COLUMN(C$4)&lt;=mes0+Staff!$D$33+Staff!$D$34, Staff!$B20*'Detailed Staff'!D10/(Staff!$D$34)*(COLUMN(C$4)-Staff!$D$33-mes0),
             Staff!$B20*'Detailed Staff'!D10))</f>
        <v>0</v>
      </c>
      <c r="D8" s="77">
        <f>IF(COLUMN(D$4)&lt;=mes0+Staff!$D$33,0,
       IF(COLUMN(D$4)&lt;=mes0+Staff!$D$33+Staff!$D$34, Staff!$B20*'Detailed Staff'!E10/(Staff!$D$34)*(COLUMN(D$4)-Staff!$D$33-mes0),
             Staff!$B20*'Detailed Staff'!E10))</f>
        <v>0</v>
      </c>
      <c r="E8" s="77">
        <f>IF(COLUMN(E$4)&lt;=mes0+Staff!$D$33,0,
       IF(COLUMN(E$4)&lt;=mes0+Staff!$D$33+Staff!$D$34, Staff!$B20*'Detailed Staff'!F10/(Staff!$D$34)*(COLUMN(E$4)-Staff!$D$33-mes0),
             Staff!$B20*'Detailed Staff'!F10))</f>
        <v>0</v>
      </c>
      <c r="F8" s="77">
        <f>IF(COLUMN(F$4)&lt;=mes0+Staff!$D$33,0,
       IF(COLUMN(F$4)&lt;=mes0+Staff!$D$33+Staff!$D$34, Staff!$B20*'Detailed Staff'!G10/(Staff!$D$34)*(COLUMN(F$4)-Staff!$D$33-mes0),
             Staff!$B20*'Detailed Staff'!G10))</f>
        <v>0</v>
      </c>
      <c r="G8" s="77">
        <f>IF(COLUMN(G$4)&lt;=mes0+Staff!$D$33,0,
       IF(COLUMN(G$4)&lt;=mes0+Staff!$D$33+Staff!$D$34, Staff!$B20*'Detailed Staff'!H10/(Staff!$D$34)*(COLUMN(G$4)-Staff!$D$33-mes0),
             Staff!$B20*'Detailed Staff'!H10))</f>
        <v>0</v>
      </c>
      <c r="H8" s="77">
        <f>IF(COLUMN(H$4)&lt;=mes0+Staff!$D$33,0,
       IF(COLUMN(H$4)&lt;=mes0+Staff!$D$33+Staff!$D$34, Staff!$B20*'Detailed Staff'!I10/(Staff!$D$34)*(COLUMN(H$4)-Staff!$D$33-mes0),
             Staff!$B20*'Detailed Staff'!I10))</f>
        <v>0</v>
      </c>
      <c r="I8" s="77">
        <f>IF(COLUMN(I$4)&lt;=mes0+Staff!$D$33,0,
       IF(COLUMN(I$4)&lt;=mes0+Staff!$D$33+Staff!$D$34, Staff!$B20*'Detailed Staff'!J10/(Staff!$D$34)*(COLUMN(I$4)-Staff!$D$33-mes0),
             Staff!$B20*'Detailed Staff'!J10))</f>
        <v>0</v>
      </c>
      <c r="J8" s="77">
        <f>IF(COLUMN(J$4)&lt;=mes0+Staff!$D$33,0,
       IF(COLUMN(J$4)&lt;=mes0+Staff!$D$33+Staff!$D$34, Staff!$B20*'Detailed Staff'!K10/(Staff!$D$34)*(COLUMN(J$4)-Staff!$D$33-mes0),
             Staff!$B20*'Detailed Staff'!K10))</f>
        <v>0</v>
      </c>
      <c r="K8" s="77">
        <f>IF(COLUMN(K$4)&lt;=mes0+Staff!$D$33,0,
       IF(COLUMN(K$4)&lt;=mes0+Staff!$D$33+Staff!$D$34, Staff!$B20*'Detailed Staff'!L10/(Staff!$D$34)*(COLUMN(K$4)-Staff!$D$33-mes0),
             Staff!$B20*'Detailed Staff'!L10))</f>
        <v>0</v>
      </c>
      <c r="L8" s="77">
        <f>IF(COLUMN(L$4)&lt;=mes0+Staff!$D$33,0,
       IF(COLUMN(L$4)&lt;=mes0+Staff!$D$33+Staff!$D$34, Staff!$B20*'Detailed Staff'!M10/(Staff!$D$34)*(COLUMN(L$4)-Staff!$D$33-mes0),
             Staff!$B20*'Detailed Staff'!M10))</f>
        <v>0</v>
      </c>
      <c r="M8" s="78">
        <f>IF(COLUMN(M$4)&lt;=mes0+Staff!$D$33,0,
       IF(COLUMN(M$4)&lt;=mes0+Staff!$D$33+Staff!$D$34, Staff!$B20*'Detailed Staff'!N10/(Staff!$D$34)*(COLUMN(M$4)-Staff!$D$33-mes0),
             Staff!$B20*'Detailed Staff'!N10))</f>
        <v>0</v>
      </c>
      <c r="N8" s="96">
        <f t="shared" si="0"/>
        <v>0</v>
      </c>
      <c r="O8" s="105">
        <v>0</v>
      </c>
    </row>
    <row r="9" spans="1:15">
      <c r="A9" s="2777" t="str">
        <v>Staff / employees</v>
      </c>
      <c r="B9" s="76">
        <f t="array" ref="B9:M14">IF(COLUMN(B$4:M$4)&lt;=mes0,0,Staff!$B21:$B27*'Detailed Staff'!C11:N17)</f>
        <v>0</v>
      </c>
      <c r="C9" s="77">
        <v>0</v>
      </c>
      <c r="D9" s="77">
        <v>0</v>
      </c>
      <c r="E9" s="77">
        <v>0</v>
      </c>
      <c r="F9" s="77">
        <v>0</v>
      </c>
      <c r="G9" s="77">
        <v>0</v>
      </c>
      <c r="H9" s="77">
        <v>0</v>
      </c>
      <c r="I9" s="77">
        <v>0</v>
      </c>
      <c r="J9" s="77">
        <v>0</v>
      </c>
      <c r="K9" s="77">
        <v>0</v>
      </c>
      <c r="L9" s="77">
        <v>0</v>
      </c>
      <c r="M9" s="78">
        <v>0</v>
      </c>
      <c r="N9" s="96">
        <f t="shared" si="0"/>
        <v>0</v>
      </c>
      <c r="O9" s="105">
        <v>0</v>
      </c>
    </row>
    <row r="10" spans="1:15">
      <c r="A10" s="2777" t="str">
        <v/>
      </c>
      <c r="B10" s="76">
        <v>0</v>
      </c>
      <c r="C10" s="77">
        <v>0</v>
      </c>
      <c r="D10" s="77">
        <v>0</v>
      </c>
      <c r="E10" s="77">
        <v>0</v>
      </c>
      <c r="F10" s="77">
        <v>0</v>
      </c>
      <c r="G10" s="77">
        <v>0</v>
      </c>
      <c r="H10" s="77">
        <v>0</v>
      </c>
      <c r="I10" s="77">
        <v>0</v>
      </c>
      <c r="J10" s="77">
        <v>0</v>
      </c>
      <c r="K10" s="77">
        <v>0</v>
      </c>
      <c r="L10" s="77">
        <v>0</v>
      </c>
      <c r="M10" s="78">
        <v>0</v>
      </c>
      <c r="N10" s="96">
        <f t="shared" si="0"/>
        <v>0</v>
      </c>
      <c r="O10" s="105">
        <v>0</v>
      </c>
    </row>
    <row r="11" spans="1:15">
      <c r="A11" s="2777" t="str">
        <v/>
      </c>
      <c r="B11" s="76">
        <v>0</v>
      </c>
      <c r="C11" s="77">
        <v>0</v>
      </c>
      <c r="D11" s="77">
        <v>0</v>
      </c>
      <c r="E11" s="77">
        <v>0</v>
      </c>
      <c r="F11" s="77">
        <v>0</v>
      </c>
      <c r="G11" s="77">
        <v>0</v>
      </c>
      <c r="H11" s="77">
        <v>0</v>
      </c>
      <c r="I11" s="77">
        <v>0</v>
      </c>
      <c r="J11" s="77">
        <v>0</v>
      </c>
      <c r="K11" s="77">
        <v>0</v>
      </c>
      <c r="L11" s="77">
        <v>0</v>
      </c>
      <c r="M11" s="78">
        <v>0</v>
      </c>
      <c r="N11" s="96">
        <f t="shared" si="0"/>
        <v>0</v>
      </c>
      <c r="O11" s="105">
        <v>0</v>
      </c>
    </row>
    <row r="12" spans="1:15">
      <c r="A12" s="2777" t="str">
        <v/>
      </c>
      <c r="B12" s="76">
        <v>0</v>
      </c>
      <c r="C12" s="77">
        <v>0</v>
      </c>
      <c r="D12" s="77">
        <v>0</v>
      </c>
      <c r="E12" s="77">
        <v>0</v>
      </c>
      <c r="F12" s="77">
        <v>0</v>
      </c>
      <c r="G12" s="77">
        <v>0</v>
      </c>
      <c r="H12" s="77">
        <v>0</v>
      </c>
      <c r="I12" s="77">
        <v>0</v>
      </c>
      <c r="J12" s="77">
        <v>0</v>
      </c>
      <c r="K12" s="77">
        <v>0</v>
      </c>
      <c r="L12" s="77">
        <v>0</v>
      </c>
      <c r="M12" s="78">
        <v>0</v>
      </c>
      <c r="N12" s="96">
        <f t="shared" si="0"/>
        <v>0</v>
      </c>
      <c r="O12" s="105">
        <v>0</v>
      </c>
    </row>
    <row r="13" spans="1:15">
      <c r="A13" s="2777" t="str">
        <v/>
      </c>
      <c r="B13" s="76">
        <v>0</v>
      </c>
      <c r="C13" s="77">
        <v>0</v>
      </c>
      <c r="D13" s="77">
        <v>0</v>
      </c>
      <c r="E13" s="77">
        <v>0</v>
      </c>
      <c r="F13" s="77">
        <v>0</v>
      </c>
      <c r="G13" s="77">
        <v>0</v>
      </c>
      <c r="H13" s="77">
        <v>0</v>
      </c>
      <c r="I13" s="77">
        <v>0</v>
      </c>
      <c r="J13" s="77">
        <v>0</v>
      </c>
      <c r="K13" s="77">
        <v>0</v>
      </c>
      <c r="L13" s="77">
        <v>0</v>
      </c>
      <c r="M13" s="78">
        <v>0</v>
      </c>
      <c r="N13" s="96">
        <f t="shared" si="0"/>
        <v>0</v>
      </c>
      <c r="O13" s="105">
        <v>0</v>
      </c>
    </row>
    <row r="14" spans="1:15">
      <c r="A14" s="2777" t="str">
        <v/>
      </c>
      <c r="B14" s="76">
        <v>0</v>
      </c>
      <c r="C14" s="77">
        <v>0</v>
      </c>
      <c r="D14" s="77">
        <v>0</v>
      </c>
      <c r="E14" s="77">
        <v>0</v>
      </c>
      <c r="F14" s="77">
        <v>0</v>
      </c>
      <c r="G14" s="77">
        <v>0</v>
      </c>
      <c r="H14" s="77">
        <v>0</v>
      </c>
      <c r="I14" s="77">
        <v>0</v>
      </c>
      <c r="J14" s="77">
        <v>0</v>
      </c>
      <c r="K14" s="77">
        <v>0</v>
      </c>
      <c r="L14" s="77">
        <v>0</v>
      </c>
      <c r="M14" s="78">
        <v>0</v>
      </c>
      <c r="N14" s="96">
        <f t="shared" si="0"/>
        <v>0</v>
      </c>
      <c r="O14" s="105">
        <v>0</v>
      </c>
    </row>
    <row r="15" spans="1:15" ht="15.75" thickBot="1">
      <c r="A15" s="2778" t="str">
        <f>"Total "&amp;A6</f>
        <v>Total Wages &amp; Sallaries</v>
      </c>
      <c r="B15" s="133">
        <f t="shared" ref="B15:M15" si="1">SUM(B7:B14)</f>
        <v>1200</v>
      </c>
      <c r="C15" s="134">
        <f t="shared" si="1"/>
        <v>1200</v>
      </c>
      <c r="D15" s="134">
        <f t="shared" si="1"/>
        <v>1200</v>
      </c>
      <c r="E15" s="134">
        <f t="shared" si="1"/>
        <v>1200</v>
      </c>
      <c r="F15" s="134">
        <f t="shared" si="1"/>
        <v>1200</v>
      </c>
      <c r="G15" s="134">
        <f t="shared" si="1"/>
        <v>1200</v>
      </c>
      <c r="H15" s="134">
        <f t="shared" si="1"/>
        <v>1200</v>
      </c>
      <c r="I15" s="134">
        <f t="shared" si="1"/>
        <v>1200</v>
      </c>
      <c r="J15" s="134">
        <f t="shared" si="1"/>
        <v>1200</v>
      </c>
      <c r="K15" s="134">
        <f t="shared" si="1"/>
        <v>1200</v>
      </c>
      <c r="L15" s="134">
        <f t="shared" si="1"/>
        <v>1200</v>
      </c>
      <c r="M15" s="135">
        <f t="shared" si="1"/>
        <v>1200</v>
      </c>
      <c r="N15" s="136">
        <f>SUM(B15:M15)</f>
        <v>14400</v>
      </c>
      <c r="O15" s="108">
        <v>0.93312597200622083</v>
      </c>
    </row>
    <row r="16" spans="1:15" ht="15.75" thickBot="1">
      <c r="A16" s="2779"/>
      <c r="B16" s="122"/>
      <c r="C16" s="123"/>
      <c r="D16" s="123"/>
      <c r="E16" s="123"/>
      <c r="F16" s="123"/>
      <c r="G16" s="123"/>
      <c r="H16" s="123"/>
      <c r="I16" s="123"/>
      <c r="J16" s="123"/>
      <c r="K16" s="123"/>
      <c r="L16" s="123"/>
      <c r="M16" s="124"/>
      <c r="N16" s="125"/>
      <c r="O16" s="126"/>
    </row>
    <row r="17" spans="1:15">
      <c r="A17" s="2776" t="s">
        <v>507</v>
      </c>
      <c r="B17" s="72"/>
      <c r="C17" s="73"/>
      <c r="D17" s="73"/>
      <c r="E17" s="73"/>
      <c r="F17" s="73"/>
      <c r="G17" s="73"/>
      <c r="H17" s="73"/>
      <c r="I17" s="73"/>
      <c r="J17" s="73"/>
      <c r="K17" s="73"/>
      <c r="L17" s="73"/>
      <c r="M17" s="74"/>
      <c r="N17" s="132"/>
      <c r="O17" s="104"/>
    </row>
    <row r="18" spans="1:15">
      <c r="A18" s="142" t="s">
        <v>696</v>
      </c>
      <c r="B18" s="90">
        <f t="array" ref="B18">IF(COLUMN(B$4)&lt;=mes0,0,SUM(Staff!$B37:$B38*'Detailed Staff'!C9:C10))</f>
        <v>86</v>
      </c>
      <c r="C18" s="91">
        <f t="array" ref="C18">IF(COLUMN(C$4)&lt;=mes0,0,SUM(Staff!$B37:$B38*'Detailed Staff'!D9:D10))</f>
        <v>86</v>
      </c>
      <c r="D18" s="91">
        <f t="array" ref="D18">IF(COLUMN(D$4)&lt;=mes0,0,SUM(Staff!$B37:$B38*'Detailed Staff'!E9:E10))</f>
        <v>86</v>
      </c>
      <c r="E18" s="91">
        <f t="array" ref="E18">IF(COLUMN(E$4)&lt;=mes0,0,SUM(Staff!$B37:$B38*'Detailed Staff'!F9:F10))</f>
        <v>86</v>
      </c>
      <c r="F18" s="91">
        <f t="array" ref="F18">IF(COLUMN(F$4)&lt;=mes0,0,SUM(Staff!$B37:$B38*'Detailed Staff'!G9:G10))</f>
        <v>86</v>
      </c>
      <c r="G18" s="91">
        <f t="array" ref="G18">IF(COLUMN(G$4)&lt;=mes0,0,SUM(Staff!$B37:$B38*'Detailed Staff'!H9:H10))</f>
        <v>86</v>
      </c>
      <c r="H18" s="91">
        <f t="array" ref="H18">IF(COLUMN(H$4)&lt;=mes0,0,SUM(Staff!$B37:$B38*'Detailed Staff'!I9:I10))</f>
        <v>86</v>
      </c>
      <c r="I18" s="91">
        <f t="array" ref="I18">IF(COLUMN(I$4)&lt;=mes0,0,SUM(Staff!$B37:$B38*'Detailed Staff'!J9:J10))</f>
        <v>86</v>
      </c>
      <c r="J18" s="91">
        <f t="array" ref="J18">IF(COLUMN(J$4)&lt;=mes0,0,SUM(Staff!$B37:$B38*'Detailed Staff'!K9:K10))</f>
        <v>86</v>
      </c>
      <c r="K18" s="91">
        <f t="array" ref="K18">IF(COLUMN(K$4)&lt;=mes0,0,SUM(Staff!$B37:$B38*'Detailed Staff'!L9:L10))</f>
        <v>86</v>
      </c>
      <c r="L18" s="91">
        <f t="array" ref="L18">IF(COLUMN(L$4)&lt;=mes0,0,SUM(Staff!$B37:$B38*'Detailed Staff'!M9:M10))</f>
        <v>86</v>
      </c>
      <c r="M18" s="92">
        <f t="array" ref="M18">IF(COLUMN(M$4)&lt;=mes0,0,SUM(Staff!$B37:$B38*'Detailed Staff'!N9:N10))</f>
        <v>86</v>
      </c>
      <c r="N18" s="96">
        <f>SUM(B18:M18)</f>
        <v>1032</v>
      </c>
      <c r="O18" s="105">
        <f t="array" ref="O18:O20">N18:N20/$N$27</f>
        <v>6.6874027993779159E-2</v>
      </c>
    </row>
    <row r="19" spans="1:15">
      <c r="A19" s="142" t="s">
        <v>697</v>
      </c>
      <c r="B19" s="90">
        <f t="array" ref="B19">SUM(B9:B14*Staff!$B39:$B44)</f>
        <v>0</v>
      </c>
      <c r="C19" s="91">
        <f t="array" ref="C19">SUM(C9:C14*Staff!$B39:$B44)</f>
        <v>0</v>
      </c>
      <c r="D19" s="91">
        <f t="array" ref="D19">SUM(D9:D14*Staff!$B39:$B44)</f>
        <v>0</v>
      </c>
      <c r="E19" s="91">
        <f t="array" ref="E19">SUM(E9:E14*Staff!$B39:$B44)</f>
        <v>0</v>
      </c>
      <c r="F19" s="91">
        <f t="array" ref="F19">SUM(F9:F14*Staff!$B39:$B44)</f>
        <v>0</v>
      </c>
      <c r="G19" s="91">
        <f t="array" ref="G19">SUM(G9:G14*Staff!$B39:$B44)</f>
        <v>0</v>
      </c>
      <c r="H19" s="91">
        <f t="array" ref="H19">SUM(H9:H14*Staff!$B39:$B44)</f>
        <v>0</v>
      </c>
      <c r="I19" s="91">
        <f t="array" ref="I19">SUM(I9:I14*Staff!$B39:$B44)</f>
        <v>0</v>
      </c>
      <c r="J19" s="91">
        <f t="array" ref="J19">SUM(J9:J14*Staff!$B39:$B44)</f>
        <v>0</v>
      </c>
      <c r="K19" s="91">
        <f t="array" ref="K19">SUM(K9:K14*Staff!$B39:$B44)</f>
        <v>0</v>
      </c>
      <c r="L19" s="91">
        <f t="array" ref="L19">SUM(L9:L14*Staff!$B39:$B44)</f>
        <v>0</v>
      </c>
      <c r="M19" s="92">
        <f t="array" ref="M19">SUM(M9:M14*Staff!$B39:$B44)</f>
        <v>0</v>
      </c>
      <c r="N19" s="96">
        <f>SUM(B19:M19)</f>
        <v>0</v>
      </c>
      <c r="O19" s="105">
        <v>0</v>
      </c>
    </row>
    <row r="20" spans="1:15" ht="15.75" thickBot="1">
      <c r="A20" s="2778" t="str">
        <f>"Total "&amp;A17</f>
        <v>Total Social Security</v>
      </c>
      <c r="B20" s="133">
        <f t="shared" ref="B20:M20" si="2">SUM(B18:B19)</f>
        <v>86</v>
      </c>
      <c r="C20" s="134">
        <f t="shared" si="2"/>
        <v>86</v>
      </c>
      <c r="D20" s="134">
        <f t="shared" si="2"/>
        <v>86</v>
      </c>
      <c r="E20" s="134">
        <f t="shared" si="2"/>
        <v>86</v>
      </c>
      <c r="F20" s="134">
        <f t="shared" si="2"/>
        <v>86</v>
      </c>
      <c r="G20" s="134">
        <f t="shared" si="2"/>
        <v>86</v>
      </c>
      <c r="H20" s="134">
        <f t="shared" si="2"/>
        <v>86</v>
      </c>
      <c r="I20" s="134">
        <f t="shared" si="2"/>
        <v>86</v>
      </c>
      <c r="J20" s="134">
        <f t="shared" si="2"/>
        <v>86</v>
      </c>
      <c r="K20" s="134">
        <f t="shared" si="2"/>
        <v>86</v>
      </c>
      <c r="L20" s="134">
        <f t="shared" si="2"/>
        <v>86</v>
      </c>
      <c r="M20" s="135">
        <f t="shared" si="2"/>
        <v>86</v>
      </c>
      <c r="N20" s="136">
        <f>SUM(B20:M20)</f>
        <v>1032</v>
      </c>
      <c r="O20" s="108">
        <v>6.6874027993779159E-2</v>
      </c>
    </row>
    <row r="21" spans="1:15" ht="15.75" thickBot="1">
      <c r="A21" s="2779"/>
      <c r="B21" s="122"/>
      <c r="C21" s="123"/>
      <c r="D21" s="123"/>
      <c r="E21" s="123"/>
      <c r="F21" s="123"/>
      <c r="G21" s="123"/>
      <c r="H21" s="123"/>
      <c r="I21" s="123"/>
      <c r="J21" s="123"/>
      <c r="K21" s="123"/>
      <c r="L21" s="123"/>
      <c r="M21" s="124"/>
      <c r="N21" s="125"/>
      <c r="O21" s="126"/>
    </row>
    <row r="22" spans="1:15">
      <c r="A22" s="2776" t="s">
        <v>703</v>
      </c>
      <c r="B22" s="72"/>
      <c r="C22" s="73"/>
      <c r="D22" s="73"/>
      <c r="E22" s="73"/>
      <c r="F22" s="73"/>
      <c r="G22" s="73"/>
      <c r="H22" s="73"/>
      <c r="I22" s="73"/>
      <c r="J22" s="73"/>
      <c r="K22" s="73"/>
      <c r="L22" s="73"/>
      <c r="M22" s="74"/>
      <c r="N22" s="132"/>
      <c r="O22" s="104"/>
    </row>
    <row r="23" spans="1:15">
      <c r="A23" s="142" t="s">
        <v>702</v>
      </c>
      <c r="B23" s="79">
        <f t="array" ref="B23:M24">IF(COLUMN(B$4:M$4)&lt;=mes0,0,Staff!$B53:$B54*'Detailed Staff'!C20:N21)</f>
        <v>0</v>
      </c>
      <c r="C23" s="80">
        <v>0</v>
      </c>
      <c r="D23" s="80">
        <v>0</v>
      </c>
      <c r="E23" s="80">
        <v>0</v>
      </c>
      <c r="F23" s="80">
        <v>0</v>
      </c>
      <c r="G23" s="80">
        <v>0</v>
      </c>
      <c r="H23" s="80">
        <v>0</v>
      </c>
      <c r="I23" s="80">
        <v>0</v>
      </c>
      <c r="J23" s="80">
        <v>0</v>
      </c>
      <c r="K23" s="80">
        <v>0</v>
      </c>
      <c r="L23" s="80">
        <v>0</v>
      </c>
      <c r="M23" s="81">
        <v>0</v>
      </c>
      <c r="N23" s="96">
        <f>SUM(B23:M23)</f>
        <v>0</v>
      </c>
      <c r="O23" s="105">
        <f t="array" ref="O23:O25">N23:N25/$N$27</f>
        <v>0</v>
      </c>
    </row>
    <row r="24" spans="1:15">
      <c r="A24" s="142" t="s">
        <v>701</v>
      </c>
      <c r="B24" s="79">
        <v>0</v>
      </c>
      <c r="C24" s="80">
        <v>0</v>
      </c>
      <c r="D24" s="80">
        <v>0</v>
      </c>
      <c r="E24" s="80">
        <v>0</v>
      </c>
      <c r="F24" s="80">
        <v>0</v>
      </c>
      <c r="G24" s="80">
        <v>0</v>
      </c>
      <c r="H24" s="80">
        <v>0</v>
      </c>
      <c r="I24" s="80">
        <v>0</v>
      </c>
      <c r="J24" s="80">
        <v>0</v>
      </c>
      <c r="K24" s="80">
        <v>0</v>
      </c>
      <c r="L24" s="80">
        <v>0</v>
      </c>
      <c r="M24" s="81">
        <v>0</v>
      </c>
      <c r="N24" s="96">
        <f>SUM(B24:M24)</f>
        <v>0</v>
      </c>
      <c r="O24" s="105">
        <v>0</v>
      </c>
    </row>
    <row r="25" spans="1:15" ht="15.75" thickBot="1">
      <c r="A25" s="2778" t="str">
        <f>"Total "&amp;A22</f>
        <v>Total Labour Registrations &amp; Cancellations</v>
      </c>
      <c r="B25" s="133">
        <f>SUM(B23:B24)</f>
        <v>0</v>
      </c>
      <c r="C25" s="134">
        <f t="shared" ref="C25:M25" si="3">SUM(C23:C24)</f>
        <v>0</v>
      </c>
      <c r="D25" s="134">
        <f t="shared" si="3"/>
        <v>0</v>
      </c>
      <c r="E25" s="134">
        <f t="shared" si="3"/>
        <v>0</v>
      </c>
      <c r="F25" s="134">
        <f t="shared" si="3"/>
        <v>0</v>
      </c>
      <c r="G25" s="134">
        <f t="shared" si="3"/>
        <v>0</v>
      </c>
      <c r="H25" s="134">
        <f t="shared" si="3"/>
        <v>0</v>
      </c>
      <c r="I25" s="134">
        <f t="shared" si="3"/>
        <v>0</v>
      </c>
      <c r="J25" s="134">
        <f t="shared" si="3"/>
        <v>0</v>
      </c>
      <c r="K25" s="134">
        <f t="shared" si="3"/>
        <v>0</v>
      </c>
      <c r="L25" s="134">
        <f t="shared" si="3"/>
        <v>0</v>
      </c>
      <c r="M25" s="135">
        <f t="shared" si="3"/>
        <v>0</v>
      </c>
      <c r="N25" s="136">
        <f>SUM(B25:M25)</f>
        <v>0</v>
      </c>
      <c r="O25" s="108">
        <v>0</v>
      </c>
    </row>
    <row r="26" spans="1:15" ht="15.75" thickBot="1">
      <c r="A26" s="2780"/>
      <c r="B26" s="140"/>
      <c r="C26" s="118"/>
      <c r="D26" s="118"/>
      <c r="E26" s="118"/>
      <c r="F26" s="118"/>
      <c r="G26" s="118"/>
      <c r="H26" s="118"/>
      <c r="I26" s="118"/>
      <c r="J26" s="118"/>
      <c r="K26" s="118"/>
      <c r="L26" s="118"/>
      <c r="M26" s="119"/>
      <c r="N26" s="120"/>
      <c r="O26" s="121"/>
    </row>
    <row r="27" spans="1:15" ht="15.75" thickBot="1">
      <c r="A27" s="2419" t="str">
        <f>"Total "&amp;A4</f>
        <v>Total Labour Expenses</v>
      </c>
      <c r="B27" s="2893">
        <f t="shared" ref="B27:N27" si="4">B25+B20+B15</f>
        <v>1286</v>
      </c>
      <c r="C27" s="2894">
        <f t="shared" si="4"/>
        <v>1286</v>
      </c>
      <c r="D27" s="2894">
        <f t="shared" si="4"/>
        <v>1286</v>
      </c>
      <c r="E27" s="2894">
        <f t="shared" si="4"/>
        <v>1286</v>
      </c>
      <c r="F27" s="2894">
        <f t="shared" si="4"/>
        <v>1286</v>
      </c>
      <c r="G27" s="2894">
        <f t="shared" si="4"/>
        <v>1286</v>
      </c>
      <c r="H27" s="2894">
        <f t="shared" si="4"/>
        <v>1286</v>
      </c>
      <c r="I27" s="2894">
        <f t="shared" si="4"/>
        <v>1286</v>
      </c>
      <c r="J27" s="2894">
        <f t="shared" si="4"/>
        <v>1286</v>
      </c>
      <c r="K27" s="2894">
        <f t="shared" si="4"/>
        <v>1286</v>
      </c>
      <c r="L27" s="2894">
        <f t="shared" si="4"/>
        <v>1286</v>
      </c>
      <c r="M27" s="83">
        <f t="shared" si="4"/>
        <v>1286</v>
      </c>
      <c r="N27" s="82">
        <f t="shared" si="4"/>
        <v>15432</v>
      </c>
      <c r="O27" s="109">
        <f ca="1">N27/$N$58</f>
        <v>0.98483688160514626</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B30" s="71"/>
      <c r="C30" s="71"/>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
        <v>530</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$N$4</f>
        <v>Totals</v>
      </c>
      <c r="O32" s="102" t="s">
        <v>3</v>
      </c>
    </row>
    <row r="33" spans="1:15">
      <c r="A33" s="145" t="str">
        <f t="array" ref="A33:A54">'Fixed Expenses Data'!A6:A27</f>
        <v xml:space="preserve">Fixed &amp; Other taxes </v>
      </c>
      <c r="B33" s="147">
        <f t="array" ref="B33:M33">IF(COLUMN(B$32:M$32)&lt;=mes0,0,'Fixed Expenses Data'!E6:P6)</f>
        <v>0</v>
      </c>
      <c r="C33" s="148">
        <v>0</v>
      </c>
      <c r="D33" s="148">
        <v>0</v>
      </c>
      <c r="E33" s="148">
        <v>0</v>
      </c>
      <c r="F33" s="148">
        <v>0</v>
      </c>
      <c r="G33" s="148">
        <v>0</v>
      </c>
      <c r="H33" s="148">
        <v>0</v>
      </c>
      <c r="I33" s="148">
        <v>0</v>
      </c>
      <c r="J33" s="148">
        <v>0</v>
      </c>
      <c r="K33" s="148">
        <v>0</v>
      </c>
      <c r="L33" s="148">
        <v>0</v>
      </c>
      <c r="M33" s="149">
        <v>0</v>
      </c>
      <c r="N33" s="158">
        <f t="shared" ref="N33:N43" si="5">SUM(B33:M33)</f>
        <v>0</v>
      </c>
      <c r="O33" s="104">
        <f t="array" aca="1" ref="O33:O54" ca="1">N33:N54/$N$58</f>
        <v>0</v>
      </c>
    </row>
    <row r="34" spans="1:15">
      <c r="A34" s="142" t="str">
        <v>Other fixed expenses ( VAT exempted)</v>
      </c>
      <c r="B34" s="76">
        <f t="array" ref="B34:M34">IF(COLUMN(B$32:M$32)&lt;=mes0,0,'Fixed Expenses Data'!E7:P7)+IF(COLUMN(B$32:M$32)=mes0+1,'Initial Expenses'!$B$20,0)</f>
        <v>0</v>
      </c>
      <c r="C34" s="77">
        <v>0</v>
      </c>
      <c r="D34" s="77">
        <v>0</v>
      </c>
      <c r="E34" s="77">
        <v>0</v>
      </c>
      <c r="F34" s="77">
        <v>0</v>
      </c>
      <c r="G34" s="77">
        <v>0</v>
      </c>
      <c r="H34" s="77">
        <v>0</v>
      </c>
      <c r="I34" s="77">
        <v>0</v>
      </c>
      <c r="J34" s="77">
        <v>0</v>
      </c>
      <c r="K34" s="77">
        <v>0</v>
      </c>
      <c r="L34" s="77">
        <v>0</v>
      </c>
      <c r="M34" s="78">
        <v>0</v>
      </c>
      <c r="N34" s="154">
        <f t="shared" si="5"/>
        <v>0</v>
      </c>
      <c r="O34" s="105">
        <f ca="1"/>
        <v>0</v>
      </c>
    </row>
    <row r="35" spans="1:15">
      <c r="A35" s="142" t="str">
        <v>Insurance fees</v>
      </c>
      <c r="B35" s="76">
        <f t="array" ref="B35:M54">IF(COLUMN(B$32:M$32)&lt;=mes0,0,'Fixed Expenses Data'!E8:P27)</f>
        <v>0</v>
      </c>
      <c r="C35" s="77">
        <v>0</v>
      </c>
      <c r="D35" s="77">
        <v>0</v>
      </c>
      <c r="E35" s="77">
        <v>0</v>
      </c>
      <c r="F35" s="77">
        <v>0</v>
      </c>
      <c r="G35" s="77">
        <v>0</v>
      </c>
      <c r="H35" s="77">
        <v>0</v>
      </c>
      <c r="I35" s="77">
        <v>0</v>
      </c>
      <c r="J35" s="77">
        <v>0</v>
      </c>
      <c r="K35" s="77">
        <v>0</v>
      </c>
      <c r="L35" s="77">
        <v>0</v>
      </c>
      <c r="M35" s="78">
        <v>0</v>
      </c>
      <c r="N35" s="154">
        <f t="shared" si="5"/>
        <v>0</v>
      </c>
      <c r="O35" s="105">
        <f ca="1"/>
        <v>0</v>
      </c>
    </row>
    <row r="36" spans="1:15">
      <c r="A36" s="142" t="str">
        <v>Professional asociation /board /council</v>
      </c>
      <c r="B36" s="76">
        <v>0</v>
      </c>
      <c r="C36" s="77">
        <v>0</v>
      </c>
      <c r="D36" s="77">
        <v>0</v>
      </c>
      <c r="E36" s="77">
        <v>0</v>
      </c>
      <c r="F36" s="77">
        <v>0</v>
      </c>
      <c r="G36" s="77">
        <v>0</v>
      </c>
      <c r="H36" s="77">
        <v>0</v>
      </c>
      <c r="I36" s="77">
        <v>0</v>
      </c>
      <c r="J36" s="77">
        <v>0</v>
      </c>
      <c r="K36" s="77">
        <v>0</v>
      </c>
      <c r="L36" s="77">
        <v>0</v>
      </c>
      <c r="M36" s="78">
        <v>0</v>
      </c>
      <c r="N36" s="154">
        <f t="shared" si="5"/>
        <v>0</v>
      </c>
      <c r="O36" s="105">
        <f ca="1"/>
        <v>0</v>
      </c>
    </row>
    <row r="37" spans="1:15">
      <c r="A37" s="142" t="str">
        <v>Electricity (Low Season)</v>
      </c>
      <c r="B37" s="76">
        <v>0</v>
      </c>
      <c r="C37" s="77">
        <v>0</v>
      </c>
      <c r="D37" s="77">
        <v>0</v>
      </c>
      <c r="E37" s="77">
        <v>0</v>
      </c>
      <c r="F37" s="77">
        <v>0</v>
      </c>
      <c r="G37" s="77">
        <v>0</v>
      </c>
      <c r="H37" s="77">
        <v>0</v>
      </c>
      <c r="I37" s="77">
        <v>0</v>
      </c>
      <c r="J37" s="77">
        <v>0</v>
      </c>
      <c r="K37" s="77">
        <v>0</v>
      </c>
      <c r="L37" s="77">
        <v>0</v>
      </c>
      <c r="M37" s="78">
        <v>0</v>
      </c>
      <c r="N37" s="154">
        <f t="shared" si="5"/>
        <v>0</v>
      </c>
      <c r="O37" s="105">
        <f ca="1"/>
        <v>0</v>
      </c>
    </row>
    <row r="38" spans="1:15">
      <c r="A38" s="142" t="str">
        <v>Electricity (High Season)</v>
      </c>
      <c r="B38" s="76">
        <v>0</v>
      </c>
      <c r="C38" s="77">
        <v>0</v>
      </c>
      <c r="D38" s="77">
        <v>0</v>
      </c>
      <c r="E38" s="77">
        <v>0</v>
      </c>
      <c r="F38" s="77">
        <v>0</v>
      </c>
      <c r="G38" s="77">
        <v>0</v>
      </c>
      <c r="H38" s="77">
        <v>0</v>
      </c>
      <c r="I38" s="77">
        <v>0</v>
      </c>
      <c r="J38" s="77">
        <v>0</v>
      </c>
      <c r="K38" s="77">
        <v>0</v>
      </c>
      <c r="L38" s="77">
        <v>0</v>
      </c>
      <c r="M38" s="78">
        <v>0</v>
      </c>
      <c r="N38" s="154">
        <f t="shared" si="5"/>
        <v>0</v>
      </c>
      <c r="O38" s="105">
        <f ca="1"/>
        <v>0</v>
      </c>
    </row>
    <row r="39" spans="1:15">
      <c r="A39" s="142" t="str">
        <v>Water supply, sanitation &amp; garbage fees</v>
      </c>
      <c r="B39" s="76">
        <v>0</v>
      </c>
      <c r="C39" s="77">
        <v>0</v>
      </c>
      <c r="D39" s="77">
        <v>0</v>
      </c>
      <c r="E39" s="77">
        <v>0</v>
      </c>
      <c r="F39" s="77">
        <v>0</v>
      </c>
      <c r="G39" s="77">
        <v>0</v>
      </c>
      <c r="H39" s="77">
        <v>0</v>
      </c>
      <c r="I39" s="77">
        <v>0</v>
      </c>
      <c r="J39" s="77">
        <v>0</v>
      </c>
      <c r="K39" s="77">
        <v>0</v>
      </c>
      <c r="L39" s="77">
        <v>0</v>
      </c>
      <c r="M39" s="78">
        <v>0</v>
      </c>
      <c r="N39" s="154">
        <f t="shared" si="5"/>
        <v>0</v>
      </c>
      <c r="O39" s="105">
        <f ca="1"/>
        <v>0</v>
      </c>
    </row>
    <row r="40" spans="1:15">
      <c r="A40" s="142" t="str">
        <v>Other supplies (gas, etc.)</v>
      </c>
      <c r="B40" s="76">
        <v>0</v>
      </c>
      <c r="C40" s="77">
        <v>0</v>
      </c>
      <c r="D40" s="77">
        <v>0</v>
      </c>
      <c r="E40" s="77">
        <v>0</v>
      </c>
      <c r="F40" s="77">
        <v>0</v>
      </c>
      <c r="G40" s="77">
        <v>0</v>
      </c>
      <c r="H40" s="77">
        <v>0</v>
      </c>
      <c r="I40" s="77">
        <v>0</v>
      </c>
      <c r="J40" s="77">
        <v>0</v>
      </c>
      <c r="K40" s="77">
        <v>0</v>
      </c>
      <c r="L40" s="77">
        <v>0</v>
      </c>
      <c r="M40" s="78">
        <v>0</v>
      </c>
      <c r="N40" s="154">
        <f t="shared" si="5"/>
        <v>0</v>
      </c>
      <c r="O40" s="105">
        <f ca="1"/>
        <v>0</v>
      </c>
    </row>
    <row r="41" spans="1:15">
      <c r="A41" s="142" t="str">
        <v>Phone / internet conection</v>
      </c>
      <c r="B41" s="76">
        <v>0</v>
      </c>
      <c r="C41" s="77">
        <v>0</v>
      </c>
      <c r="D41" s="77">
        <v>0</v>
      </c>
      <c r="E41" s="77">
        <v>0</v>
      </c>
      <c r="F41" s="77">
        <v>0</v>
      </c>
      <c r="G41" s="77">
        <v>0</v>
      </c>
      <c r="H41" s="77">
        <v>0</v>
      </c>
      <c r="I41" s="77">
        <v>0</v>
      </c>
      <c r="J41" s="77">
        <v>0</v>
      </c>
      <c r="K41" s="77">
        <v>0</v>
      </c>
      <c r="L41" s="77">
        <v>0</v>
      </c>
      <c r="M41" s="78">
        <v>0</v>
      </c>
      <c r="N41" s="154">
        <f t="shared" si="5"/>
        <v>0</v>
      </c>
      <c r="O41" s="105">
        <f ca="1"/>
        <v>0</v>
      </c>
    </row>
    <row r="42" spans="1:15">
      <c r="A42" s="142" t="str">
        <v>Web services &amp; hosting</v>
      </c>
      <c r="B42" s="76">
        <v>0</v>
      </c>
      <c r="C42" s="77">
        <v>0</v>
      </c>
      <c r="D42" s="77">
        <v>0</v>
      </c>
      <c r="E42" s="77">
        <v>0</v>
      </c>
      <c r="F42" s="77">
        <v>0</v>
      </c>
      <c r="G42" s="77">
        <v>0</v>
      </c>
      <c r="H42" s="77">
        <v>0</v>
      </c>
      <c r="I42" s="77">
        <v>0</v>
      </c>
      <c r="J42" s="77">
        <v>0</v>
      </c>
      <c r="K42" s="77">
        <v>0</v>
      </c>
      <c r="L42" s="77">
        <v>0</v>
      </c>
      <c r="M42" s="78">
        <v>0</v>
      </c>
      <c r="N42" s="154">
        <f t="shared" si="5"/>
        <v>0</v>
      </c>
      <c r="O42" s="105">
        <f ca="1"/>
        <v>0</v>
      </c>
    </row>
    <row r="43" spans="1:15">
      <c r="A43" s="142" t="str">
        <v>Alarm / Security service</v>
      </c>
      <c r="B43" s="76">
        <v>0</v>
      </c>
      <c r="C43" s="77">
        <v>0</v>
      </c>
      <c r="D43" s="77">
        <v>0</v>
      </c>
      <c r="E43" s="77">
        <v>0</v>
      </c>
      <c r="F43" s="77">
        <v>0</v>
      </c>
      <c r="G43" s="77">
        <v>0</v>
      </c>
      <c r="H43" s="77">
        <v>0</v>
      </c>
      <c r="I43" s="77">
        <v>0</v>
      </c>
      <c r="J43" s="77">
        <v>0</v>
      </c>
      <c r="K43" s="77">
        <v>0</v>
      </c>
      <c r="L43" s="77">
        <v>0</v>
      </c>
      <c r="M43" s="78">
        <v>0</v>
      </c>
      <c r="N43" s="154">
        <f t="shared" si="5"/>
        <v>0</v>
      </c>
      <c r="O43" s="105">
        <f ca="1"/>
        <v>0</v>
      </c>
    </row>
    <row r="44" spans="1:15">
      <c r="A44" s="142" t="str">
        <v>stationery/office supplies</v>
      </c>
      <c r="B44" s="76">
        <v>0</v>
      </c>
      <c r="C44" s="77">
        <v>0</v>
      </c>
      <c r="D44" s="77">
        <v>0</v>
      </c>
      <c r="E44" s="77">
        <v>0</v>
      </c>
      <c r="F44" s="77">
        <v>0</v>
      </c>
      <c r="G44" s="77">
        <v>0</v>
      </c>
      <c r="H44" s="77">
        <v>0</v>
      </c>
      <c r="I44" s="77">
        <v>0</v>
      </c>
      <c r="J44" s="77">
        <v>0</v>
      </c>
      <c r="K44" s="77">
        <v>0</v>
      </c>
      <c r="L44" s="77">
        <v>0</v>
      </c>
      <c r="M44" s="78">
        <v>0</v>
      </c>
      <c r="N44" s="154">
        <f t="shared" ref="N44:N51" si="6">SUM(B44:M44)</f>
        <v>0</v>
      </c>
      <c r="O44" s="105">
        <f ca="1"/>
        <v>0</v>
      </c>
    </row>
    <row r="45" spans="1:15">
      <c r="A45" s="142" t="str">
        <v xml:space="preserve">Congresses / Profesional Fairs </v>
      </c>
      <c r="B45" s="76">
        <v>0</v>
      </c>
      <c r="C45" s="77">
        <v>0</v>
      </c>
      <c r="D45" s="77">
        <v>0</v>
      </c>
      <c r="E45" s="77">
        <v>0</v>
      </c>
      <c r="F45" s="77">
        <v>0</v>
      </c>
      <c r="G45" s="77">
        <v>0</v>
      </c>
      <c r="H45" s="77">
        <v>0</v>
      </c>
      <c r="I45" s="77">
        <v>0</v>
      </c>
      <c r="J45" s="77">
        <v>0</v>
      </c>
      <c r="K45" s="77">
        <v>0</v>
      </c>
      <c r="L45" s="77">
        <v>0</v>
      </c>
      <c r="M45" s="78">
        <v>0</v>
      </c>
      <c r="N45" s="154">
        <f t="shared" si="6"/>
        <v>0</v>
      </c>
      <c r="O45" s="105">
        <f ca="1"/>
        <v>0</v>
      </c>
    </row>
    <row r="46" spans="1:15">
      <c r="A46" s="142" t="str">
        <v>Transportation &amp; Travelling</v>
      </c>
      <c r="B46" s="76">
        <v>0</v>
      </c>
      <c r="C46" s="77">
        <v>0</v>
      </c>
      <c r="D46" s="77">
        <v>0</v>
      </c>
      <c r="E46" s="77">
        <v>0</v>
      </c>
      <c r="F46" s="77">
        <v>0</v>
      </c>
      <c r="G46" s="77">
        <v>0</v>
      </c>
      <c r="H46" s="77">
        <v>0</v>
      </c>
      <c r="I46" s="77">
        <v>0</v>
      </c>
      <c r="J46" s="77">
        <v>0</v>
      </c>
      <c r="K46" s="77">
        <v>0</v>
      </c>
      <c r="L46" s="77">
        <v>0</v>
      </c>
      <c r="M46" s="78">
        <v>0</v>
      </c>
      <c r="N46" s="154">
        <f t="shared" si="6"/>
        <v>0</v>
      </c>
      <c r="O46" s="105">
        <f ca="1"/>
        <v>0</v>
      </c>
    </row>
    <row r="47" spans="1:15">
      <c r="A47" s="142" t="str">
        <v>Consultants &amp; independent professionals</v>
      </c>
      <c r="B47" s="76">
        <v>0</v>
      </c>
      <c r="C47" s="77">
        <v>0</v>
      </c>
      <c r="D47" s="77">
        <v>0</v>
      </c>
      <c r="E47" s="77">
        <v>0</v>
      </c>
      <c r="F47" s="77">
        <v>0</v>
      </c>
      <c r="G47" s="77">
        <v>0</v>
      </c>
      <c r="H47" s="77">
        <v>0</v>
      </c>
      <c r="I47" s="77">
        <v>0</v>
      </c>
      <c r="J47" s="77">
        <v>0</v>
      </c>
      <c r="K47" s="77">
        <v>0</v>
      </c>
      <c r="L47" s="77">
        <v>0</v>
      </c>
      <c r="M47" s="78">
        <v>0</v>
      </c>
      <c r="N47" s="154">
        <f t="shared" si="6"/>
        <v>0</v>
      </c>
      <c r="O47" s="105">
        <f ca="1"/>
        <v>0</v>
      </c>
    </row>
    <row r="48" spans="1:15">
      <c r="A48" s="142" t="str">
        <v>Rental fees &amp; expenses</v>
      </c>
      <c r="B48" s="76">
        <v>0</v>
      </c>
      <c r="C48" s="77">
        <v>0</v>
      </c>
      <c r="D48" s="77">
        <v>0</v>
      </c>
      <c r="E48" s="77">
        <v>0</v>
      </c>
      <c r="F48" s="77">
        <v>0</v>
      </c>
      <c r="G48" s="77">
        <v>0</v>
      </c>
      <c r="H48" s="77">
        <v>0</v>
      </c>
      <c r="I48" s="77">
        <v>0</v>
      </c>
      <c r="J48" s="77">
        <v>0</v>
      </c>
      <c r="K48" s="77">
        <v>0</v>
      </c>
      <c r="L48" s="77">
        <v>0</v>
      </c>
      <c r="M48" s="78">
        <v>0</v>
      </c>
      <c r="N48" s="154">
        <f t="shared" si="6"/>
        <v>0</v>
      </c>
      <c r="O48" s="105">
        <f ca="1"/>
        <v>0</v>
      </c>
    </row>
    <row r="49" spans="1:15">
      <c r="A49" s="142" t="str">
        <v>Online Variable Marketing expenses</v>
      </c>
      <c r="B49" s="76">
        <f ca="1"/>
        <v>5.9999999999999991</v>
      </c>
      <c r="C49" s="77">
        <f ca="1"/>
        <v>5.9999999999999991</v>
      </c>
      <c r="D49" s="77">
        <f ca="1"/>
        <v>5.9999999999999991</v>
      </c>
      <c r="E49" s="77">
        <f ca="1"/>
        <v>5.9999999999999991</v>
      </c>
      <c r="F49" s="77">
        <f ca="1"/>
        <v>5.9999999999999991</v>
      </c>
      <c r="G49" s="77">
        <f ca="1"/>
        <v>5.9999999999999991</v>
      </c>
      <c r="H49" s="77">
        <f ca="1"/>
        <v>5.9999999999999991</v>
      </c>
      <c r="I49" s="77">
        <f ca="1"/>
        <v>5.9999999999999991</v>
      </c>
      <c r="J49" s="77">
        <f ca="1"/>
        <v>5.9999999999999991</v>
      </c>
      <c r="K49" s="77">
        <f ca="1"/>
        <v>5.9999999999999991</v>
      </c>
      <c r="L49" s="77">
        <f ca="1"/>
        <v>5.9999999999999991</v>
      </c>
      <c r="M49" s="78">
        <f ca="1"/>
        <v>5.9999999999999991</v>
      </c>
      <c r="N49" s="154">
        <f t="shared" ca="1" si="6"/>
        <v>71.999999999999986</v>
      </c>
      <c r="O49" s="105">
        <f ca="1"/>
        <v>4.5948843620768863E-3</v>
      </c>
    </row>
    <row r="50" spans="1:15">
      <c r="A50" s="142" t="str">
        <v>Online Fixed Marketing expenses</v>
      </c>
      <c r="B50" s="76">
        <v>0</v>
      </c>
      <c r="C50" s="77">
        <v>0</v>
      </c>
      <c r="D50" s="77">
        <v>0</v>
      </c>
      <c r="E50" s="77">
        <v>0</v>
      </c>
      <c r="F50" s="77">
        <v>0</v>
      </c>
      <c r="G50" s="77">
        <v>0</v>
      </c>
      <c r="H50" s="77">
        <v>0</v>
      </c>
      <c r="I50" s="77">
        <v>0</v>
      </c>
      <c r="J50" s="77">
        <v>0</v>
      </c>
      <c r="K50" s="77">
        <v>0</v>
      </c>
      <c r="L50" s="77">
        <v>0</v>
      </c>
      <c r="M50" s="78">
        <v>0</v>
      </c>
      <c r="N50" s="154">
        <f t="shared" si="6"/>
        <v>0</v>
      </c>
      <c r="O50" s="105">
        <f ca="1"/>
        <v>0</v>
      </c>
    </row>
    <row r="51" spans="1:15">
      <c r="A51" s="142" t="str">
        <v>Offline Variable Marketing expenses</v>
      </c>
      <c r="B51" s="76">
        <f ca="1"/>
        <v>11.999999999999998</v>
      </c>
      <c r="C51" s="77">
        <f ca="1"/>
        <v>11.999999999999998</v>
      </c>
      <c r="D51" s="77">
        <f ca="1"/>
        <v>11.999999999999998</v>
      </c>
      <c r="E51" s="77">
        <f ca="1"/>
        <v>11.999999999999998</v>
      </c>
      <c r="F51" s="77">
        <f ca="1"/>
        <v>11.999999999999998</v>
      </c>
      <c r="G51" s="77">
        <f ca="1"/>
        <v>11.999999999999998</v>
      </c>
      <c r="H51" s="77">
        <f ca="1"/>
        <v>11.999999999999998</v>
      </c>
      <c r="I51" s="77">
        <f ca="1"/>
        <v>11.999999999999998</v>
      </c>
      <c r="J51" s="77">
        <f ca="1"/>
        <v>11.999999999999998</v>
      </c>
      <c r="K51" s="77">
        <f ca="1"/>
        <v>11.999999999999998</v>
      </c>
      <c r="L51" s="77">
        <f ca="1"/>
        <v>11.999999999999998</v>
      </c>
      <c r="M51" s="78">
        <f ca="1"/>
        <v>11.999999999999998</v>
      </c>
      <c r="N51" s="154">
        <f t="shared" ca="1" si="6"/>
        <v>143.99999999999997</v>
      </c>
      <c r="O51" s="105">
        <f ca="1"/>
        <v>9.1897687241537726E-3</v>
      </c>
    </row>
    <row r="52" spans="1:15">
      <c r="A52" s="142" t="str">
        <v>Offline Fixed Marketing expenses</v>
      </c>
      <c r="B52" s="76">
        <v>0</v>
      </c>
      <c r="C52" s="77">
        <v>0</v>
      </c>
      <c r="D52" s="77">
        <v>0</v>
      </c>
      <c r="E52" s="77">
        <v>0</v>
      </c>
      <c r="F52" s="77">
        <v>0</v>
      </c>
      <c r="G52" s="77">
        <v>0</v>
      </c>
      <c r="H52" s="77">
        <v>0</v>
      </c>
      <c r="I52" s="77">
        <v>0</v>
      </c>
      <c r="J52" s="77">
        <v>0</v>
      </c>
      <c r="K52" s="77">
        <v>0</v>
      </c>
      <c r="L52" s="77">
        <v>0</v>
      </c>
      <c r="M52" s="78">
        <v>0</v>
      </c>
      <c r="N52" s="154">
        <f>SUM(B52:M52)</f>
        <v>0</v>
      </c>
      <c r="O52" s="105">
        <f ca="1"/>
        <v>0</v>
      </c>
    </row>
    <row r="53" spans="1:15">
      <c r="A53" s="142" t="str">
        <v>Maintenance &amp; repairs</v>
      </c>
      <c r="B53" s="76">
        <v>0</v>
      </c>
      <c r="C53" s="77">
        <v>0</v>
      </c>
      <c r="D53" s="77">
        <v>0</v>
      </c>
      <c r="E53" s="77">
        <v>0</v>
      </c>
      <c r="F53" s="77">
        <v>0</v>
      </c>
      <c r="G53" s="77">
        <v>0</v>
      </c>
      <c r="H53" s="77">
        <v>0</v>
      </c>
      <c r="I53" s="77">
        <v>0</v>
      </c>
      <c r="J53" s="77">
        <v>0</v>
      </c>
      <c r="K53" s="77">
        <v>0</v>
      </c>
      <c r="L53" s="77">
        <v>0</v>
      </c>
      <c r="M53" s="78">
        <v>0</v>
      </c>
      <c r="N53" s="154">
        <f t="shared" ref="N53:N54" si="7">SUM(B53:M53)</f>
        <v>0</v>
      </c>
      <c r="O53" s="105">
        <f ca="1"/>
        <v>0</v>
      </c>
    </row>
    <row r="54" spans="1:15" ht="15.75" thickBot="1">
      <c r="A54" s="142" t="str">
        <v>Other unexpected expenses</v>
      </c>
      <c r="B54" s="76">
        <f ca="1"/>
        <v>1.7999999999999998</v>
      </c>
      <c r="C54" s="77">
        <f ca="1"/>
        <v>1.7999999999999998</v>
      </c>
      <c r="D54" s="77">
        <f ca="1"/>
        <v>1.7999999999999998</v>
      </c>
      <c r="E54" s="77">
        <f ca="1"/>
        <v>1.7999999999999998</v>
      </c>
      <c r="F54" s="77">
        <f ca="1"/>
        <v>1.7999999999999998</v>
      </c>
      <c r="G54" s="77">
        <f ca="1"/>
        <v>1.7999999999999998</v>
      </c>
      <c r="H54" s="77">
        <f ca="1"/>
        <v>1.7999999999999998</v>
      </c>
      <c r="I54" s="77">
        <f ca="1"/>
        <v>1.7999999999999998</v>
      </c>
      <c r="J54" s="77">
        <f ca="1"/>
        <v>1.7999999999999998</v>
      </c>
      <c r="K54" s="77">
        <f ca="1"/>
        <v>1.7999999999999998</v>
      </c>
      <c r="L54" s="77">
        <f ca="1"/>
        <v>1.7999999999999998</v>
      </c>
      <c r="M54" s="78">
        <f ca="1"/>
        <v>1.7999999999999998</v>
      </c>
      <c r="N54" s="154">
        <f t="shared" ca="1" si="7"/>
        <v>21.600000000000005</v>
      </c>
      <c r="O54" s="105">
        <f ca="1"/>
        <v>1.3784653086230665E-3</v>
      </c>
    </row>
    <row r="55" spans="1:15" ht="15.75" thickBot="1">
      <c r="A55" s="2418" t="s">
        <v>699</v>
      </c>
      <c r="B55" s="2893">
        <f ca="1">SUM(B33:B54)</f>
        <v>19.799999999999997</v>
      </c>
      <c r="C55" s="2893">
        <f t="shared" ref="C55:M55" ca="1" si="8">SUM(C33:C54)</f>
        <v>19.799999999999997</v>
      </c>
      <c r="D55" s="2893">
        <f t="shared" ca="1" si="8"/>
        <v>19.799999999999997</v>
      </c>
      <c r="E55" s="2893">
        <f t="shared" ca="1" si="8"/>
        <v>19.799999999999997</v>
      </c>
      <c r="F55" s="2893">
        <f t="shared" ca="1" si="8"/>
        <v>19.799999999999997</v>
      </c>
      <c r="G55" s="2893">
        <f t="shared" ca="1" si="8"/>
        <v>19.799999999999997</v>
      </c>
      <c r="H55" s="2893">
        <f t="shared" ca="1" si="8"/>
        <v>19.799999999999997</v>
      </c>
      <c r="I55" s="2893">
        <f t="shared" ca="1" si="8"/>
        <v>19.799999999999997</v>
      </c>
      <c r="J55" s="2893">
        <f t="shared" ca="1" si="8"/>
        <v>19.799999999999997</v>
      </c>
      <c r="K55" s="2893">
        <f t="shared" ca="1" si="8"/>
        <v>19.799999999999997</v>
      </c>
      <c r="L55" s="2893">
        <f t="shared" ca="1" si="8"/>
        <v>19.799999999999997</v>
      </c>
      <c r="M55" s="2893">
        <f t="shared" ca="1" si="8"/>
        <v>19.799999999999997</v>
      </c>
      <c r="N55" s="85">
        <f ca="1">SUM(N33:N54)</f>
        <v>237.59999999999994</v>
      </c>
      <c r="O55" s="109">
        <f ca="1">N55/$N$58</f>
        <v>1.5163118394853726E-2</v>
      </c>
    </row>
    <row r="56" spans="1:15">
      <c r="A56" s="86"/>
      <c r="B56" s="61"/>
      <c r="C56" s="61"/>
      <c r="D56" s="61"/>
      <c r="E56" s="61"/>
      <c r="F56" s="61"/>
      <c r="G56" s="61"/>
      <c r="H56" s="61"/>
      <c r="I56" s="61"/>
      <c r="J56" s="61"/>
      <c r="K56" s="61"/>
      <c r="L56" s="61"/>
      <c r="M56" s="61"/>
      <c r="N56" s="61"/>
      <c r="O56" s="98"/>
    </row>
    <row r="57" spans="1:15" ht="15.75" thickBot="1">
      <c r="A57" s="86"/>
      <c r="B57" s="61"/>
      <c r="C57" s="61"/>
      <c r="D57" s="61"/>
      <c r="E57" s="61"/>
      <c r="F57" s="61"/>
      <c r="G57" s="61"/>
      <c r="H57" s="61"/>
      <c r="I57" s="61"/>
      <c r="J57" s="61"/>
      <c r="K57" s="61"/>
      <c r="L57" s="61"/>
      <c r="M57" s="61"/>
      <c r="N57" s="61"/>
      <c r="O57" s="98"/>
    </row>
    <row r="58" spans="1:15" ht="15.75" thickBot="1">
      <c r="A58" s="2420" t="s">
        <v>700</v>
      </c>
      <c r="B58" s="2893">
        <f t="array" ref="B58:M58" ca="1">B27:M27+B55:M55</f>
        <v>1305.8</v>
      </c>
      <c r="C58" s="2894">
        <f ca="1"/>
        <v>1305.8</v>
      </c>
      <c r="D58" s="2894">
        <f ca="1"/>
        <v>1305.8</v>
      </c>
      <c r="E58" s="2894">
        <f ca="1"/>
        <v>1305.8</v>
      </c>
      <c r="F58" s="2894">
        <f ca="1"/>
        <v>1305.8</v>
      </c>
      <c r="G58" s="2894">
        <f ca="1"/>
        <v>1305.8</v>
      </c>
      <c r="H58" s="2894">
        <f ca="1"/>
        <v>1305.8</v>
      </c>
      <c r="I58" s="2894">
        <f ca="1"/>
        <v>1305.8</v>
      </c>
      <c r="J58" s="2894">
        <f ca="1"/>
        <v>1305.8</v>
      </c>
      <c r="K58" s="2894">
        <f ca="1"/>
        <v>1305.8</v>
      </c>
      <c r="L58" s="2894">
        <f ca="1"/>
        <v>1305.8</v>
      </c>
      <c r="M58" s="83">
        <f ca="1"/>
        <v>1305.8</v>
      </c>
      <c r="N58" s="82">
        <f ca="1">N27+N55</f>
        <v>15669.6</v>
      </c>
      <c r="O58" s="98"/>
    </row>
    <row r="59" spans="1:15" ht="16.5" customHeight="1" thickBot="1">
      <c r="O59" s="98"/>
    </row>
    <row r="60" spans="1:15" ht="15.75" thickBot="1">
      <c r="A60" s="144" t="str">
        <f>"Input "&amp;'Base Data'!$A$28&amp;" from Fixed Expenses"</f>
        <v>Input VAT from Fixed Expenses</v>
      </c>
      <c r="B60" s="2895">
        <f ca="1">Parameters!$F$33*SUM(B37:B54)</f>
        <v>4.1579999999999995</v>
      </c>
      <c r="C60" s="2896">
        <f ca="1">Parameters!$F$33*SUM(C37:C54)</f>
        <v>4.1579999999999995</v>
      </c>
      <c r="D60" s="2896">
        <f ca="1">Parameters!$F$33*SUM(D37:D54)</f>
        <v>4.1579999999999995</v>
      </c>
      <c r="E60" s="2896">
        <f ca="1">Parameters!$F$33*SUM(E37:E54)</f>
        <v>4.1579999999999995</v>
      </c>
      <c r="F60" s="2896">
        <f ca="1">Parameters!$F$33*SUM(F37:F54)</f>
        <v>4.1579999999999995</v>
      </c>
      <c r="G60" s="2896">
        <f ca="1">Parameters!$F$33*SUM(G37:G54)</f>
        <v>4.1579999999999995</v>
      </c>
      <c r="H60" s="2896">
        <f ca="1">Parameters!$F$33*SUM(H37:H54)</f>
        <v>4.1579999999999995</v>
      </c>
      <c r="I60" s="2896">
        <f ca="1">Parameters!$F$33*SUM(I37:I54)</f>
        <v>4.1579999999999995</v>
      </c>
      <c r="J60" s="2896">
        <f ca="1">Parameters!$F$33*SUM(J37:J54)</f>
        <v>4.1579999999999995</v>
      </c>
      <c r="K60" s="2896">
        <f ca="1">Parameters!$F$33*SUM(K37:K54)</f>
        <v>4.1579999999999995</v>
      </c>
      <c r="L60" s="2896">
        <f ca="1">Parameters!$F$33*SUM(L37:L54)</f>
        <v>4.1579999999999995</v>
      </c>
      <c r="M60" s="2897">
        <f ca="1">Parameters!$F$33*SUM(M37:M54)</f>
        <v>4.1579999999999995</v>
      </c>
      <c r="N60" s="82">
        <f ca="1">SUM(B60:M60)</f>
        <v>49.896000000000008</v>
      </c>
    </row>
  </sheetData>
  <sheetProtection sheet="1" objects="1" scenarios="1"/>
  <phoneticPr fontId="7" type="noConversion"/>
  <conditionalFormatting sqref="B7:M15 B18:M20 B23:M25 B27:M27">
    <cfRule type="expression" dxfId="15" priority="3" stopIfTrue="1">
      <formula>COLUMN(B7)&lt;=mes0</formula>
    </cfRule>
  </conditionalFormatting>
  <conditionalFormatting sqref="B33:M55">
    <cfRule type="expression" dxfId="14" priority="1" stopIfTrue="1">
      <formula>COLUMN(B$32)&lt;=mes0</formula>
    </cfRule>
  </conditionalFormatting>
  <conditionalFormatting sqref="B58:M58 B60:M60">
    <cfRule type="expression" dxfId="13" priority="2" stopIfTrue="1">
      <formula>COLUMN(B$32)&lt;=mes0</formula>
    </cfRule>
  </conditionalFormatting>
  <dataValidations xWindow="31846" yWindow="125"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33:A54 A1" xr:uid="{00000000-0002-0000-3300-000000000000}"/>
  </dataValidations>
  <printOptions horizontalCentered="1"/>
  <pageMargins left="0.75" right="0.75" top="0.49" bottom="0.52" header="0" footer="0"/>
  <pageSetup paperSize="9" scale="61" orientation="landscape" horizontalDpi="300"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24">
    <tabColor indexed="42"/>
    <pageSetUpPr fitToPage="1"/>
  </sheetPr>
  <dimension ref="A1:O60"/>
  <sheetViews>
    <sheetView zoomScale="85" workbookViewId="0">
      <pane xSplit="1" ySplit="2" topLeftCell="B3" activePane="bottomRight" state="frozenSplit"/>
      <selection activeCell="B3" sqref="B3"/>
      <selection pane="topRight" activeCell="B3" sqref="B3"/>
      <selection pane="bottomLeft" activeCell="B3" sqref="B3"/>
      <selection pane="bottomRight" activeCell="B3" sqref="B3"/>
    </sheetView>
  </sheetViews>
  <sheetFormatPr baseColWidth="10" defaultColWidth="11" defaultRowHeight="15"/>
  <cols>
    <col min="1" max="1" width="31.375" style="35" customWidth="1"/>
    <col min="2" max="14" width="11.125" style="35" customWidth="1"/>
    <col min="15" max="15" width="10.375" style="35" customWidth="1"/>
    <col min="16" max="16384" width="11" style="35"/>
  </cols>
  <sheetData>
    <row r="1" spans="1:15" s="97" customFormat="1" ht="22.5">
      <c r="A1" s="66" t="str">
        <f>'Fixed Expenses 0'!A1</f>
        <v>Fixed Expenses Forecast</v>
      </c>
      <c r="B1" s="66"/>
      <c r="C1" s="66"/>
      <c r="D1" s="66"/>
      <c r="E1" s="2398" t="str">
        <f>Parameters!C$77</f>
        <v>Year 1:   2027</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5" t="str">
        <f>'Fixed Expenses 0'!A4</f>
        <v>Labour Expenses</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tr">
        <f>'Fixed Expenses 0'!$N$4</f>
        <v>Totals</v>
      </c>
      <c r="O4" s="102" t="s">
        <v>3</v>
      </c>
    </row>
    <row r="5" spans="1:15" ht="15.75" thickBot="1">
      <c r="A5" s="2063"/>
      <c r="B5" s="115"/>
      <c r="C5" s="116"/>
      <c r="D5" s="116"/>
      <c r="E5" s="116"/>
      <c r="F5" s="116"/>
      <c r="G5" s="116"/>
      <c r="H5" s="116"/>
      <c r="I5" s="116"/>
      <c r="J5" s="116"/>
      <c r="K5" s="116"/>
      <c r="L5" s="116"/>
      <c r="M5" s="117"/>
      <c r="N5" s="113"/>
      <c r="O5" s="114"/>
    </row>
    <row r="6" spans="1:15">
      <c r="A6" s="2776" t="str">
        <f>'Fixed Expenses 0'!A6</f>
        <v>Wages &amp; Sallaries</v>
      </c>
      <c r="B6" s="87"/>
      <c r="C6" s="88"/>
      <c r="D6" s="88"/>
      <c r="E6" s="88"/>
      <c r="F6" s="88"/>
      <c r="G6" s="88"/>
      <c r="H6" s="88"/>
      <c r="I6" s="88"/>
      <c r="J6" s="88"/>
      <c r="K6" s="88"/>
      <c r="L6" s="88"/>
      <c r="M6" s="89"/>
      <c r="N6" s="75"/>
      <c r="O6" s="104"/>
    </row>
    <row r="7" spans="1:15">
      <c r="A7" s="2777" t="str">
        <f t="array" ref="A7:A14">catlaborales</f>
        <v>Working Owners / Self employees</v>
      </c>
      <c r="B7" s="90">
        <f>IF(COLUMN(B$4)-2&lt;mes0+Staff!$D$33-12,0,
    IF(COLUMN(B$4)-2&lt;mes0+Staff!$D$33+Staff!$D$34-12, Staff!$C19*'Detailed Staff'!C28 /(Staff!$D$34)*(COLUMN(B$4)-Staff!$D$33-mes0+12-2),
      Staff!$C19*'Detailed Staff'!C28))</f>
        <v>1248</v>
      </c>
      <c r="C7" s="91">
        <f>IF(COLUMN(C$4)-2&lt;mes0+Staff!$D$33-12,0,
    IF(COLUMN(C$4)-2&lt;mes0+Staff!$D$33+Staff!$D$34-12, Staff!$C19*'Detailed Staff'!D28 /(Staff!$D$34)*(COLUMN(C$4)-Staff!$D$33-mes0+12-2),
      Staff!$C19*'Detailed Staff'!D28))</f>
        <v>1248</v>
      </c>
      <c r="D7" s="91">
        <f>IF(COLUMN(D$4)-2&lt;mes0+Staff!$D$33-12,0,
    IF(COLUMN(D$4)-2&lt;mes0+Staff!$D$33+Staff!$D$34-12, Staff!$C19*'Detailed Staff'!E28 /(Staff!$D$34)*(COLUMN(D$4)-Staff!$D$33-mes0+12-2),
      Staff!$C19*'Detailed Staff'!E28))</f>
        <v>1248</v>
      </c>
      <c r="E7" s="91">
        <f>IF(COLUMN(E$4)-2&lt;mes0+Staff!$D$33-12,0,
    IF(COLUMN(E$4)-2&lt;mes0+Staff!$D$33+Staff!$D$34-12, Staff!$C19*'Detailed Staff'!F28 /(Staff!$D$34)*(COLUMN(E$4)-Staff!$D$33-mes0+12-2),
      Staff!$C19*'Detailed Staff'!F28))</f>
        <v>1248</v>
      </c>
      <c r="F7" s="91">
        <f>IF(COLUMN(F$4)-2&lt;mes0+Staff!$D$33-12,0,
    IF(COLUMN(F$4)-2&lt;mes0+Staff!$D$33+Staff!$D$34-12, Staff!$C19*'Detailed Staff'!G28 /(Staff!$D$34)*(COLUMN(F$4)-Staff!$D$33-mes0+12-2),
      Staff!$C19*'Detailed Staff'!G28))</f>
        <v>1248</v>
      </c>
      <c r="G7" s="91">
        <f>IF(COLUMN(G$4)-2&lt;mes0+Staff!$D$33-12,0,
    IF(COLUMN(G$4)-2&lt;mes0+Staff!$D$33+Staff!$D$34-12, Staff!$C19*'Detailed Staff'!H28 /(Staff!$D$34)*(COLUMN(G$4)-Staff!$D$33-mes0+12-2),
      Staff!$C19*'Detailed Staff'!H28))</f>
        <v>1248</v>
      </c>
      <c r="H7" s="91">
        <f>IF(COLUMN(H$4)-2&lt;mes0+Staff!$D$33-12,0,
    IF(COLUMN(H$4)-2&lt;mes0+Staff!$D$33+Staff!$D$34-12, Staff!$C19*'Detailed Staff'!I28 /(Staff!$D$34)*(COLUMN(H$4)-Staff!$D$33-mes0+12-2),
      Staff!$C19*'Detailed Staff'!I28))</f>
        <v>1248</v>
      </c>
      <c r="I7" s="91">
        <f>IF(COLUMN(I$4)-2&lt;mes0+Staff!$D$33-12,0,
    IF(COLUMN(I$4)-2&lt;mes0+Staff!$D$33+Staff!$D$34-12, Staff!$C19*'Detailed Staff'!J28 /(Staff!$D$34)*(COLUMN(I$4)-Staff!$D$33-mes0+12-2),
      Staff!$C19*'Detailed Staff'!J28))</f>
        <v>1248</v>
      </c>
      <c r="J7" s="91">
        <f>IF(COLUMN(J$4)-2&lt;mes0+Staff!$D$33-12,0,
    IF(COLUMN(J$4)-2&lt;mes0+Staff!$D$33+Staff!$D$34-12, Staff!$C19*'Detailed Staff'!K28 /(Staff!$D$34)*(COLUMN(J$4)-Staff!$D$33-mes0+12-2),
      Staff!$C19*'Detailed Staff'!K28))</f>
        <v>1248</v>
      </c>
      <c r="K7" s="91">
        <f>IF(COLUMN(K$4)-2&lt;mes0+Staff!$D$33-12,0,
    IF(COLUMN(K$4)-2&lt;mes0+Staff!$D$33+Staff!$D$34-12, Staff!$C19*'Detailed Staff'!L28 /(Staff!$D$34)*(COLUMN(K$4)-Staff!$D$33-mes0+12-2),
      Staff!$C19*'Detailed Staff'!L28))</f>
        <v>1248</v>
      </c>
      <c r="L7" s="91">
        <f>IF(COLUMN(L$4)-2&lt;mes0+Staff!$D$33-12,0,
    IF(COLUMN(L$4)-2&lt;mes0+Staff!$D$33+Staff!$D$34-12, Staff!$C19*'Detailed Staff'!M28 /(Staff!$D$34)*(COLUMN(L$4)-Staff!$D$33-mes0+12-2),
      Staff!$C19*'Detailed Staff'!M28))</f>
        <v>1248</v>
      </c>
      <c r="M7" s="92">
        <f>IF(COLUMN(M$4)-2&lt;mes0+Staff!$D$33-12,0,
    IF(COLUMN(M$4)-2&lt;mes0+Staff!$D$33+Staff!$D$34-12, Staff!$C19*'Detailed Staff'!N28 /(Staff!$D$34)*(COLUMN(M$4)-Staff!$D$33-mes0+12-2),
      Staff!$C19*'Detailed Staff'!N28))</f>
        <v>1248</v>
      </c>
      <c r="N7" s="96">
        <f t="shared" ref="N7:N14" si="0">SUM(B7:M7)</f>
        <v>14976</v>
      </c>
      <c r="O7" s="105">
        <f t="array" ref="O7:O15">N7:N15/$N$27</f>
        <v>0.93975903614457834</v>
      </c>
    </row>
    <row r="8" spans="1:15">
      <c r="A8" s="2777" t="str">
        <v>Other non staff not employees</v>
      </c>
      <c r="B8" s="90">
        <f t="array" ref="B8:M14">Staff!$C20:$C26*'Detailed Staff'!C29:N35</f>
        <v>0</v>
      </c>
      <c r="C8" s="91">
        <v>0</v>
      </c>
      <c r="D8" s="91">
        <v>0</v>
      </c>
      <c r="E8" s="91">
        <v>0</v>
      </c>
      <c r="F8" s="91">
        <v>0</v>
      </c>
      <c r="G8" s="91">
        <v>0</v>
      </c>
      <c r="H8" s="91">
        <v>0</v>
      </c>
      <c r="I8" s="91">
        <v>0</v>
      </c>
      <c r="J8" s="91">
        <v>0</v>
      </c>
      <c r="K8" s="91">
        <v>0</v>
      </c>
      <c r="L8" s="91">
        <v>0</v>
      </c>
      <c r="M8" s="92">
        <v>0</v>
      </c>
      <c r="N8" s="96">
        <f t="shared" si="0"/>
        <v>0</v>
      </c>
      <c r="O8" s="105">
        <v>0</v>
      </c>
    </row>
    <row r="9" spans="1:15">
      <c r="A9" s="2777" t="str">
        <v>Staff / employees</v>
      </c>
      <c r="B9" s="90">
        <v>0</v>
      </c>
      <c r="C9" s="91">
        <v>0</v>
      </c>
      <c r="D9" s="91">
        <v>0</v>
      </c>
      <c r="E9" s="91">
        <v>0</v>
      </c>
      <c r="F9" s="91">
        <v>0</v>
      </c>
      <c r="G9" s="91">
        <v>0</v>
      </c>
      <c r="H9" s="91">
        <v>0</v>
      </c>
      <c r="I9" s="91">
        <v>0</v>
      </c>
      <c r="J9" s="91">
        <v>0</v>
      </c>
      <c r="K9" s="91">
        <v>0</v>
      </c>
      <c r="L9" s="91">
        <v>0</v>
      </c>
      <c r="M9" s="92">
        <v>0</v>
      </c>
      <c r="N9" s="96">
        <f t="shared" si="0"/>
        <v>0</v>
      </c>
      <c r="O9" s="105">
        <v>0</v>
      </c>
    </row>
    <row r="10" spans="1:15">
      <c r="A10" s="2777" t="str">
        <v/>
      </c>
      <c r="B10" s="90">
        <v>0</v>
      </c>
      <c r="C10" s="91">
        <v>0</v>
      </c>
      <c r="D10" s="91">
        <v>0</v>
      </c>
      <c r="E10" s="91">
        <v>0</v>
      </c>
      <c r="F10" s="91">
        <v>0</v>
      </c>
      <c r="G10" s="91">
        <v>0</v>
      </c>
      <c r="H10" s="91">
        <v>0</v>
      </c>
      <c r="I10" s="91">
        <v>0</v>
      </c>
      <c r="J10" s="91">
        <v>0</v>
      </c>
      <c r="K10" s="91">
        <v>0</v>
      </c>
      <c r="L10" s="91">
        <v>0</v>
      </c>
      <c r="M10" s="92">
        <v>0</v>
      </c>
      <c r="N10" s="96">
        <f t="shared" si="0"/>
        <v>0</v>
      </c>
      <c r="O10" s="105">
        <v>0</v>
      </c>
    </row>
    <row r="11" spans="1:15">
      <c r="A11" s="2777" t="str">
        <v/>
      </c>
      <c r="B11" s="90">
        <v>0</v>
      </c>
      <c r="C11" s="91">
        <v>0</v>
      </c>
      <c r="D11" s="91">
        <v>0</v>
      </c>
      <c r="E11" s="91">
        <v>0</v>
      </c>
      <c r="F11" s="91">
        <v>0</v>
      </c>
      <c r="G11" s="91">
        <v>0</v>
      </c>
      <c r="H11" s="91">
        <v>0</v>
      </c>
      <c r="I11" s="91">
        <v>0</v>
      </c>
      <c r="J11" s="91">
        <v>0</v>
      </c>
      <c r="K11" s="91">
        <v>0</v>
      </c>
      <c r="L11" s="91">
        <v>0</v>
      </c>
      <c r="M11" s="92">
        <v>0</v>
      </c>
      <c r="N11" s="96">
        <f t="shared" si="0"/>
        <v>0</v>
      </c>
      <c r="O11" s="105">
        <v>0</v>
      </c>
    </row>
    <row r="12" spans="1:15">
      <c r="A12" s="2777" t="str">
        <v/>
      </c>
      <c r="B12" s="90">
        <v>0</v>
      </c>
      <c r="C12" s="91">
        <v>0</v>
      </c>
      <c r="D12" s="91">
        <v>0</v>
      </c>
      <c r="E12" s="91">
        <v>0</v>
      </c>
      <c r="F12" s="91">
        <v>0</v>
      </c>
      <c r="G12" s="91">
        <v>0</v>
      </c>
      <c r="H12" s="91">
        <v>0</v>
      </c>
      <c r="I12" s="91">
        <v>0</v>
      </c>
      <c r="J12" s="91">
        <v>0</v>
      </c>
      <c r="K12" s="91">
        <v>0</v>
      </c>
      <c r="L12" s="91">
        <v>0</v>
      </c>
      <c r="M12" s="92">
        <v>0</v>
      </c>
      <c r="N12" s="96">
        <f t="shared" si="0"/>
        <v>0</v>
      </c>
      <c r="O12" s="105">
        <v>0</v>
      </c>
    </row>
    <row r="13" spans="1:15">
      <c r="A13" s="2777" t="str">
        <v/>
      </c>
      <c r="B13" s="90">
        <v>0</v>
      </c>
      <c r="C13" s="91">
        <v>0</v>
      </c>
      <c r="D13" s="91">
        <v>0</v>
      </c>
      <c r="E13" s="91">
        <v>0</v>
      </c>
      <c r="F13" s="91">
        <v>0</v>
      </c>
      <c r="G13" s="91">
        <v>0</v>
      </c>
      <c r="H13" s="91">
        <v>0</v>
      </c>
      <c r="I13" s="91">
        <v>0</v>
      </c>
      <c r="J13" s="91">
        <v>0</v>
      </c>
      <c r="K13" s="91">
        <v>0</v>
      </c>
      <c r="L13" s="91">
        <v>0</v>
      </c>
      <c r="M13" s="92">
        <v>0</v>
      </c>
      <c r="N13" s="96">
        <f t="shared" si="0"/>
        <v>0</v>
      </c>
      <c r="O13" s="105">
        <v>0</v>
      </c>
    </row>
    <row r="14" spans="1:15">
      <c r="A14" s="2777" t="str">
        <v/>
      </c>
      <c r="B14" s="90">
        <v>0</v>
      </c>
      <c r="C14" s="91">
        <v>0</v>
      </c>
      <c r="D14" s="91">
        <v>0</v>
      </c>
      <c r="E14" s="91">
        <v>0</v>
      </c>
      <c r="F14" s="91">
        <v>0</v>
      </c>
      <c r="G14" s="91">
        <v>0</v>
      </c>
      <c r="H14" s="91">
        <v>0</v>
      </c>
      <c r="I14" s="91">
        <v>0</v>
      </c>
      <c r="J14" s="91">
        <v>0</v>
      </c>
      <c r="K14" s="91">
        <v>0</v>
      </c>
      <c r="L14" s="91">
        <v>0</v>
      </c>
      <c r="M14" s="92">
        <v>0</v>
      </c>
      <c r="N14" s="96">
        <f t="shared" si="0"/>
        <v>0</v>
      </c>
      <c r="O14" s="105">
        <v>0</v>
      </c>
    </row>
    <row r="15" spans="1:15" ht="15.75" thickBot="1">
      <c r="A15" s="2778" t="str">
        <f>'Fixed Expenses 0'!A15</f>
        <v>Total Wages &amp; Sallaries</v>
      </c>
      <c r="B15" s="137">
        <f t="shared" ref="B15:M15" si="1">SUM(B7:B14)</f>
        <v>1248</v>
      </c>
      <c r="C15" s="138">
        <f t="shared" si="1"/>
        <v>1248</v>
      </c>
      <c r="D15" s="138">
        <f t="shared" si="1"/>
        <v>1248</v>
      </c>
      <c r="E15" s="138">
        <f t="shared" si="1"/>
        <v>1248</v>
      </c>
      <c r="F15" s="138">
        <f t="shared" si="1"/>
        <v>1248</v>
      </c>
      <c r="G15" s="138">
        <f t="shared" si="1"/>
        <v>1248</v>
      </c>
      <c r="H15" s="138">
        <f t="shared" si="1"/>
        <v>1248</v>
      </c>
      <c r="I15" s="138">
        <f t="shared" si="1"/>
        <v>1248</v>
      </c>
      <c r="J15" s="138">
        <f t="shared" si="1"/>
        <v>1248</v>
      </c>
      <c r="K15" s="138">
        <f t="shared" si="1"/>
        <v>1248</v>
      </c>
      <c r="L15" s="138">
        <f t="shared" si="1"/>
        <v>1248</v>
      </c>
      <c r="M15" s="139">
        <f t="shared" si="1"/>
        <v>1248</v>
      </c>
      <c r="N15" s="136">
        <f>SUM(B15:M15)</f>
        <v>14976</v>
      </c>
      <c r="O15" s="108">
        <v>0.93975903614457834</v>
      </c>
    </row>
    <row r="16" spans="1:15" ht="15.75" thickBot="1">
      <c r="A16" s="2779"/>
      <c r="B16" s="129"/>
      <c r="C16" s="130"/>
      <c r="D16" s="130"/>
      <c r="E16" s="130"/>
      <c r="F16" s="130"/>
      <c r="G16" s="130"/>
      <c r="H16" s="130"/>
      <c r="I16" s="130"/>
      <c r="J16" s="130"/>
      <c r="K16" s="130"/>
      <c r="L16" s="130"/>
      <c r="M16" s="131"/>
      <c r="N16" s="125"/>
      <c r="O16" s="126"/>
    </row>
    <row r="17" spans="1:15">
      <c r="A17" s="2776" t="str">
        <f t="array" ref="A17:A20">'Fixed Expenses 0'!A17:A20</f>
        <v>Social Security</v>
      </c>
      <c r="B17" s="87"/>
      <c r="C17" s="88"/>
      <c r="D17" s="88"/>
      <c r="E17" s="88"/>
      <c r="F17" s="88"/>
      <c r="G17" s="3194">
        <f>'Personal Income Tax'!C40</f>
        <v>0</v>
      </c>
      <c r="H17" s="88"/>
      <c r="I17" s="88"/>
      <c r="J17" s="88"/>
      <c r="K17" s="88"/>
      <c r="L17" s="88"/>
      <c r="M17" s="89"/>
      <c r="N17" s="132"/>
      <c r="O17" s="104"/>
    </row>
    <row r="18" spans="1:15">
      <c r="A18" s="142" t="str">
        <v>Partners Social Security</v>
      </c>
      <c r="B18" s="90">
        <f t="array" ref="B18">SUM(Staff!$C37:$C38*'Detailed Staff'!C28:C29)</f>
        <v>80</v>
      </c>
      <c r="C18" s="91">
        <f t="array" ref="C18">SUM(Staff!$C37:$C38*'Detailed Staff'!D28:D29)</f>
        <v>80</v>
      </c>
      <c r="D18" s="91">
        <f t="array" ref="D18">SUM(Staff!$C37:$C38*'Detailed Staff'!E28:E29)</f>
        <v>80</v>
      </c>
      <c r="E18" s="91">
        <f t="array" ref="E18">SUM(Staff!$C37:$C38*'Detailed Staff'!F28:F29)</f>
        <v>80</v>
      </c>
      <c r="F18" s="91">
        <f t="array" ref="F18">SUM(Staff!$C37:$C38*'Detailed Staff'!G28:G29)</f>
        <v>80</v>
      </c>
      <c r="G18" s="91">
        <f t="array" ref="G18">SUM(Staff!$C37:$C38*'Detailed Staff'!H28:H29)</f>
        <v>80</v>
      </c>
      <c r="H18" s="91">
        <f t="array" ref="H18">SUM(Staff!$C37:$C38*'Detailed Staff'!I28:I29)</f>
        <v>80</v>
      </c>
      <c r="I18" s="91">
        <f t="array" ref="I18">SUM(Staff!$C37:$C38*'Detailed Staff'!J28:J29)</f>
        <v>80</v>
      </c>
      <c r="J18" s="91">
        <f t="array" ref="J18">SUM(Staff!$C37:$C38*'Detailed Staff'!K28:K29)</f>
        <v>80</v>
      </c>
      <c r="K18" s="91">
        <f t="array" ref="K18">SUM(Staff!$C37:$C38*'Detailed Staff'!L28:L29)</f>
        <v>80</v>
      </c>
      <c r="L18" s="91">
        <f t="array" ref="L18">SUM(Staff!$C37:$C38*'Detailed Staff'!M28:M29)</f>
        <v>80</v>
      </c>
      <c r="M18" s="92">
        <f t="array" ref="M18">SUM(Staff!$C37:$C38*'Detailed Staff'!N28:N29)</f>
        <v>80</v>
      </c>
      <c r="N18" s="96">
        <f>SUM(B18:M18)</f>
        <v>960</v>
      </c>
      <c r="O18" s="105">
        <f t="array" ref="O18:O20">N18:N20/$N$27</f>
        <v>6.0240963855421686E-2</v>
      </c>
    </row>
    <row r="19" spans="1:15">
      <c r="A19" s="142" t="str">
        <v>Employees Social Security</v>
      </c>
      <c r="B19" s="90">
        <f t="array" ref="B19">SUM(B9:B14*Staff!$C39:$C44)</f>
        <v>0</v>
      </c>
      <c r="C19" s="91">
        <f t="array" ref="C19">SUM(C9:C14*Staff!$C39:$C44)</f>
        <v>0</v>
      </c>
      <c r="D19" s="91">
        <f t="array" ref="D19">SUM(D9:D14*Staff!$C39:$C44)</f>
        <v>0</v>
      </c>
      <c r="E19" s="91">
        <f t="array" ref="E19">SUM(E9:E14*Staff!$C39:$C44)</f>
        <v>0</v>
      </c>
      <c r="F19" s="91">
        <f t="array" ref="F19">SUM(F9:F14*Staff!$C39:$C44)</f>
        <v>0</v>
      </c>
      <c r="G19" s="91">
        <f t="array" ref="G19">SUM(G9:G14*Staff!$C39:$C44)</f>
        <v>0</v>
      </c>
      <c r="H19" s="91">
        <f t="array" ref="H19">SUM(H9:H14*Staff!$C39:$C44)</f>
        <v>0</v>
      </c>
      <c r="I19" s="91">
        <f t="array" ref="I19">SUM(I9:I14*Staff!$C39:$C44)</f>
        <v>0</v>
      </c>
      <c r="J19" s="91">
        <f t="array" ref="J19">SUM(J9:J14*Staff!$C39:$C44)</f>
        <v>0</v>
      </c>
      <c r="K19" s="91">
        <f t="array" ref="K19">SUM(K9:K14*Staff!$C39:$C44)</f>
        <v>0</v>
      </c>
      <c r="L19" s="91">
        <f t="array" ref="L19">SUM(L9:L14*Staff!$C39:$C44)</f>
        <v>0</v>
      </c>
      <c r="M19" s="92">
        <f t="array" ref="M19">SUM(M9:M14*Staff!$C39:$C44)</f>
        <v>0</v>
      </c>
      <c r="N19" s="96">
        <f>SUM(B19:M19)</f>
        <v>0</v>
      </c>
      <c r="O19" s="105">
        <v>0</v>
      </c>
    </row>
    <row r="20" spans="1:15" ht="15.75" thickBot="1">
      <c r="A20" s="2778" t="str">
        <v>Total Social Security</v>
      </c>
      <c r="B20" s="137">
        <f t="shared" ref="B20:M20" si="2">SUM(B18:B19)</f>
        <v>80</v>
      </c>
      <c r="C20" s="138">
        <f t="shared" si="2"/>
        <v>80</v>
      </c>
      <c r="D20" s="138">
        <f t="shared" si="2"/>
        <v>80</v>
      </c>
      <c r="E20" s="138">
        <f t="shared" si="2"/>
        <v>80</v>
      </c>
      <c r="F20" s="138">
        <f t="shared" si="2"/>
        <v>80</v>
      </c>
      <c r="G20" s="138">
        <f>SUM(G17:G19)</f>
        <v>80</v>
      </c>
      <c r="H20" s="138">
        <f t="shared" si="2"/>
        <v>80</v>
      </c>
      <c r="I20" s="138">
        <f t="shared" si="2"/>
        <v>80</v>
      </c>
      <c r="J20" s="138">
        <f t="shared" si="2"/>
        <v>80</v>
      </c>
      <c r="K20" s="138">
        <f t="shared" si="2"/>
        <v>80</v>
      </c>
      <c r="L20" s="138">
        <f t="shared" si="2"/>
        <v>80</v>
      </c>
      <c r="M20" s="139">
        <f t="shared" si="2"/>
        <v>80</v>
      </c>
      <c r="N20" s="136">
        <f>SUM(B20:M20)</f>
        <v>960</v>
      </c>
      <c r="O20" s="108">
        <v>6.0240963855421686E-2</v>
      </c>
    </row>
    <row r="21" spans="1:15" ht="15.75" thickBot="1">
      <c r="A21" s="2779"/>
      <c r="B21" s="129"/>
      <c r="C21" s="130"/>
      <c r="D21" s="130"/>
      <c r="E21" s="130"/>
      <c r="F21" s="130"/>
      <c r="G21" s="130"/>
      <c r="H21" s="130"/>
      <c r="I21" s="130"/>
      <c r="J21" s="130"/>
      <c r="K21" s="130"/>
      <c r="L21" s="130"/>
      <c r="M21" s="131"/>
      <c r="N21" s="125"/>
      <c r="O21" s="126"/>
    </row>
    <row r="22" spans="1:15">
      <c r="A22" s="2776" t="str">
        <f t="array" ref="A22:A25">'Fixed Expenses 0'!A22:A25</f>
        <v>Labour Registrations &amp; Cancellations</v>
      </c>
      <c r="B22" s="87"/>
      <c r="C22" s="88"/>
      <c r="D22" s="88"/>
      <c r="E22" s="88"/>
      <c r="F22" s="88"/>
      <c r="G22" s="88"/>
      <c r="H22" s="88"/>
      <c r="I22" s="88"/>
      <c r="J22" s="88"/>
      <c r="K22" s="88"/>
      <c r="L22" s="88"/>
      <c r="M22" s="89"/>
      <c r="N22" s="132"/>
      <c r="O22" s="104"/>
    </row>
    <row r="23" spans="1:15">
      <c r="A23" s="142" t="str">
        <v>Partners registrations &amp; cancellations</v>
      </c>
      <c r="B23" s="93">
        <f t="array" ref="B23:M24">Staff!$C53:$C54*'Detailed Staff'!C39:N40</f>
        <v>0</v>
      </c>
      <c r="C23" s="94">
        <v>0</v>
      </c>
      <c r="D23" s="94">
        <v>0</v>
      </c>
      <c r="E23" s="94">
        <v>0</v>
      </c>
      <c r="F23" s="94">
        <v>0</v>
      </c>
      <c r="G23" s="94">
        <v>0</v>
      </c>
      <c r="H23" s="94">
        <v>0</v>
      </c>
      <c r="I23" s="94">
        <v>0</v>
      </c>
      <c r="J23" s="94">
        <v>0</v>
      </c>
      <c r="K23" s="94">
        <v>0</v>
      </c>
      <c r="L23" s="94">
        <v>0</v>
      </c>
      <c r="M23" s="95">
        <v>0</v>
      </c>
      <c r="N23" s="96">
        <f>SUM(B23:M23)</f>
        <v>0</v>
      </c>
      <c r="O23" s="105">
        <f t="array" ref="O23:O25">N23:N25/$N$27</f>
        <v>0</v>
      </c>
    </row>
    <row r="24" spans="1:15">
      <c r="A24" s="142" t="str">
        <v>Employees registrations &amp; cancellations</v>
      </c>
      <c r="B24" s="93">
        <v>0</v>
      </c>
      <c r="C24" s="94">
        <v>0</v>
      </c>
      <c r="D24" s="94">
        <v>0</v>
      </c>
      <c r="E24" s="94">
        <v>0</v>
      </c>
      <c r="F24" s="94">
        <v>0</v>
      </c>
      <c r="G24" s="94">
        <v>0</v>
      </c>
      <c r="H24" s="94">
        <v>0</v>
      </c>
      <c r="I24" s="94">
        <v>0</v>
      </c>
      <c r="J24" s="94">
        <v>0</v>
      </c>
      <c r="K24" s="94">
        <v>0</v>
      </c>
      <c r="L24" s="94">
        <v>0</v>
      </c>
      <c r="M24" s="95">
        <v>0</v>
      </c>
      <c r="N24" s="96">
        <f>SUM(B24:M24)</f>
        <v>0</v>
      </c>
      <c r="O24" s="105">
        <v>0</v>
      </c>
    </row>
    <row r="25" spans="1:15" ht="15.75" thickBot="1">
      <c r="A25" s="2778" t="str">
        <v>Total Labour Registrations &amp; Cancellations</v>
      </c>
      <c r="B25" s="137">
        <f>SUM(B23:B24)</f>
        <v>0</v>
      </c>
      <c r="C25" s="138">
        <f t="shared" ref="C25:M25" si="3">SUM(C23:C24)</f>
        <v>0</v>
      </c>
      <c r="D25" s="138">
        <f t="shared" si="3"/>
        <v>0</v>
      </c>
      <c r="E25" s="138">
        <f t="shared" si="3"/>
        <v>0</v>
      </c>
      <c r="F25" s="138">
        <f t="shared" si="3"/>
        <v>0</v>
      </c>
      <c r="G25" s="138">
        <f t="shared" si="3"/>
        <v>0</v>
      </c>
      <c r="H25" s="138">
        <f t="shared" si="3"/>
        <v>0</v>
      </c>
      <c r="I25" s="138">
        <f t="shared" si="3"/>
        <v>0</v>
      </c>
      <c r="J25" s="138">
        <f t="shared" si="3"/>
        <v>0</v>
      </c>
      <c r="K25" s="138">
        <f t="shared" si="3"/>
        <v>0</v>
      </c>
      <c r="L25" s="138">
        <f t="shared" si="3"/>
        <v>0</v>
      </c>
      <c r="M25" s="139">
        <f t="shared" si="3"/>
        <v>0</v>
      </c>
      <c r="N25" s="136">
        <f>SUM(B25:M25)</f>
        <v>0</v>
      </c>
      <c r="O25" s="108">
        <v>0</v>
      </c>
    </row>
    <row r="26" spans="1:15" ht="15.75" thickBot="1">
      <c r="A26" s="2780"/>
      <c r="B26" s="141"/>
      <c r="C26" s="127"/>
      <c r="D26" s="127"/>
      <c r="E26" s="127"/>
      <c r="F26" s="127"/>
      <c r="G26" s="127"/>
      <c r="H26" s="127"/>
      <c r="I26" s="127"/>
      <c r="J26" s="127"/>
      <c r="K26" s="127"/>
      <c r="L26" s="127"/>
      <c r="M26" s="128"/>
      <c r="N26" s="120"/>
      <c r="O26" s="121"/>
    </row>
    <row r="27" spans="1:15" ht="15.75" thickBot="1">
      <c r="A27" s="2418" t="str">
        <f>'Fixed Expenses 0'!A27</f>
        <v>Total Labour Expenses</v>
      </c>
      <c r="B27" s="2893">
        <f t="shared" ref="B27:N27" si="4">B25+B20+B15</f>
        <v>1328</v>
      </c>
      <c r="C27" s="2894">
        <f t="shared" si="4"/>
        <v>1328</v>
      </c>
      <c r="D27" s="2894">
        <f t="shared" si="4"/>
        <v>1328</v>
      </c>
      <c r="E27" s="2894">
        <f t="shared" si="4"/>
        <v>1328</v>
      </c>
      <c r="F27" s="2894">
        <f t="shared" si="4"/>
        <v>1328</v>
      </c>
      <c r="G27" s="2894">
        <f t="shared" si="4"/>
        <v>1328</v>
      </c>
      <c r="H27" s="2894">
        <f t="shared" si="4"/>
        <v>1328</v>
      </c>
      <c r="I27" s="2894">
        <f t="shared" si="4"/>
        <v>1328</v>
      </c>
      <c r="J27" s="2894">
        <f t="shared" si="4"/>
        <v>1328</v>
      </c>
      <c r="K27" s="2894">
        <f t="shared" si="4"/>
        <v>1328</v>
      </c>
      <c r="L27" s="2894">
        <f t="shared" si="4"/>
        <v>1328</v>
      </c>
      <c r="M27" s="83">
        <f t="shared" si="4"/>
        <v>1328</v>
      </c>
      <c r="N27" s="82">
        <f t="shared" si="4"/>
        <v>15936</v>
      </c>
      <c r="O27" s="109">
        <f ca="1">N27/$N$58</f>
        <v>0.97591661204081215</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A30" s="86"/>
      <c r="B30" s="84"/>
      <c r="C30" s="84"/>
      <c r="D30" s="84"/>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tr">
        <f>'Fixed Expenses 0'!A32</f>
        <v>Other Fixed Expenses</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'Fixed Expenses 0'!$N$4</f>
        <v>Totals</v>
      </c>
      <c r="O32" s="102" t="s">
        <v>3</v>
      </c>
    </row>
    <row r="33" spans="1:15">
      <c r="A33" s="107" t="str">
        <f t="array" ref="A33:A54">'Fixed Expenses Data'!A6:A27</f>
        <v xml:space="preserve">Fixed &amp; Other taxes </v>
      </c>
      <c r="B33" s="150">
        <f t="array" ref="B33:M54">IFERROR('Fixed Expenses Data'!$U6:$U27*'Fixed Expenses 0'!$B33:$M54/'Fixed Expenses 0'!$N33:$N54,'Fixed Expenses Data'!$U6:$U27/12)</f>
        <v>0</v>
      </c>
      <c r="C33" s="151">
        <v>0</v>
      </c>
      <c r="D33" s="151">
        <v>0</v>
      </c>
      <c r="E33" s="151">
        <v>0</v>
      </c>
      <c r="F33" s="151">
        <v>0</v>
      </c>
      <c r="G33" s="151">
        <v>0</v>
      </c>
      <c r="H33" s="151">
        <v>0</v>
      </c>
      <c r="I33" s="151">
        <v>0</v>
      </c>
      <c r="J33" s="151">
        <v>0</v>
      </c>
      <c r="K33" s="151">
        <v>0</v>
      </c>
      <c r="L33" s="151">
        <v>0</v>
      </c>
      <c r="M33" s="152">
        <v>0</v>
      </c>
      <c r="N33" s="153">
        <f t="shared" ref="N33:N54" si="5">SUM(B33:M33)</f>
        <v>0</v>
      </c>
      <c r="O33" s="104">
        <f t="array" aca="1" ref="O33:O54" ca="1">N33:N54/$N$58</f>
        <v>0</v>
      </c>
    </row>
    <row r="34" spans="1:15">
      <c r="A34" s="106" t="str">
        <v>Other fixed expenses ( VAT exempted)</v>
      </c>
      <c r="B34" s="90">
        <v>0</v>
      </c>
      <c r="C34" s="91">
        <v>0</v>
      </c>
      <c r="D34" s="91">
        <v>0</v>
      </c>
      <c r="E34" s="91">
        <v>0</v>
      </c>
      <c r="F34" s="91">
        <v>0</v>
      </c>
      <c r="G34" s="91">
        <v>0</v>
      </c>
      <c r="H34" s="91">
        <v>0</v>
      </c>
      <c r="I34" s="91">
        <v>0</v>
      </c>
      <c r="J34" s="91">
        <v>0</v>
      </c>
      <c r="K34" s="91">
        <v>0</v>
      </c>
      <c r="L34" s="91">
        <v>0</v>
      </c>
      <c r="M34" s="92">
        <v>0</v>
      </c>
      <c r="N34" s="154">
        <f>SUM(B34:M34)</f>
        <v>0</v>
      </c>
      <c r="O34" s="105">
        <f ca="1"/>
        <v>0</v>
      </c>
    </row>
    <row r="35" spans="1:15">
      <c r="A35" s="106" t="str">
        <v>Insurance fees</v>
      </c>
      <c r="B35" s="90">
        <v>0</v>
      </c>
      <c r="C35" s="91">
        <v>0</v>
      </c>
      <c r="D35" s="91">
        <v>0</v>
      </c>
      <c r="E35" s="91">
        <v>0</v>
      </c>
      <c r="F35" s="91">
        <v>0</v>
      </c>
      <c r="G35" s="91">
        <v>0</v>
      </c>
      <c r="H35" s="91">
        <v>0</v>
      </c>
      <c r="I35" s="91">
        <v>0</v>
      </c>
      <c r="J35" s="91">
        <v>0</v>
      </c>
      <c r="K35" s="91">
        <v>0</v>
      </c>
      <c r="L35" s="91">
        <v>0</v>
      </c>
      <c r="M35" s="92">
        <v>0</v>
      </c>
      <c r="N35" s="154">
        <f>SUM(B35:M35)</f>
        <v>0</v>
      </c>
      <c r="O35" s="105">
        <f ca="1"/>
        <v>0</v>
      </c>
    </row>
    <row r="36" spans="1:15">
      <c r="A36" s="106" t="str">
        <v>Professional asociation /board /council</v>
      </c>
      <c r="B36" s="90">
        <v>0</v>
      </c>
      <c r="C36" s="91">
        <v>0</v>
      </c>
      <c r="D36" s="91">
        <v>0</v>
      </c>
      <c r="E36" s="91">
        <v>0</v>
      </c>
      <c r="F36" s="91">
        <v>0</v>
      </c>
      <c r="G36" s="91">
        <v>0</v>
      </c>
      <c r="H36" s="91">
        <v>0</v>
      </c>
      <c r="I36" s="91">
        <v>0</v>
      </c>
      <c r="J36" s="91">
        <v>0</v>
      </c>
      <c r="K36" s="91">
        <v>0</v>
      </c>
      <c r="L36" s="91">
        <v>0</v>
      </c>
      <c r="M36" s="92">
        <v>0</v>
      </c>
      <c r="N36" s="154">
        <f>SUM(B36:M36)</f>
        <v>0</v>
      </c>
      <c r="O36" s="105">
        <f ca="1"/>
        <v>0</v>
      </c>
    </row>
    <row r="37" spans="1:15">
      <c r="A37" s="106" t="str">
        <v>Electricity (Low Season)</v>
      </c>
      <c r="B37" s="90">
        <v>0</v>
      </c>
      <c r="C37" s="91">
        <v>0</v>
      </c>
      <c r="D37" s="91">
        <v>0</v>
      </c>
      <c r="E37" s="91">
        <v>0</v>
      </c>
      <c r="F37" s="91">
        <v>0</v>
      </c>
      <c r="G37" s="91">
        <v>0</v>
      </c>
      <c r="H37" s="91">
        <v>0</v>
      </c>
      <c r="I37" s="91">
        <v>0</v>
      </c>
      <c r="J37" s="91">
        <v>0</v>
      </c>
      <c r="K37" s="91">
        <v>0</v>
      </c>
      <c r="L37" s="91">
        <v>0</v>
      </c>
      <c r="M37" s="92">
        <v>0</v>
      </c>
      <c r="N37" s="154">
        <f t="shared" si="5"/>
        <v>0</v>
      </c>
      <c r="O37" s="105">
        <f ca="1"/>
        <v>0</v>
      </c>
    </row>
    <row r="38" spans="1:15">
      <c r="A38" s="106" t="str">
        <v>Electricity (High Season)</v>
      </c>
      <c r="B38" s="90">
        <v>0</v>
      </c>
      <c r="C38" s="91">
        <v>0</v>
      </c>
      <c r="D38" s="91">
        <v>0</v>
      </c>
      <c r="E38" s="91">
        <v>0</v>
      </c>
      <c r="F38" s="91">
        <v>0</v>
      </c>
      <c r="G38" s="91">
        <v>0</v>
      </c>
      <c r="H38" s="91">
        <v>0</v>
      </c>
      <c r="I38" s="91">
        <v>0</v>
      </c>
      <c r="J38" s="91">
        <v>0</v>
      </c>
      <c r="K38" s="91">
        <v>0</v>
      </c>
      <c r="L38" s="91">
        <v>0</v>
      </c>
      <c r="M38" s="92">
        <v>0</v>
      </c>
      <c r="N38" s="154">
        <f t="shared" si="5"/>
        <v>0</v>
      </c>
      <c r="O38" s="105">
        <f ca="1"/>
        <v>0</v>
      </c>
    </row>
    <row r="39" spans="1:15">
      <c r="A39" s="106" t="str">
        <v>Water supply, sanitation &amp; garbage fees</v>
      </c>
      <c r="B39" s="90">
        <v>0</v>
      </c>
      <c r="C39" s="91">
        <v>0</v>
      </c>
      <c r="D39" s="91">
        <v>0</v>
      </c>
      <c r="E39" s="91">
        <v>0</v>
      </c>
      <c r="F39" s="91">
        <v>0</v>
      </c>
      <c r="G39" s="91">
        <v>0</v>
      </c>
      <c r="H39" s="91">
        <v>0</v>
      </c>
      <c r="I39" s="91">
        <v>0</v>
      </c>
      <c r="J39" s="91">
        <v>0</v>
      </c>
      <c r="K39" s="91">
        <v>0</v>
      </c>
      <c r="L39" s="91">
        <v>0</v>
      </c>
      <c r="M39" s="92">
        <v>0</v>
      </c>
      <c r="N39" s="154">
        <f t="shared" si="5"/>
        <v>0</v>
      </c>
      <c r="O39" s="105">
        <f ca="1"/>
        <v>0</v>
      </c>
    </row>
    <row r="40" spans="1:15">
      <c r="A40" s="106" t="str">
        <v>Other supplies (gas, etc.)</v>
      </c>
      <c r="B40" s="90">
        <v>0</v>
      </c>
      <c r="C40" s="91">
        <v>0</v>
      </c>
      <c r="D40" s="91">
        <v>0</v>
      </c>
      <c r="E40" s="91">
        <v>0</v>
      </c>
      <c r="F40" s="91">
        <v>0</v>
      </c>
      <c r="G40" s="91">
        <v>0</v>
      </c>
      <c r="H40" s="91">
        <v>0</v>
      </c>
      <c r="I40" s="91">
        <v>0</v>
      </c>
      <c r="J40" s="91">
        <v>0</v>
      </c>
      <c r="K40" s="91">
        <v>0</v>
      </c>
      <c r="L40" s="91">
        <v>0</v>
      </c>
      <c r="M40" s="92">
        <v>0</v>
      </c>
      <c r="N40" s="154">
        <f t="shared" si="5"/>
        <v>0</v>
      </c>
      <c r="O40" s="105">
        <f ca="1"/>
        <v>0</v>
      </c>
    </row>
    <row r="41" spans="1:15">
      <c r="A41" s="106" t="str">
        <v>Phone / internet conection</v>
      </c>
      <c r="B41" s="90">
        <v>0</v>
      </c>
      <c r="C41" s="91">
        <v>0</v>
      </c>
      <c r="D41" s="91">
        <v>0</v>
      </c>
      <c r="E41" s="91">
        <v>0</v>
      </c>
      <c r="F41" s="91">
        <v>0</v>
      </c>
      <c r="G41" s="91">
        <v>0</v>
      </c>
      <c r="H41" s="91">
        <v>0</v>
      </c>
      <c r="I41" s="91">
        <v>0</v>
      </c>
      <c r="J41" s="91">
        <v>0</v>
      </c>
      <c r="K41" s="91">
        <v>0</v>
      </c>
      <c r="L41" s="91">
        <v>0</v>
      </c>
      <c r="M41" s="92">
        <v>0</v>
      </c>
      <c r="N41" s="154">
        <f>SUM(B41:M41)</f>
        <v>0</v>
      </c>
      <c r="O41" s="105">
        <f ca="1"/>
        <v>0</v>
      </c>
    </row>
    <row r="42" spans="1:15">
      <c r="A42" s="106" t="str">
        <v>Web services &amp; hosting</v>
      </c>
      <c r="B42" s="90">
        <v>0</v>
      </c>
      <c r="C42" s="91">
        <v>0</v>
      </c>
      <c r="D42" s="91">
        <v>0</v>
      </c>
      <c r="E42" s="91">
        <v>0</v>
      </c>
      <c r="F42" s="91">
        <v>0</v>
      </c>
      <c r="G42" s="91">
        <v>0</v>
      </c>
      <c r="H42" s="91">
        <v>0</v>
      </c>
      <c r="I42" s="91">
        <v>0</v>
      </c>
      <c r="J42" s="91">
        <v>0</v>
      </c>
      <c r="K42" s="91">
        <v>0</v>
      </c>
      <c r="L42" s="91">
        <v>0</v>
      </c>
      <c r="M42" s="92">
        <v>0</v>
      </c>
      <c r="N42" s="154">
        <f>SUM(B42:M42)</f>
        <v>0</v>
      </c>
      <c r="O42" s="105">
        <f ca="1"/>
        <v>0</v>
      </c>
    </row>
    <row r="43" spans="1:15">
      <c r="A43" s="106" t="str">
        <v>Alarm / Security service</v>
      </c>
      <c r="B43" s="90">
        <v>0</v>
      </c>
      <c r="C43" s="91">
        <v>0</v>
      </c>
      <c r="D43" s="91">
        <v>0</v>
      </c>
      <c r="E43" s="91">
        <v>0</v>
      </c>
      <c r="F43" s="91">
        <v>0</v>
      </c>
      <c r="G43" s="91">
        <v>0</v>
      </c>
      <c r="H43" s="91">
        <v>0</v>
      </c>
      <c r="I43" s="91">
        <v>0</v>
      </c>
      <c r="J43" s="91">
        <v>0</v>
      </c>
      <c r="K43" s="91">
        <v>0</v>
      </c>
      <c r="L43" s="91">
        <v>0</v>
      </c>
      <c r="M43" s="92">
        <v>0</v>
      </c>
      <c r="N43" s="154">
        <f>SUM(B43:M43)</f>
        <v>0</v>
      </c>
      <c r="O43" s="105">
        <f ca="1"/>
        <v>0</v>
      </c>
    </row>
    <row r="44" spans="1:15">
      <c r="A44" s="106" t="str">
        <v>stationery/office supplies</v>
      </c>
      <c r="B44" s="90">
        <v>0</v>
      </c>
      <c r="C44" s="91">
        <v>0</v>
      </c>
      <c r="D44" s="91">
        <v>0</v>
      </c>
      <c r="E44" s="91">
        <v>0</v>
      </c>
      <c r="F44" s="91">
        <v>0</v>
      </c>
      <c r="G44" s="91">
        <v>0</v>
      </c>
      <c r="H44" s="91">
        <v>0</v>
      </c>
      <c r="I44" s="91">
        <v>0</v>
      </c>
      <c r="J44" s="91">
        <v>0</v>
      </c>
      <c r="K44" s="91">
        <v>0</v>
      </c>
      <c r="L44" s="91">
        <v>0</v>
      </c>
      <c r="M44" s="92">
        <v>0</v>
      </c>
      <c r="N44" s="154">
        <f t="shared" si="5"/>
        <v>0</v>
      </c>
      <c r="O44" s="105">
        <f ca="1"/>
        <v>0</v>
      </c>
    </row>
    <row r="45" spans="1:15">
      <c r="A45" s="106" t="str">
        <v xml:space="preserve">Congresses / Profesional Fairs </v>
      </c>
      <c r="B45" s="90">
        <v>0</v>
      </c>
      <c r="C45" s="91">
        <v>0</v>
      </c>
      <c r="D45" s="91">
        <v>0</v>
      </c>
      <c r="E45" s="91">
        <v>0</v>
      </c>
      <c r="F45" s="91">
        <v>0</v>
      </c>
      <c r="G45" s="91">
        <v>0</v>
      </c>
      <c r="H45" s="91">
        <v>0</v>
      </c>
      <c r="I45" s="91">
        <v>0</v>
      </c>
      <c r="J45" s="91">
        <v>0</v>
      </c>
      <c r="K45" s="91">
        <v>0</v>
      </c>
      <c r="L45" s="91">
        <v>0</v>
      </c>
      <c r="M45" s="92">
        <v>0</v>
      </c>
      <c r="N45" s="154">
        <f t="shared" si="5"/>
        <v>0</v>
      </c>
      <c r="O45" s="105">
        <f ca="1"/>
        <v>0</v>
      </c>
    </row>
    <row r="46" spans="1:15">
      <c r="A46" s="106" t="str">
        <v>Transportation &amp; Travelling</v>
      </c>
      <c r="B46" s="90">
        <v>0</v>
      </c>
      <c r="C46" s="91">
        <v>0</v>
      </c>
      <c r="D46" s="91">
        <v>0</v>
      </c>
      <c r="E46" s="91">
        <v>0</v>
      </c>
      <c r="F46" s="91">
        <v>0</v>
      </c>
      <c r="G46" s="91">
        <v>0</v>
      </c>
      <c r="H46" s="91">
        <v>0</v>
      </c>
      <c r="I46" s="91">
        <v>0</v>
      </c>
      <c r="J46" s="91">
        <v>0</v>
      </c>
      <c r="K46" s="91">
        <v>0</v>
      </c>
      <c r="L46" s="91">
        <v>0</v>
      </c>
      <c r="M46" s="92">
        <v>0</v>
      </c>
      <c r="N46" s="154">
        <f>SUM(B46:M46)</f>
        <v>0</v>
      </c>
      <c r="O46" s="105">
        <f ca="1"/>
        <v>0</v>
      </c>
    </row>
    <row r="47" spans="1:15">
      <c r="A47" s="106" t="str">
        <v>Consultants &amp; independent professionals</v>
      </c>
      <c r="B47" s="90">
        <v>0</v>
      </c>
      <c r="C47" s="91">
        <v>0</v>
      </c>
      <c r="D47" s="91">
        <v>0</v>
      </c>
      <c r="E47" s="91">
        <v>0</v>
      </c>
      <c r="F47" s="91">
        <v>0</v>
      </c>
      <c r="G47" s="91">
        <v>0</v>
      </c>
      <c r="H47" s="91">
        <v>0</v>
      </c>
      <c r="I47" s="91">
        <v>0</v>
      </c>
      <c r="J47" s="91">
        <v>0</v>
      </c>
      <c r="K47" s="91">
        <v>0</v>
      </c>
      <c r="L47" s="91">
        <v>0</v>
      </c>
      <c r="M47" s="92">
        <v>0</v>
      </c>
      <c r="N47" s="154">
        <f t="shared" si="5"/>
        <v>0</v>
      </c>
      <c r="O47" s="105">
        <f ca="1"/>
        <v>0</v>
      </c>
    </row>
    <row r="48" spans="1:15">
      <c r="A48" s="106" t="str">
        <v>Rental fees &amp; expenses</v>
      </c>
      <c r="B48" s="90">
        <v>0</v>
      </c>
      <c r="C48" s="91">
        <v>0</v>
      </c>
      <c r="D48" s="91">
        <v>0</v>
      </c>
      <c r="E48" s="91">
        <v>0</v>
      </c>
      <c r="F48" s="91">
        <v>0</v>
      </c>
      <c r="G48" s="91">
        <v>0</v>
      </c>
      <c r="H48" s="91">
        <v>0</v>
      </c>
      <c r="I48" s="91">
        <v>0</v>
      </c>
      <c r="J48" s="91">
        <v>0</v>
      </c>
      <c r="K48" s="91">
        <v>0</v>
      </c>
      <c r="L48" s="91">
        <v>0</v>
      </c>
      <c r="M48" s="92">
        <v>0</v>
      </c>
      <c r="N48" s="154">
        <f t="shared" si="5"/>
        <v>0</v>
      </c>
      <c r="O48" s="105">
        <f ca="1"/>
        <v>0</v>
      </c>
    </row>
    <row r="49" spans="1:15">
      <c r="A49" s="106" t="str">
        <v>Online Variable Marketing expenses</v>
      </c>
      <c r="B49" s="90">
        <f ca="1"/>
        <v>10.3</v>
      </c>
      <c r="C49" s="91">
        <f ca="1"/>
        <v>10.3</v>
      </c>
      <c r="D49" s="91">
        <f ca="1"/>
        <v>10.3</v>
      </c>
      <c r="E49" s="91">
        <f ca="1"/>
        <v>10.3</v>
      </c>
      <c r="F49" s="91">
        <f ca="1"/>
        <v>10.3</v>
      </c>
      <c r="G49" s="91">
        <f ca="1"/>
        <v>10.3</v>
      </c>
      <c r="H49" s="91">
        <f ca="1"/>
        <v>10.3</v>
      </c>
      <c r="I49" s="91">
        <f ca="1"/>
        <v>10.3</v>
      </c>
      <c r="J49" s="91">
        <f ca="1"/>
        <v>10.3</v>
      </c>
      <c r="K49" s="91">
        <f ca="1"/>
        <v>10.3</v>
      </c>
      <c r="L49" s="91">
        <f ca="1"/>
        <v>10.3</v>
      </c>
      <c r="M49" s="92">
        <f ca="1"/>
        <v>10.3</v>
      </c>
      <c r="N49" s="154">
        <f ca="1">SUM(B49:M49)</f>
        <v>123.59999999999998</v>
      </c>
      <c r="O49" s="105">
        <f ca="1"/>
        <v>7.5692327590514792E-3</v>
      </c>
    </row>
    <row r="50" spans="1:15">
      <c r="A50" s="106" t="str">
        <v>Online Fixed Marketing expenses</v>
      </c>
      <c r="B50" s="90">
        <v>0</v>
      </c>
      <c r="C50" s="91">
        <v>0</v>
      </c>
      <c r="D50" s="91">
        <v>0</v>
      </c>
      <c r="E50" s="91">
        <v>0</v>
      </c>
      <c r="F50" s="91">
        <v>0</v>
      </c>
      <c r="G50" s="91">
        <v>0</v>
      </c>
      <c r="H50" s="91">
        <v>0</v>
      </c>
      <c r="I50" s="91">
        <v>0</v>
      </c>
      <c r="J50" s="91">
        <v>0</v>
      </c>
      <c r="K50" s="91">
        <v>0</v>
      </c>
      <c r="L50" s="91">
        <v>0</v>
      </c>
      <c r="M50" s="92">
        <v>0</v>
      </c>
      <c r="N50" s="154">
        <f>SUM(B50:M50)</f>
        <v>0</v>
      </c>
      <c r="O50" s="105">
        <f ca="1"/>
        <v>0</v>
      </c>
    </row>
    <row r="51" spans="1:15">
      <c r="A51" s="106" t="str">
        <v>Offline Variable Marketing expenses</v>
      </c>
      <c r="B51" s="90">
        <f ca="1"/>
        <v>20.6</v>
      </c>
      <c r="C51" s="91">
        <f ca="1"/>
        <v>20.6</v>
      </c>
      <c r="D51" s="91">
        <f ca="1"/>
        <v>20.6</v>
      </c>
      <c r="E51" s="91">
        <f ca="1"/>
        <v>20.6</v>
      </c>
      <c r="F51" s="91">
        <f ca="1"/>
        <v>20.6</v>
      </c>
      <c r="G51" s="91">
        <f ca="1"/>
        <v>20.6</v>
      </c>
      <c r="H51" s="91">
        <f ca="1"/>
        <v>20.6</v>
      </c>
      <c r="I51" s="91">
        <f ca="1"/>
        <v>20.6</v>
      </c>
      <c r="J51" s="91">
        <f ca="1"/>
        <v>20.6</v>
      </c>
      <c r="K51" s="91">
        <f ca="1"/>
        <v>20.6</v>
      </c>
      <c r="L51" s="91">
        <f ca="1"/>
        <v>20.6</v>
      </c>
      <c r="M51" s="92">
        <f ca="1"/>
        <v>20.6</v>
      </c>
      <c r="N51" s="154">
        <f t="shared" ca="1" si="5"/>
        <v>247.19999999999996</v>
      </c>
      <c r="O51" s="105">
        <f ca="1"/>
        <v>1.5138465518102958E-2</v>
      </c>
    </row>
    <row r="52" spans="1:15">
      <c r="A52" s="106" t="str">
        <v>Offline Fixed Marketing expenses</v>
      </c>
      <c r="B52" s="90">
        <v>0</v>
      </c>
      <c r="C52" s="91">
        <v>0</v>
      </c>
      <c r="D52" s="91">
        <v>0</v>
      </c>
      <c r="E52" s="91">
        <v>0</v>
      </c>
      <c r="F52" s="91">
        <v>0</v>
      </c>
      <c r="G52" s="91">
        <v>0</v>
      </c>
      <c r="H52" s="91">
        <v>0</v>
      </c>
      <c r="I52" s="91">
        <v>0</v>
      </c>
      <c r="J52" s="91">
        <v>0</v>
      </c>
      <c r="K52" s="91">
        <v>0</v>
      </c>
      <c r="L52" s="91">
        <v>0</v>
      </c>
      <c r="M52" s="92">
        <v>0</v>
      </c>
      <c r="N52" s="154">
        <f t="shared" si="5"/>
        <v>0</v>
      </c>
      <c r="O52" s="105">
        <f ca="1"/>
        <v>0</v>
      </c>
    </row>
    <row r="53" spans="1:15">
      <c r="A53" s="106" t="str">
        <v>Maintenance &amp; repairs</v>
      </c>
      <c r="B53" s="90">
        <v>0</v>
      </c>
      <c r="C53" s="91">
        <v>0</v>
      </c>
      <c r="D53" s="91">
        <v>0</v>
      </c>
      <c r="E53" s="91">
        <v>0</v>
      </c>
      <c r="F53" s="91">
        <v>0</v>
      </c>
      <c r="G53" s="91">
        <v>0</v>
      </c>
      <c r="H53" s="91">
        <v>0</v>
      </c>
      <c r="I53" s="91">
        <v>0</v>
      </c>
      <c r="J53" s="91">
        <v>0</v>
      </c>
      <c r="K53" s="91">
        <v>0</v>
      </c>
      <c r="L53" s="91">
        <v>0</v>
      </c>
      <c r="M53" s="92">
        <v>0</v>
      </c>
      <c r="N53" s="154">
        <f t="shared" si="5"/>
        <v>0</v>
      </c>
      <c r="O53" s="105">
        <f ca="1"/>
        <v>0</v>
      </c>
    </row>
    <row r="54" spans="1:15" ht="15.75" thickBot="1">
      <c r="A54" s="106" t="str">
        <v>Other unexpected expenses</v>
      </c>
      <c r="B54" s="90">
        <f ca="1"/>
        <v>1.8719999999999999</v>
      </c>
      <c r="C54" s="91">
        <f ca="1"/>
        <v>1.8719999999999999</v>
      </c>
      <c r="D54" s="91">
        <f ca="1"/>
        <v>1.8719999999999999</v>
      </c>
      <c r="E54" s="91">
        <f ca="1"/>
        <v>1.8719999999999999</v>
      </c>
      <c r="F54" s="91">
        <f ca="1"/>
        <v>1.8719999999999999</v>
      </c>
      <c r="G54" s="91">
        <f ca="1"/>
        <v>1.8719999999999999</v>
      </c>
      <c r="H54" s="91">
        <f ca="1"/>
        <v>1.8719999999999999</v>
      </c>
      <c r="I54" s="91">
        <f ca="1"/>
        <v>1.8719999999999999</v>
      </c>
      <c r="J54" s="91">
        <f ca="1"/>
        <v>1.8719999999999999</v>
      </c>
      <c r="K54" s="91">
        <f ca="1"/>
        <v>1.8719999999999999</v>
      </c>
      <c r="L54" s="91">
        <f ca="1"/>
        <v>1.8719999999999999</v>
      </c>
      <c r="M54" s="92">
        <f ca="1"/>
        <v>1.8719999999999999</v>
      </c>
      <c r="N54" s="154">
        <f t="shared" ca="1" si="5"/>
        <v>22.463999999999999</v>
      </c>
      <c r="O54" s="105">
        <f ca="1"/>
        <v>1.3756896820334339E-3</v>
      </c>
    </row>
    <row r="55" spans="1:15" ht="15.75" thickBot="1">
      <c r="A55" s="2418" t="str">
        <f>'Fixed Expenses 0'!A55</f>
        <v>Monthly Total Other Fixed Exp.</v>
      </c>
      <c r="B55" s="2893">
        <f ca="1">SUM(B33:B54)</f>
        <v>32.772000000000006</v>
      </c>
      <c r="C55" s="2893">
        <f t="shared" ref="C55:M55" ca="1" si="6">SUM(C33:C54)</f>
        <v>32.772000000000006</v>
      </c>
      <c r="D55" s="2893">
        <f t="shared" ca="1" si="6"/>
        <v>32.772000000000006</v>
      </c>
      <c r="E55" s="2893">
        <f t="shared" ca="1" si="6"/>
        <v>32.772000000000006</v>
      </c>
      <c r="F55" s="2893">
        <f t="shared" ca="1" si="6"/>
        <v>32.772000000000006</v>
      </c>
      <c r="G55" s="2893">
        <f t="shared" ca="1" si="6"/>
        <v>32.772000000000006</v>
      </c>
      <c r="H55" s="2893">
        <f t="shared" ca="1" si="6"/>
        <v>32.772000000000006</v>
      </c>
      <c r="I55" s="2893">
        <f t="shared" ca="1" si="6"/>
        <v>32.772000000000006</v>
      </c>
      <c r="J55" s="2893">
        <f t="shared" ca="1" si="6"/>
        <v>32.772000000000006</v>
      </c>
      <c r="K55" s="2893">
        <f t="shared" ca="1" si="6"/>
        <v>32.772000000000006</v>
      </c>
      <c r="L55" s="2893">
        <f t="shared" ca="1" si="6"/>
        <v>32.772000000000006</v>
      </c>
      <c r="M55" s="2893">
        <f t="shared" ca="1" si="6"/>
        <v>32.772000000000006</v>
      </c>
      <c r="N55" s="85">
        <f ca="1">SUM(N33:N54)</f>
        <v>393.26399999999995</v>
      </c>
      <c r="O55" s="109">
        <f ca="1">N55/$N$58</f>
        <v>2.4083387959187873E-2</v>
      </c>
    </row>
    <row r="56" spans="1:15">
      <c r="A56" s="86"/>
      <c r="B56" s="99"/>
      <c r="C56" s="99"/>
      <c r="D56" s="99"/>
      <c r="E56" s="99"/>
      <c r="F56" s="99"/>
      <c r="G56" s="99"/>
      <c r="H56" s="99"/>
      <c r="I56" s="99"/>
      <c r="J56" s="99"/>
      <c r="K56" s="99"/>
      <c r="L56" s="99"/>
      <c r="M56" s="99"/>
      <c r="N56" s="61"/>
      <c r="O56" s="98"/>
    </row>
    <row r="57" spans="1:15" ht="15.75" thickBot="1">
      <c r="A57" s="86"/>
      <c r="B57" s="99"/>
      <c r="C57" s="99"/>
      <c r="D57" s="99"/>
      <c r="E57" s="99"/>
      <c r="F57" s="99"/>
      <c r="G57" s="99"/>
      <c r="H57" s="99"/>
      <c r="I57" s="99"/>
      <c r="J57" s="99"/>
      <c r="K57" s="99"/>
      <c r="L57" s="99"/>
      <c r="M57" s="99"/>
      <c r="N57" s="61"/>
      <c r="O57" s="98"/>
    </row>
    <row r="58" spans="1:15" ht="15.75" thickBot="1">
      <c r="A58" s="2420" t="str">
        <f>'Fixed Expenses 0'!A58</f>
        <v>Other Fixed Expenses Total</v>
      </c>
      <c r="B58" s="2898">
        <f t="array" aca="1" ref="B58:M58" ca="1">B27:M27+B55:M55</f>
        <v>1360.7719999999999</v>
      </c>
      <c r="C58" s="2899">
        <f ca="1"/>
        <v>1360.7719999999999</v>
      </c>
      <c r="D58" s="2899">
        <f ca="1"/>
        <v>1360.7719999999999</v>
      </c>
      <c r="E58" s="2899">
        <f ca="1"/>
        <v>1360.7719999999999</v>
      </c>
      <c r="F58" s="2899">
        <f ca="1"/>
        <v>1360.7719999999999</v>
      </c>
      <c r="G58" s="2899">
        <f ca="1"/>
        <v>1360.7719999999999</v>
      </c>
      <c r="H58" s="2899">
        <f ca="1"/>
        <v>1360.7719999999999</v>
      </c>
      <c r="I58" s="2899">
        <f ca="1"/>
        <v>1360.7719999999999</v>
      </c>
      <c r="J58" s="2899">
        <f ca="1"/>
        <v>1360.7719999999999</v>
      </c>
      <c r="K58" s="2899">
        <f ca="1"/>
        <v>1360.7719999999999</v>
      </c>
      <c r="L58" s="2899">
        <f ca="1"/>
        <v>1360.7719999999999</v>
      </c>
      <c r="M58" s="2900">
        <f ca="1"/>
        <v>1360.7719999999999</v>
      </c>
      <c r="N58" s="143">
        <f ca="1">N27+N55</f>
        <v>16329.263999999999</v>
      </c>
      <c r="O58" s="98"/>
    </row>
    <row r="59" spans="1:15" ht="15.75" thickBot="1">
      <c r="O59" s="98"/>
    </row>
    <row r="60" spans="1:15" ht="15.75" thickBot="1">
      <c r="A60" s="144" t="str">
        <f>'Fixed Expenses 0'!A60</f>
        <v>Input VAT from Fixed Expenses</v>
      </c>
      <c r="B60" s="2901">
        <f ca="1">Parameters!$F$33*SUM(B37:B54)</f>
        <v>6.8821200000000013</v>
      </c>
      <c r="C60" s="2902">
        <f ca="1">Parameters!$F$33*SUM(C37:C54)</f>
        <v>6.8821200000000013</v>
      </c>
      <c r="D60" s="2902">
        <f ca="1">Parameters!$F$33*SUM(D37:D54)</f>
        <v>6.8821200000000013</v>
      </c>
      <c r="E60" s="2902">
        <f ca="1">Parameters!$F$33*SUM(E37:E54)</f>
        <v>6.8821200000000013</v>
      </c>
      <c r="F60" s="2902">
        <f ca="1">Parameters!$F$33*SUM(F37:F54)</f>
        <v>6.8821200000000013</v>
      </c>
      <c r="G60" s="2902">
        <f ca="1">Parameters!$F$33*SUM(G37:G54)</f>
        <v>6.8821200000000013</v>
      </c>
      <c r="H60" s="2902">
        <f ca="1">Parameters!$F$33*SUM(H37:H54)</f>
        <v>6.8821200000000013</v>
      </c>
      <c r="I60" s="2902">
        <f ca="1">Parameters!$F$33*SUM(I37:I54)</f>
        <v>6.8821200000000013</v>
      </c>
      <c r="J60" s="2902">
        <f ca="1">Parameters!$F$33*SUM(J37:J54)</f>
        <v>6.8821200000000013</v>
      </c>
      <c r="K60" s="2902">
        <f ca="1">Parameters!$F$33*SUM(K37:K54)</f>
        <v>6.8821200000000013</v>
      </c>
      <c r="L60" s="2902">
        <f ca="1">Parameters!$F$33*SUM(L37:L54)</f>
        <v>6.8821200000000013</v>
      </c>
      <c r="M60" s="2903">
        <f ca="1">Parameters!$F$33*SUM(M37:M54)</f>
        <v>6.8821200000000013</v>
      </c>
      <c r="N60" s="143">
        <f ca="1">SUM(B60:M60)</f>
        <v>82.58544000000002</v>
      </c>
    </row>
  </sheetData>
  <sheetProtection sheet="1" objects="1" scenarios="1"/>
  <phoneticPr fontId="7" type="noConversion"/>
  <printOptions horizontalCentered="1"/>
  <pageMargins left="0.75" right="0.75" top="0.56999999999999995" bottom="0.52" header="0" footer="0"/>
  <pageSetup paperSize="9" scale="60" orientation="landscape" horizontalDpi="300"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indexed="42"/>
    <pageSetUpPr fitToPage="1"/>
  </sheetPr>
  <dimension ref="A1:O60"/>
  <sheetViews>
    <sheetView zoomScale="75" workbookViewId="0">
      <pane xSplit="1" ySplit="2" topLeftCell="B3" activePane="bottomRight" state="frozenSplit"/>
      <selection activeCell="B3" sqref="B3"/>
      <selection pane="topRight" activeCell="B3" sqref="B3"/>
      <selection pane="bottomLeft" activeCell="B3" sqref="B3"/>
      <selection pane="bottomRight" activeCell="B3" sqref="B3"/>
    </sheetView>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7" customFormat="1" ht="22.5">
      <c r="A1" s="66" t="str">
        <f>'Fixed Expenses 0'!A1</f>
        <v>Fixed Expenses Forecast</v>
      </c>
      <c r="B1" s="66"/>
      <c r="C1" s="66"/>
      <c r="D1" s="66"/>
      <c r="E1" s="2398" t="str">
        <f>Parameters!D$77</f>
        <v>Year 2:   2028</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5" t="str">
        <f>'Fixed Expenses 0'!A4</f>
        <v>Labour Expenses</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tr">
        <f>'Fixed Expenses 0'!$N$4</f>
        <v>Totals</v>
      </c>
      <c r="O4" s="102" t="s">
        <v>3</v>
      </c>
    </row>
    <row r="5" spans="1:15" ht="15.75" thickBot="1">
      <c r="A5" s="2063"/>
      <c r="B5" s="115"/>
      <c r="C5" s="116"/>
      <c r="D5" s="116"/>
      <c r="E5" s="116"/>
      <c r="F5" s="116"/>
      <c r="G5" s="116"/>
      <c r="H5" s="116"/>
      <c r="I5" s="116"/>
      <c r="J5" s="116"/>
      <c r="K5" s="116"/>
      <c r="L5" s="116"/>
      <c r="M5" s="117"/>
      <c r="N5" s="113"/>
      <c r="O5" s="114"/>
    </row>
    <row r="6" spans="1:15">
      <c r="A6" s="2776" t="str">
        <f>'Fixed Expenses 0'!A6</f>
        <v>Wages &amp; Sallaries</v>
      </c>
      <c r="B6" s="87"/>
      <c r="C6" s="88"/>
      <c r="D6" s="88"/>
      <c r="E6" s="88"/>
      <c r="F6" s="88"/>
      <c r="G6" s="88"/>
      <c r="H6" s="88"/>
      <c r="I6" s="88"/>
      <c r="J6" s="88"/>
      <c r="K6" s="88"/>
      <c r="L6" s="88"/>
      <c r="M6" s="89"/>
      <c r="N6" s="75"/>
      <c r="O6" s="104"/>
    </row>
    <row r="7" spans="1:15">
      <c r="A7" s="2777" t="str">
        <f t="array" ref="A7:A14">catlaborales</f>
        <v>Working Owners / Self employees</v>
      </c>
      <c r="B7" s="90">
        <f t="array" ref="B7:M14">Staff!$D19:$D26*'Detailed Staff'!C47:N54</f>
        <v>1297.92</v>
      </c>
      <c r="C7" s="91">
        <v>1297.92</v>
      </c>
      <c r="D7" s="91">
        <v>1297.92</v>
      </c>
      <c r="E7" s="91">
        <v>1297.92</v>
      </c>
      <c r="F7" s="91">
        <v>1297.92</v>
      </c>
      <c r="G7" s="91">
        <v>1297.92</v>
      </c>
      <c r="H7" s="91">
        <v>1297.92</v>
      </c>
      <c r="I7" s="91">
        <v>1297.92</v>
      </c>
      <c r="J7" s="91">
        <v>1297.92</v>
      </c>
      <c r="K7" s="91">
        <v>1297.92</v>
      </c>
      <c r="L7" s="91">
        <v>1297.92</v>
      </c>
      <c r="M7" s="92">
        <v>1297.92</v>
      </c>
      <c r="N7" s="96">
        <f t="shared" ref="N7:N14" si="0">SUM(B7:M7)</f>
        <v>15575.04</v>
      </c>
      <c r="O7" s="105">
        <f t="array" aca="1" ref="O7:O15" ca="1">N7:N15/$N$27</f>
        <v>0.94194147700882491</v>
      </c>
    </row>
    <row r="8" spans="1:15">
      <c r="A8" s="2777" t="str">
        <v>Other non staff not employees</v>
      </c>
      <c r="B8" s="90">
        <v>0</v>
      </c>
      <c r="C8" s="91">
        <v>0</v>
      </c>
      <c r="D8" s="91">
        <v>0</v>
      </c>
      <c r="E8" s="91">
        <v>0</v>
      </c>
      <c r="F8" s="91">
        <v>0</v>
      </c>
      <c r="G8" s="91">
        <v>0</v>
      </c>
      <c r="H8" s="91">
        <v>0</v>
      </c>
      <c r="I8" s="91">
        <v>0</v>
      </c>
      <c r="J8" s="91">
        <v>0</v>
      </c>
      <c r="K8" s="91">
        <v>0</v>
      </c>
      <c r="L8" s="91">
        <v>0</v>
      </c>
      <c r="M8" s="92">
        <v>0</v>
      </c>
      <c r="N8" s="96">
        <f t="shared" si="0"/>
        <v>0</v>
      </c>
      <c r="O8" s="105">
        <f ca="1"/>
        <v>0</v>
      </c>
    </row>
    <row r="9" spans="1:15">
      <c r="A9" s="2777" t="str">
        <v>Staff / employees</v>
      </c>
      <c r="B9" s="90">
        <v>0</v>
      </c>
      <c r="C9" s="91">
        <v>0</v>
      </c>
      <c r="D9" s="91">
        <v>0</v>
      </c>
      <c r="E9" s="91">
        <v>0</v>
      </c>
      <c r="F9" s="91">
        <v>0</v>
      </c>
      <c r="G9" s="91">
        <v>0</v>
      </c>
      <c r="H9" s="91">
        <v>0</v>
      </c>
      <c r="I9" s="91">
        <v>0</v>
      </c>
      <c r="J9" s="91">
        <v>0</v>
      </c>
      <c r="K9" s="91">
        <v>0</v>
      </c>
      <c r="L9" s="91">
        <v>0</v>
      </c>
      <c r="M9" s="92">
        <v>0</v>
      </c>
      <c r="N9" s="96">
        <f t="shared" si="0"/>
        <v>0</v>
      </c>
      <c r="O9" s="105">
        <f ca="1"/>
        <v>0</v>
      </c>
    </row>
    <row r="10" spans="1:15">
      <c r="A10" s="2777" t="str">
        <v/>
      </c>
      <c r="B10" s="90">
        <v>0</v>
      </c>
      <c r="C10" s="91">
        <v>0</v>
      </c>
      <c r="D10" s="91">
        <v>0</v>
      </c>
      <c r="E10" s="91">
        <v>0</v>
      </c>
      <c r="F10" s="91">
        <v>0</v>
      </c>
      <c r="G10" s="91">
        <v>0</v>
      </c>
      <c r="H10" s="91">
        <v>0</v>
      </c>
      <c r="I10" s="91">
        <v>0</v>
      </c>
      <c r="J10" s="91">
        <v>0</v>
      </c>
      <c r="K10" s="91">
        <v>0</v>
      </c>
      <c r="L10" s="91">
        <v>0</v>
      </c>
      <c r="M10" s="92">
        <v>0</v>
      </c>
      <c r="N10" s="96">
        <f t="shared" si="0"/>
        <v>0</v>
      </c>
      <c r="O10" s="105">
        <f ca="1"/>
        <v>0</v>
      </c>
    </row>
    <row r="11" spans="1:15">
      <c r="A11" s="2777" t="str">
        <v/>
      </c>
      <c r="B11" s="90">
        <v>0</v>
      </c>
      <c r="C11" s="91">
        <v>0</v>
      </c>
      <c r="D11" s="91">
        <v>0</v>
      </c>
      <c r="E11" s="91">
        <v>0</v>
      </c>
      <c r="F11" s="91">
        <v>0</v>
      </c>
      <c r="G11" s="91">
        <v>0</v>
      </c>
      <c r="H11" s="91">
        <v>0</v>
      </c>
      <c r="I11" s="91">
        <v>0</v>
      </c>
      <c r="J11" s="91">
        <v>0</v>
      </c>
      <c r="K11" s="91">
        <v>0</v>
      </c>
      <c r="L11" s="91">
        <v>0</v>
      </c>
      <c r="M11" s="92">
        <v>0</v>
      </c>
      <c r="N11" s="96">
        <f t="shared" si="0"/>
        <v>0</v>
      </c>
      <c r="O11" s="105">
        <f ca="1"/>
        <v>0</v>
      </c>
    </row>
    <row r="12" spans="1:15">
      <c r="A12" s="2777" t="str">
        <v/>
      </c>
      <c r="B12" s="90">
        <v>0</v>
      </c>
      <c r="C12" s="91">
        <v>0</v>
      </c>
      <c r="D12" s="91">
        <v>0</v>
      </c>
      <c r="E12" s="91">
        <v>0</v>
      </c>
      <c r="F12" s="91">
        <v>0</v>
      </c>
      <c r="G12" s="91">
        <v>0</v>
      </c>
      <c r="H12" s="91">
        <v>0</v>
      </c>
      <c r="I12" s="91">
        <v>0</v>
      </c>
      <c r="J12" s="91">
        <v>0</v>
      </c>
      <c r="K12" s="91">
        <v>0</v>
      </c>
      <c r="L12" s="91">
        <v>0</v>
      </c>
      <c r="M12" s="92">
        <v>0</v>
      </c>
      <c r="N12" s="96">
        <f t="shared" si="0"/>
        <v>0</v>
      </c>
      <c r="O12" s="105">
        <f ca="1"/>
        <v>0</v>
      </c>
    </row>
    <row r="13" spans="1:15">
      <c r="A13" s="2777" t="str">
        <v/>
      </c>
      <c r="B13" s="90">
        <v>0</v>
      </c>
      <c r="C13" s="91">
        <v>0</v>
      </c>
      <c r="D13" s="91">
        <v>0</v>
      </c>
      <c r="E13" s="91">
        <v>0</v>
      </c>
      <c r="F13" s="91">
        <v>0</v>
      </c>
      <c r="G13" s="91">
        <v>0</v>
      </c>
      <c r="H13" s="91">
        <v>0</v>
      </c>
      <c r="I13" s="91">
        <v>0</v>
      </c>
      <c r="J13" s="91">
        <v>0</v>
      </c>
      <c r="K13" s="91">
        <v>0</v>
      </c>
      <c r="L13" s="91">
        <v>0</v>
      </c>
      <c r="M13" s="92">
        <v>0</v>
      </c>
      <c r="N13" s="96">
        <f t="shared" si="0"/>
        <v>0</v>
      </c>
      <c r="O13" s="105">
        <f ca="1"/>
        <v>0</v>
      </c>
    </row>
    <row r="14" spans="1:15">
      <c r="A14" s="2777" t="str">
        <v/>
      </c>
      <c r="B14" s="90">
        <v>0</v>
      </c>
      <c r="C14" s="91">
        <v>0</v>
      </c>
      <c r="D14" s="91">
        <v>0</v>
      </c>
      <c r="E14" s="91">
        <v>0</v>
      </c>
      <c r="F14" s="91">
        <v>0</v>
      </c>
      <c r="G14" s="91">
        <v>0</v>
      </c>
      <c r="H14" s="91">
        <v>0</v>
      </c>
      <c r="I14" s="91">
        <v>0</v>
      </c>
      <c r="J14" s="91">
        <v>0</v>
      </c>
      <c r="K14" s="91">
        <v>0</v>
      </c>
      <c r="L14" s="91">
        <v>0</v>
      </c>
      <c r="M14" s="92">
        <v>0</v>
      </c>
      <c r="N14" s="96">
        <f t="shared" si="0"/>
        <v>0</v>
      </c>
      <c r="O14" s="105">
        <f ca="1"/>
        <v>0</v>
      </c>
    </row>
    <row r="15" spans="1:15" ht="15.75" thickBot="1">
      <c r="A15" s="2778" t="str">
        <f>'Fixed Expenses 0'!A15</f>
        <v>Total Wages &amp; Sallaries</v>
      </c>
      <c r="B15" s="137">
        <f t="shared" ref="B15:M15" si="1">SUM(B7:B14)</f>
        <v>1297.92</v>
      </c>
      <c r="C15" s="138">
        <f t="shared" si="1"/>
        <v>1297.92</v>
      </c>
      <c r="D15" s="138">
        <f t="shared" si="1"/>
        <v>1297.92</v>
      </c>
      <c r="E15" s="138">
        <f t="shared" si="1"/>
        <v>1297.92</v>
      </c>
      <c r="F15" s="138">
        <f t="shared" si="1"/>
        <v>1297.92</v>
      </c>
      <c r="G15" s="138">
        <f t="shared" si="1"/>
        <v>1297.92</v>
      </c>
      <c r="H15" s="138">
        <f t="shared" si="1"/>
        <v>1297.92</v>
      </c>
      <c r="I15" s="138">
        <f t="shared" si="1"/>
        <v>1297.92</v>
      </c>
      <c r="J15" s="138">
        <f t="shared" si="1"/>
        <v>1297.92</v>
      </c>
      <c r="K15" s="138">
        <f t="shared" si="1"/>
        <v>1297.92</v>
      </c>
      <c r="L15" s="138">
        <f t="shared" si="1"/>
        <v>1297.92</v>
      </c>
      <c r="M15" s="139">
        <f t="shared" si="1"/>
        <v>1297.92</v>
      </c>
      <c r="N15" s="136">
        <f>SUM(B15:M15)</f>
        <v>15575.04</v>
      </c>
      <c r="O15" s="108">
        <f ca="1"/>
        <v>0.94194147700882491</v>
      </c>
    </row>
    <row r="16" spans="1:15" ht="15.75" thickBot="1">
      <c r="A16" s="2779"/>
      <c r="B16" s="129"/>
      <c r="C16" s="130"/>
      <c r="D16" s="130"/>
      <c r="E16" s="130"/>
      <c r="F16" s="130"/>
      <c r="G16" s="130"/>
      <c r="H16" s="130"/>
      <c r="I16" s="130"/>
      <c r="J16" s="130"/>
      <c r="K16" s="130"/>
      <c r="L16" s="130"/>
      <c r="M16" s="131"/>
      <c r="N16" s="125"/>
      <c r="O16" s="126"/>
    </row>
    <row r="17" spans="1:15">
      <c r="A17" s="2776" t="str">
        <f t="array" ref="A17:A20">'Fixed Expenses 0'!A17:A20</f>
        <v>Social Security</v>
      </c>
      <c r="B17" s="87"/>
      <c r="C17" s="88"/>
      <c r="D17" s="88"/>
      <c r="E17" s="88"/>
      <c r="F17" s="88"/>
      <c r="G17" s="3194">
        <f ca="1">'Personal Income Tax'!D40</f>
        <v>0</v>
      </c>
      <c r="H17" s="88"/>
      <c r="I17" s="88"/>
      <c r="J17" s="88"/>
      <c r="K17" s="88"/>
      <c r="L17" s="88"/>
      <c r="M17" s="89"/>
      <c r="N17" s="132"/>
      <c r="O17" s="104"/>
    </row>
    <row r="18" spans="1:15">
      <c r="A18" s="142" t="str">
        <v>Partners Social Security</v>
      </c>
      <c r="B18" s="90">
        <f t="array" ref="B18">SUM(Staff!$D37:$D38*'Detailed Staff'!C47:C48)</f>
        <v>80</v>
      </c>
      <c r="C18" s="91">
        <f t="array" ref="C18">SUM(Staff!$D37:$D38*'Detailed Staff'!D47:D48)</f>
        <v>80</v>
      </c>
      <c r="D18" s="91">
        <f t="array" ref="D18">SUM(Staff!$D37:$D38*'Detailed Staff'!E47:E48)</f>
        <v>80</v>
      </c>
      <c r="E18" s="91">
        <f t="array" ref="E18">SUM(Staff!$D37:$D38*'Detailed Staff'!F47:F48)</f>
        <v>80</v>
      </c>
      <c r="F18" s="91">
        <f t="array" ref="F18">SUM(Staff!$D37:$D38*'Detailed Staff'!G47:G48)</f>
        <v>80</v>
      </c>
      <c r="G18" s="91">
        <f t="array" ref="G18">SUM(Staff!$D37:$D38*'Detailed Staff'!H47:H48)</f>
        <v>80</v>
      </c>
      <c r="H18" s="91">
        <f t="array" ref="H18">SUM(Staff!$D37:$D38*'Detailed Staff'!I47:I48)</f>
        <v>80</v>
      </c>
      <c r="I18" s="91">
        <f t="array" ref="I18">SUM(Staff!$D37:$D38*'Detailed Staff'!J47:J48)</f>
        <v>80</v>
      </c>
      <c r="J18" s="91">
        <f t="array" ref="J18">SUM(Staff!$D37:$D38*'Detailed Staff'!K47:K48)</f>
        <v>80</v>
      </c>
      <c r="K18" s="91">
        <f t="array" ref="K18">SUM(Staff!$D37:$D38*'Detailed Staff'!L47:L48)</f>
        <v>80</v>
      </c>
      <c r="L18" s="91">
        <f t="array" ref="L18">SUM(Staff!$D37:$D38*'Detailed Staff'!M47:M48)</f>
        <v>80</v>
      </c>
      <c r="M18" s="92">
        <f t="array" ref="M18">SUM(Staff!$D37:$D38*'Detailed Staff'!N47:N48)</f>
        <v>80</v>
      </c>
      <c r="N18" s="96">
        <f>SUM(B18:M18)</f>
        <v>960</v>
      </c>
      <c r="O18" s="105">
        <f t="array" aca="1" ref="O18:O20" ca="1">N18:N20/$N$27</f>
        <v>5.8058522991175102E-2</v>
      </c>
    </row>
    <row r="19" spans="1:15">
      <c r="A19" s="142" t="str">
        <v>Employees Social Security</v>
      </c>
      <c r="B19" s="90">
        <f t="array" ref="B19">SUM(B9:B14*Staff!$D39:$D44)</f>
        <v>0</v>
      </c>
      <c r="C19" s="91">
        <f t="array" ref="C19">SUM(C9:C14*Staff!$D39:$D44)</f>
        <v>0</v>
      </c>
      <c r="D19" s="91">
        <f t="array" ref="D19">SUM(D9:D14*Staff!$D39:$D44)</f>
        <v>0</v>
      </c>
      <c r="E19" s="91">
        <f t="array" ref="E19">SUM(E9:E14*Staff!$D39:$D44)</f>
        <v>0</v>
      </c>
      <c r="F19" s="91">
        <f t="array" ref="F19">SUM(F9:F14*Staff!$D39:$D44)</f>
        <v>0</v>
      </c>
      <c r="G19" s="91">
        <f t="array" ref="G19">SUM(G9:G14*Staff!$D39:$D44)</f>
        <v>0</v>
      </c>
      <c r="H19" s="91">
        <f t="array" ref="H19">SUM(H9:H14*Staff!$D39:$D44)</f>
        <v>0</v>
      </c>
      <c r="I19" s="91">
        <f t="array" ref="I19">SUM(I9:I14*Staff!$D39:$D44)</f>
        <v>0</v>
      </c>
      <c r="J19" s="91">
        <f t="array" ref="J19">SUM(J9:J14*Staff!$D39:$D44)</f>
        <v>0</v>
      </c>
      <c r="K19" s="91">
        <f t="array" ref="K19">SUM(K9:K14*Staff!$D39:$D44)</f>
        <v>0</v>
      </c>
      <c r="L19" s="91">
        <f t="array" ref="L19">SUM(L9:L14*Staff!$D39:$D44)</f>
        <v>0</v>
      </c>
      <c r="M19" s="92">
        <f t="array" ref="M19">SUM(M9:M14*Staff!$D39:$D44)</f>
        <v>0</v>
      </c>
      <c r="N19" s="96">
        <f>SUM(B19:M19)</f>
        <v>0</v>
      </c>
      <c r="O19" s="105">
        <f ca="1"/>
        <v>0</v>
      </c>
    </row>
    <row r="20" spans="1:15" ht="15.75" thickBot="1">
      <c r="A20" s="2778" t="str">
        <v>Total Social Security</v>
      </c>
      <c r="B20" s="137">
        <f t="shared" ref="B20:M20" si="2">SUM(B18:B19)</f>
        <v>80</v>
      </c>
      <c r="C20" s="138">
        <f t="shared" si="2"/>
        <v>80</v>
      </c>
      <c r="D20" s="138">
        <f t="shared" si="2"/>
        <v>80</v>
      </c>
      <c r="E20" s="138">
        <f t="shared" si="2"/>
        <v>80</v>
      </c>
      <c r="F20" s="138">
        <f t="shared" si="2"/>
        <v>80</v>
      </c>
      <c r="G20" s="138">
        <f ca="1">SUM(G17:G19)</f>
        <v>80</v>
      </c>
      <c r="H20" s="138">
        <f t="shared" si="2"/>
        <v>80</v>
      </c>
      <c r="I20" s="138">
        <f t="shared" si="2"/>
        <v>80</v>
      </c>
      <c r="J20" s="138">
        <f t="shared" si="2"/>
        <v>80</v>
      </c>
      <c r="K20" s="138">
        <f t="shared" si="2"/>
        <v>80</v>
      </c>
      <c r="L20" s="138">
        <f t="shared" si="2"/>
        <v>80</v>
      </c>
      <c r="M20" s="139">
        <f t="shared" si="2"/>
        <v>80</v>
      </c>
      <c r="N20" s="136">
        <f ca="1">SUM(B20:M20)</f>
        <v>960</v>
      </c>
      <c r="O20" s="108">
        <f ca="1"/>
        <v>5.8058522991175102E-2</v>
      </c>
    </row>
    <row r="21" spans="1:15" ht="15.75" thickBot="1">
      <c r="A21" s="2779"/>
      <c r="B21" s="129"/>
      <c r="C21" s="130"/>
      <c r="D21" s="130"/>
      <c r="E21" s="130"/>
      <c r="F21" s="130"/>
      <c r="G21" s="130"/>
      <c r="H21" s="130"/>
      <c r="I21" s="130"/>
      <c r="J21" s="130"/>
      <c r="K21" s="130"/>
      <c r="L21" s="130"/>
      <c r="M21" s="131"/>
      <c r="N21" s="125"/>
      <c r="O21" s="126"/>
    </row>
    <row r="22" spans="1:15">
      <c r="A22" s="2776" t="str">
        <f t="array" ref="A22:A25">'Fixed Expenses 0'!A22:A25</f>
        <v>Labour Registrations &amp; Cancellations</v>
      </c>
      <c r="B22" s="87"/>
      <c r="C22" s="88"/>
      <c r="D22" s="88"/>
      <c r="E22" s="88"/>
      <c r="F22" s="88"/>
      <c r="G22" s="88"/>
      <c r="H22" s="88"/>
      <c r="I22" s="88"/>
      <c r="J22" s="88"/>
      <c r="K22" s="88"/>
      <c r="L22" s="88"/>
      <c r="M22" s="89"/>
      <c r="N22" s="132"/>
      <c r="O22" s="104"/>
    </row>
    <row r="23" spans="1:15">
      <c r="A23" s="142" t="str">
        <v>Partners registrations &amp; cancellations</v>
      </c>
      <c r="B23" s="93">
        <f t="array" ref="B23:M24">Staff!$D53:$D54*'Detailed Staff'!C58:N59</f>
        <v>0</v>
      </c>
      <c r="C23" s="94">
        <v>0</v>
      </c>
      <c r="D23" s="94">
        <v>0</v>
      </c>
      <c r="E23" s="94">
        <v>0</v>
      </c>
      <c r="F23" s="94">
        <v>0</v>
      </c>
      <c r="G23" s="94">
        <v>0</v>
      </c>
      <c r="H23" s="94">
        <v>0</v>
      </c>
      <c r="I23" s="94">
        <v>0</v>
      </c>
      <c r="J23" s="94">
        <v>0</v>
      </c>
      <c r="K23" s="94">
        <v>0</v>
      </c>
      <c r="L23" s="94">
        <v>0</v>
      </c>
      <c r="M23" s="95">
        <v>0</v>
      </c>
      <c r="N23" s="96">
        <f>SUM(B23:M23)</f>
        <v>0</v>
      </c>
      <c r="O23" s="105">
        <f t="array" aca="1" ref="O23:O25" ca="1">N23:N25/$N$27</f>
        <v>0</v>
      </c>
    </row>
    <row r="24" spans="1:15">
      <c r="A24" s="142" t="str">
        <v>Employees registrations &amp; cancellations</v>
      </c>
      <c r="B24" s="93">
        <v>0</v>
      </c>
      <c r="C24" s="94">
        <v>0</v>
      </c>
      <c r="D24" s="94">
        <v>0</v>
      </c>
      <c r="E24" s="94">
        <v>0</v>
      </c>
      <c r="F24" s="94">
        <v>0</v>
      </c>
      <c r="G24" s="94">
        <v>0</v>
      </c>
      <c r="H24" s="94">
        <v>0</v>
      </c>
      <c r="I24" s="94">
        <v>0</v>
      </c>
      <c r="J24" s="94">
        <v>0</v>
      </c>
      <c r="K24" s="94">
        <v>0</v>
      </c>
      <c r="L24" s="94">
        <v>0</v>
      </c>
      <c r="M24" s="95">
        <v>0</v>
      </c>
      <c r="N24" s="96">
        <f>SUM(B24:M24)</f>
        <v>0</v>
      </c>
      <c r="O24" s="105">
        <f ca="1"/>
        <v>0</v>
      </c>
    </row>
    <row r="25" spans="1:15" ht="15.75" thickBot="1">
      <c r="A25" s="2778" t="str">
        <v>Total Labour Registrations &amp; Cancellations</v>
      </c>
      <c r="B25" s="137">
        <f>SUM(B23:B24)</f>
        <v>0</v>
      </c>
      <c r="C25" s="138">
        <f t="shared" ref="C25:M25" si="3">SUM(C23:C24)</f>
        <v>0</v>
      </c>
      <c r="D25" s="138">
        <f t="shared" si="3"/>
        <v>0</v>
      </c>
      <c r="E25" s="138">
        <f t="shared" si="3"/>
        <v>0</v>
      </c>
      <c r="F25" s="138">
        <f t="shared" si="3"/>
        <v>0</v>
      </c>
      <c r="G25" s="138">
        <f t="shared" si="3"/>
        <v>0</v>
      </c>
      <c r="H25" s="138">
        <f t="shared" si="3"/>
        <v>0</v>
      </c>
      <c r="I25" s="138">
        <f t="shared" si="3"/>
        <v>0</v>
      </c>
      <c r="J25" s="138">
        <f t="shared" si="3"/>
        <v>0</v>
      </c>
      <c r="K25" s="138">
        <f t="shared" si="3"/>
        <v>0</v>
      </c>
      <c r="L25" s="138">
        <f t="shared" si="3"/>
        <v>0</v>
      </c>
      <c r="M25" s="139">
        <f t="shared" si="3"/>
        <v>0</v>
      </c>
      <c r="N25" s="136">
        <f>SUM(B25:M25)</f>
        <v>0</v>
      </c>
      <c r="O25" s="108">
        <f ca="1"/>
        <v>0</v>
      </c>
    </row>
    <row r="26" spans="1:15" ht="15.75" thickBot="1">
      <c r="A26" s="2780"/>
      <c r="B26" s="141"/>
      <c r="C26" s="127"/>
      <c r="D26" s="127"/>
      <c r="E26" s="127"/>
      <c r="F26" s="127"/>
      <c r="G26" s="127"/>
      <c r="H26" s="127"/>
      <c r="I26" s="127"/>
      <c r="J26" s="127"/>
      <c r="K26" s="127"/>
      <c r="L26" s="127"/>
      <c r="M26" s="128"/>
      <c r="N26" s="120"/>
      <c r="O26" s="121"/>
    </row>
    <row r="27" spans="1:15" ht="15.75" thickBot="1">
      <c r="A27" s="2418" t="str">
        <f>'Fixed Expenses 0'!A27</f>
        <v>Total Labour Expenses</v>
      </c>
      <c r="B27" s="2893">
        <f t="shared" ref="B27:N27" si="4">B25+B20+B15</f>
        <v>1377.92</v>
      </c>
      <c r="C27" s="2894">
        <f t="shared" si="4"/>
        <v>1377.92</v>
      </c>
      <c r="D27" s="2894">
        <f t="shared" si="4"/>
        <v>1377.92</v>
      </c>
      <c r="E27" s="2894">
        <f t="shared" si="4"/>
        <v>1377.92</v>
      </c>
      <c r="F27" s="2894">
        <f t="shared" si="4"/>
        <v>1377.92</v>
      </c>
      <c r="G27" s="2894">
        <f t="shared" ca="1" si="4"/>
        <v>1377.92</v>
      </c>
      <c r="H27" s="2894">
        <f t="shared" si="4"/>
        <v>1377.92</v>
      </c>
      <c r="I27" s="2894">
        <f t="shared" si="4"/>
        <v>1377.92</v>
      </c>
      <c r="J27" s="2894">
        <f t="shared" si="4"/>
        <v>1377.92</v>
      </c>
      <c r="K27" s="2894">
        <f t="shared" si="4"/>
        <v>1377.92</v>
      </c>
      <c r="L27" s="2894">
        <f t="shared" si="4"/>
        <v>1377.92</v>
      </c>
      <c r="M27" s="83">
        <f t="shared" si="4"/>
        <v>1377.92</v>
      </c>
      <c r="N27" s="82">
        <f t="shared" ca="1" si="4"/>
        <v>16535.04</v>
      </c>
      <c r="O27" s="109">
        <f ca="1">N27/$N$58</f>
        <v>0.97497657992222841</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A30" s="86"/>
      <c r="B30" s="84"/>
      <c r="C30" s="84"/>
      <c r="D30" s="84"/>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tr">
        <f>'Fixed Expenses 0'!A32</f>
        <v>Other Fixed Expenses</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'Fixed Expenses 0'!$N$4</f>
        <v>Totals</v>
      </c>
      <c r="O32" s="102" t="s">
        <v>3</v>
      </c>
    </row>
    <row r="33" spans="1:15">
      <c r="A33" s="107" t="str">
        <f t="array" ref="A33:A54">'Fixed Expenses Data'!A6:A27</f>
        <v xml:space="preserve">Fixed &amp; Other taxes </v>
      </c>
      <c r="B33" s="147">
        <f t="array" ref="B33:M54">IFERROR('Fixed Expenses Data'!$V6:$V27*'Fixed Expenses 1'!$B33:$M54/'Fixed Expenses 1'!$N33:$N54,'Fixed Expenses Data'!$V6:$V27/12)</f>
        <v>0</v>
      </c>
      <c r="C33" s="148">
        <v>0</v>
      </c>
      <c r="D33" s="148">
        <v>0</v>
      </c>
      <c r="E33" s="148">
        <v>0</v>
      </c>
      <c r="F33" s="148">
        <v>0</v>
      </c>
      <c r="G33" s="148">
        <v>0</v>
      </c>
      <c r="H33" s="148">
        <v>0</v>
      </c>
      <c r="I33" s="148">
        <v>0</v>
      </c>
      <c r="J33" s="148">
        <v>0</v>
      </c>
      <c r="K33" s="148">
        <v>0</v>
      </c>
      <c r="L33" s="148">
        <v>0</v>
      </c>
      <c r="M33" s="149">
        <v>0</v>
      </c>
      <c r="N33" s="153">
        <f t="shared" ref="N33:N43" si="5">SUM(B33:M33)</f>
        <v>0</v>
      </c>
      <c r="O33" s="104">
        <f t="array" aca="1" ref="O33:O54" ca="1">N33:N54/$N$58</f>
        <v>0</v>
      </c>
    </row>
    <row r="34" spans="1:15">
      <c r="A34" s="106" t="str">
        <v>Other fixed expenses ( VAT exempted)</v>
      </c>
      <c r="B34" s="76">
        <v>0</v>
      </c>
      <c r="C34" s="77">
        <v>0</v>
      </c>
      <c r="D34" s="77">
        <v>0</v>
      </c>
      <c r="E34" s="77">
        <v>0</v>
      </c>
      <c r="F34" s="77">
        <v>0</v>
      </c>
      <c r="G34" s="77">
        <v>0</v>
      </c>
      <c r="H34" s="77">
        <v>0</v>
      </c>
      <c r="I34" s="77">
        <v>0</v>
      </c>
      <c r="J34" s="77">
        <v>0</v>
      </c>
      <c r="K34" s="77">
        <v>0</v>
      </c>
      <c r="L34" s="77">
        <v>0</v>
      </c>
      <c r="M34" s="78">
        <v>0</v>
      </c>
      <c r="N34" s="154">
        <f t="shared" si="5"/>
        <v>0</v>
      </c>
      <c r="O34" s="105">
        <f ca="1"/>
        <v>0</v>
      </c>
    </row>
    <row r="35" spans="1:15">
      <c r="A35" s="106" t="str">
        <v>Insurance fees</v>
      </c>
      <c r="B35" s="76">
        <v>0</v>
      </c>
      <c r="C35" s="77">
        <v>0</v>
      </c>
      <c r="D35" s="77">
        <v>0</v>
      </c>
      <c r="E35" s="77">
        <v>0</v>
      </c>
      <c r="F35" s="77">
        <v>0</v>
      </c>
      <c r="G35" s="77">
        <v>0</v>
      </c>
      <c r="H35" s="77">
        <v>0</v>
      </c>
      <c r="I35" s="77">
        <v>0</v>
      </c>
      <c r="J35" s="77">
        <v>0</v>
      </c>
      <c r="K35" s="77">
        <v>0</v>
      </c>
      <c r="L35" s="77">
        <v>0</v>
      </c>
      <c r="M35" s="78">
        <v>0</v>
      </c>
      <c r="N35" s="154">
        <f t="shared" si="5"/>
        <v>0</v>
      </c>
      <c r="O35" s="105">
        <f ca="1"/>
        <v>0</v>
      </c>
    </row>
    <row r="36" spans="1:15">
      <c r="A36" s="106" t="str">
        <v>Professional asociation /board /council</v>
      </c>
      <c r="B36" s="76">
        <v>0</v>
      </c>
      <c r="C36" s="77">
        <v>0</v>
      </c>
      <c r="D36" s="77">
        <v>0</v>
      </c>
      <c r="E36" s="77">
        <v>0</v>
      </c>
      <c r="F36" s="77">
        <v>0</v>
      </c>
      <c r="G36" s="77">
        <v>0</v>
      </c>
      <c r="H36" s="77">
        <v>0</v>
      </c>
      <c r="I36" s="77">
        <v>0</v>
      </c>
      <c r="J36" s="77">
        <v>0</v>
      </c>
      <c r="K36" s="77">
        <v>0</v>
      </c>
      <c r="L36" s="77">
        <v>0</v>
      </c>
      <c r="M36" s="78">
        <v>0</v>
      </c>
      <c r="N36" s="154">
        <f t="shared" si="5"/>
        <v>0</v>
      </c>
      <c r="O36" s="105">
        <f ca="1"/>
        <v>0</v>
      </c>
    </row>
    <row r="37" spans="1:15">
      <c r="A37" s="106" t="str">
        <v>Electricity (Low Season)</v>
      </c>
      <c r="B37" s="76">
        <v>0</v>
      </c>
      <c r="C37" s="77">
        <v>0</v>
      </c>
      <c r="D37" s="77">
        <v>0</v>
      </c>
      <c r="E37" s="77">
        <v>0</v>
      </c>
      <c r="F37" s="77">
        <v>0</v>
      </c>
      <c r="G37" s="77">
        <v>0</v>
      </c>
      <c r="H37" s="77">
        <v>0</v>
      </c>
      <c r="I37" s="77">
        <v>0</v>
      </c>
      <c r="J37" s="77">
        <v>0</v>
      </c>
      <c r="K37" s="77">
        <v>0</v>
      </c>
      <c r="L37" s="77">
        <v>0</v>
      </c>
      <c r="M37" s="78">
        <v>0</v>
      </c>
      <c r="N37" s="154">
        <f t="shared" si="5"/>
        <v>0</v>
      </c>
      <c r="O37" s="105">
        <f ca="1"/>
        <v>0</v>
      </c>
    </row>
    <row r="38" spans="1:15">
      <c r="A38" s="106" t="str">
        <v>Electricity (High Season)</v>
      </c>
      <c r="B38" s="76">
        <v>0</v>
      </c>
      <c r="C38" s="77">
        <v>0</v>
      </c>
      <c r="D38" s="77">
        <v>0</v>
      </c>
      <c r="E38" s="77">
        <v>0</v>
      </c>
      <c r="F38" s="77">
        <v>0</v>
      </c>
      <c r="G38" s="77">
        <v>0</v>
      </c>
      <c r="H38" s="77">
        <v>0</v>
      </c>
      <c r="I38" s="77">
        <v>0</v>
      </c>
      <c r="J38" s="77">
        <v>0</v>
      </c>
      <c r="K38" s="77">
        <v>0</v>
      </c>
      <c r="L38" s="77">
        <v>0</v>
      </c>
      <c r="M38" s="78">
        <v>0</v>
      </c>
      <c r="N38" s="154">
        <f t="shared" si="5"/>
        <v>0</v>
      </c>
      <c r="O38" s="105">
        <f ca="1"/>
        <v>0</v>
      </c>
    </row>
    <row r="39" spans="1:15">
      <c r="A39" s="106" t="str">
        <v>Water supply, sanitation &amp; garbage fees</v>
      </c>
      <c r="B39" s="76">
        <v>0</v>
      </c>
      <c r="C39" s="77">
        <v>0</v>
      </c>
      <c r="D39" s="77">
        <v>0</v>
      </c>
      <c r="E39" s="77">
        <v>0</v>
      </c>
      <c r="F39" s="77">
        <v>0</v>
      </c>
      <c r="G39" s="77">
        <v>0</v>
      </c>
      <c r="H39" s="77">
        <v>0</v>
      </c>
      <c r="I39" s="77">
        <v>0</v>
      </c>
      <c r="J39" s="77">
        <v>0</v>
      </c>
      <c r="K39" s="77">
        <v>0</v>
      </c>
      <c r="L39" s="77">
        <v>0</v>
      </c>
      <c r="M39" s="78">
        <v>0</v>
      </c>
      <c r="N39" s="154">
        <f t="shared" si="5"/>
        <v>0</v>
      </c>
      <c r="O39" s="105">
        <f ca="1"/>
        <v>0</v>
      </c>
    </row>
    <row r="40" spans="1:15">
      <c r="A40" s="106" t="str">
        <v>Other supplies (gas, etc.)</v>
      </c>
      <c r="B40" s="76">
        <v>0</v>
      </c>
      <c r="C40" s="77">
        <v>0</v>
      </c>
      <c r="D40" s="77">
        <v>0</v>
      </c>
      <c r="E40" s="77">
        <v>0</v>
      </c>
      <c r="F40" s="77">
        <v>0</v>
      </c>
      <c r="G40" s="77">
        <v>0</v>
      </c>
      <c r="H40" s="77">
        <v>0</v>
      </c>
      <c r="I40" s="77">
        <v>0</v>
      </c>
      <c r="J40" s="77">
        <v>0</v>
      </c>
      <c r="K40" s="77">
        <v>0</v>
      </c>
      <c r="L40" s="77">
        <v>0</v>
      </c>
      <c r="M40" s="78">
        <v>0</v>
      </c>
      <c r="N40" s="154">
        <f t="shared" si="5"/>
        <v>0</v>
      </c>
      <c r="O40" s="105">
        <f ca="1"/>
        <v>0</v>
      </c>
    </row>
    <row r="41" spans="1:15">
      <c r="A41" s="106" t="str">
        <v>Phone / internet conection</v>
      </c>
      <c r="B41" s="76">
        <v>0</v>
      </c>
      <c r="C41" s="77">
        <v>0</v>
      </c>
      <c r="D41" s="77">
        <v>0</v>
      </c>
      <c r="E41" s="77">
        <v>0</v>
      </c>
      <c r="F41" s="77">
        <v>0</v>
      </c>
      <c r="G41" s="77">
        <v>0</v>
      </c>
      <c r="H41" s="77">
        <v>0</v>
      </c>
      <c r="I41" s="77">
        <v>0</v>
      </c>
      <c r="J41" s="77">
        <v>0</v>
      </c>
      <c r="K41" s="77">
        <v>0</v>
      </c>
      <c r="L41" s="77">
        <v>0</v>
      </c>
      <c r="M41" s="78">
        <v>0</v>
      </c>
      <c r="N41" s="154">
        <f t="shared" si="5"/>
        <v>0</v>
      </c>
      <c r="O41" s="105">
        <f ca="1"/>
        <v>0</v>
      </c>
    </row>
    <row r="42" spans="1:15">
      <c r="A42" s="106" t="str">
        <v>Web services &amp; hosting</v>
      </c>
      <c r="B42" s="76">
        <v>0</v>
      </c>
      <c r="C42" s="77">
        <v>0</v>
      </c>
      <c r="D42" s="77">
        <v>0</v>
      </c>
      <c r="E42" s="77">
        <v>0</v>
      </c>
      <c r="F42" s="77">
        <v>0</v>
      </c>
      <c r="G42" s="77">
        <v>0</v>
      </c>
      <c r="H42" s="77">
        <v>0</v>
      </c>
      <c r="I42" s="77">
        <v>0</v>
      </c>
      <c r="J42" s="77">
        <v>0</v>
      </c>
      <c r="K42" s="77">
        <v>0</v>
      </c>
      <c r="L42" s="77">
        <v>0</v>
      </c>
      <c r="M42" s="78">
        <v>0</v>
      </c>
      <c r="N42" s="154">
        <f t="shared" si="5"/>
        <v>0</v>
      </c>
      <c r="O42" s="105">
        <f ca="1"/>
        <v>0</v>
      </c>
    </row>
    <row r="43" spans="1:15">
      <c r="A43" s="106" t="str">
        <v>Alarm / Security service</v>
      </c>
      <c r="B43" s="76">
        <v>0</v>
      </c>
      <c r="C43" s="77">
        <v>0</v>
      </c>
      <c r="D43" s="77">
        <v>0</v>
      </c>
      <c r="E43" s="77">
        <v>0</v>
      </c>
      <c r="F43" s="77">
        <v>0</v>
      </c>
      <c r="G43" s="77">
        <v>0</v>
      </c>
      <c r="H43" s="77">
        <v>0</v>
      </c>
      <c r="I43" s="77">
        <v>0</v>
      </c>
      <c r="J43" s="77">
        <v>0</v>
      </c>
      <c r="K43" s="77">
        <v>0</v>
      </c>
      <c r="L43" s="77">
        <v>0</v>
      </c>
      <c r="M43" s="78">
        <v>0</v>
      </c>
      <c r="N43" s="154">
        <f t="shared" si="5"/>
        <v>0</v>
      </c>
      <c r="O43" s="105">
        <f ca="1"/>
        <v>0</v>
      </c>
    </row>
    <row r="44" spans="1:15">
      <c r="A44" s="106" t="str">
        <v>stationery/office supplies</v>
      </c>
      <c r="B44" s="76">
        <v>0</v>
      </c>
      <c r="C44" s="77">
        <v>0</v>
      </c>
      <c r="D44" s="77">
        <v>0</v>
      </c>
      <c r="E44" s="77">
        <v>0</v>
      </c>
      <c r="F44" s="77">
        <v>0</v>
      </c>
      <c r="G44" s="77">
        <v>0</v>
      </c>
      <c r="H44" s="77">
        <v>0</v>
      </c>
      <c r="I44" s="77">
        <v>0</v>
      </c>
      <c r="J44" s="77">
        <v>0</v>
      </c>
      <c r="K44" s="77">
        <v>0</v>
      </c>
      <c r="L44" s="77">
        <v>0</v>
      </c>
      <c r="M44" s="78">
        <v>0</v>
      </c>
      <c r="N44" s="154">
        <f t="shared" ref="N44:N50" si="6">SUM(B44:M44)</f>
        <v>0</v>
      </c>
      <c r="O44" s="105">
        <f ca="1"/>
        <v>0</v>
      </c>
    </row>
    <row r="45" spans="1:15">
      <c r="A45" s="106" t="str">
        <v xml:space="preserve">Congresses / Profesional Fairs </v>
      </c>
      <c r="B45" s="76">
        <v>0</v>
      </c>
      <c r="C45" s="77">
        <v>0</v>
      </c>
      <c r="D45" s="77">
        <v>0</v>
      </c>
      <c r="E45" s="77">
        <v>0</v>
      </c>
      <c r="F45" s="77">
        <v>0</v>
      </c>
      <c r="G45" s="77">
        <v>0</v>
      </c>
      <c r="H45" s="77">
        <v>0</v>
      </c>
      <c r="I45" s="77">
        <v>0</v>
      </c>
      <c r="J45" s="77">
        <v>0</v>
      </c>
      <c r="K45" s="77">
        <v>0</v>
      </c>
      <c r="L45" s="77">
        <v>0</v>
      </c>
      <c r="M45" s="78">
        <v>0</v>
      </c>
      <c r="N45" s="154">
        <f t="shared" si="6"/>
        <v>0</v>
      </c>
      <c r="O45" s="105">
        <f ca="1"/>
        <v>0</v>
      </c>
    </row>
    <row r="46" spans="1:15">
      <c r="A46" s="106" t="str">
        <v>Transportation &amp; Travelling</v>
      </c>
      <c r="B46" s="76">
        <v>0</v>
      </c>
      <c r="C46" s="77">
        <v>0</v>
      </c>
      <c r="D46" s="77">
        <v>0</v>
      </c>
      <c r="E46" s="77">
        <v>0</v>
      </c>
      <c r="F46" s="77">
        <v>0</v>
      </c>
      <c r="G46" s="77">
        <v>0</v>
      </c>
      <c r="H46" s="77">
        <v>0</v>
      </c>
      <c r="I46" s="77">
        <v>0</v>
      </c>
      <c r="J46" s="77">
        <v>0</v>
      </c>
      <c r="K46" s="77">
        <v>0</v>
      </c>
      <c r="L46" s="77">
        <v>0</v>
      </c>
      <c r="M46" s="78">
        <v>0</v>
      </c>
      <c r="N46" s="154">
        <f t="shared" si="6"/>
        <v>0</v>
      </c>
      <c r="O46" s="105">
        <f ca="1"/>
        <v>0</v>
      </c>
    </row>
    <row r="47" spans="1:15">
      <c r="A47" s="106" t="str">
        <v>Consultants &amp; independent professionals</v>
      </c>
      <c r="B47" s="76">
        <v>0</v>
      </c>
      <c r="C47" s="77">
        <v>0</v>
      </c>
      <c r="D47" s="77">
        <v>0</v>
      </c>
      <c r="E47" s="77">
        <v>0</v>
      </c>
      <c r="F47" s="77">
        <v>0</v>
      </c>
      <c r="G47" s="77">
        <v>0</v>
      </c>
      <c r="H47" s="77">
        <v>0</v>
      </c>
      <c r="I47" s="77">
        <v>0</v>
      </c>
      <c r="J47" s="77">
        <v>0</v>
      </c>
      <c r="K47" s="77">
        <v>0</v>
      </c>
      <c r="L47" s="77">
        <v>0</v>
      </c>
      <c r="M47" s="78">
        <v>0</v>
      </c>
      <c r="N47" s="154">
        <f t="shared" si="6"/>
        <v>0</v>
      </c>
      <c r="O47" s="105">
        <f ca="1"/>
        <v>0</v>
      </c>
    </row>
    <row r="48" spans="1:15">
      <c r="A48" s="106" t="str">
        <v>Rental fees &amp; expenses</v>
      </c>
      <c r="B48" s="76">
        <v>0</v>
      </c>
      <c r="C48" s="77">
        <v>0</v>
      </c>
      <c r="D48" s="77">
        <v>0</v>
      </c>
      <c r="E48" s="77">
        <v>0</v>
      </c>
      <c r="F48" s="77">
        <v>0</v>
      </c>
      <c r="G48" s="77">
        <v>0</v>
      </c>
      <c r="H48" s="77">
        <v>0</v>
      </c>
      <c r="I48" s="77">
        <v>0</v>
      </c>
      <c r="J48" s="77">
        <v>0</v>
      </c>
      <c r="K48" s="77">
        <v>0</v>
      </c>
      <c r="L48" s="77">
        <v>0</v>
      </c>
      <c r="M48" s="78">
        <v>0</v>
      </c>
      <c r="N48" s="154">
        <f t="shared" si="6"/>
        <v>0</v>
      </c>
      <c r="O48" s="105">
        <f ca="1"/>
        <v>0</v>
      </c>
    </row>
    <row r="49" spans="1:15">
      <c r="A49" s="106" t="str">
        <v>Online Variable Marketing expenses</v>
      </c>
      <c r="B49" s="76">
        <f ca="1"/>
        <v>11.139450000000002</v>
      </c>
      <c r="C49" s="77">
        <f ca="1"/>
        <v>11.139450000000002</v>
      </c>
      <c r="D49" s="77">
        <f ca="1"/>
        <v>11.139450000000002</v>
      </c>
      <c r="E49" s="77">
        <f ca="1"/>
        <v>11.139450000000002</v>
      </c>
      <c r="F49" s="77">
        <f ca="1"/>
        <v>11.139450000000002</v>
      </c>
      <c r="G49" s="77">
        <f ca="1"/>
        <v>11.139450000000002</v>
      </c>
      <c r="H49" s="77">
        <f ca="1"/>
        <v>11.139450000000002</v>
      </c>
      <c r="I49" s="77">
        <f ca="1"/>
        <v>11.139450000000002</v>
      </c>
      <c r="J49" s="77">
        <f ca="1"/>
        <v>11.139450000000002</v>
      </c>
      <c r="K49" s="77">
        <f ca="1"/>
        <v>11.139450000000002</v>
      </c>
      <c r="L49" s="77">
        <f ca="1"/>
        <v>11.139450000000002</v>
      </c>
      <c r="M49" s="78">
        <f ca="1"/>
        <v>11.139450000000002</v>
      </c>
      <c r="N49" s="154">
        <f t="shared" ca="1" si="6"/>
        <v>133.67339999999999</v>
      </c>
      <c r="O49" s="105">
        <f ca="1"/>
        <v>7.8819545860533743E-3</v>
      </c>
    </row>
    <row r="50" spans="1:15">
      <c r="A50" s="106" t="str">
        <v>Online Fixed Marketing expenses</v>
      </c>
      <c r="B50" s="76">
        <v>0</v>
      </c>
      <c r="C50" s="77">
        <v>0</v>
      </c>
      <c r="D50" s="77">
        <v>0</v>
      </c>
      <c r="E50" s="77">
        <v>0</v>
      </c>
      <c r="F50" s="77">
        <v>0</v>
      </c>
      <c r="G50" s="77">
        <v>0</v>
      </c>
      <c r="H50" s="77">
        <v>0</v>
      </c>
      <c r="I50" s="77">
        <v>0</v>
      </c>
      <c r="J50" s="77">
        <v>0</v>
      </c>
      <c r="K50" s="77">
        <v>0</v>
      </c>
      <c r="L50" s="77">
        <v>0</v>
      </c>
      <c r="M50" s="78">
        <v>0</v>
      </c>
      <c r="N50" s="154">
        <f t="shared" si="6"/>
        <v>0</v>
      </c>
      <c r="O50" s="105">
        <f ca="1"/>
        <v>0</v>
      </c>
    </row>
    <row r="51" spans="1:15">
      <c r="A51" s="106" t="str">
        <v>Offline Variable Marketing expenses</v>
      </c>
      <c r="B51" s="76">
        <f ca="1"/>
        <v>22.278900000000004</v>
      </c>
      <c r="C51" s="77">
        <f ca="1"/>
        <v>22.278900000000004</v>
      </c>
      <c r="D51" s="77">
        <f ca="1"/>
        <v>22.278900000000004</v>
      </c>
      <c r="E51" s="77">
        <f ca="1"/>
        <v>22.278900000000004</v>
      </c>
      <c r="F51" s="77">
        <f ca="1"/>
        <v>22.278900000000004</v>
      </c>
      <c r="G51" s="77">
        <f ca="1"/>
        <v>22.278900000000004</v>
      </c>
      <c r="H51" s="77">
        <f ca="1"/>
        <v>22.278900000000004</v>
      </c>
      <c r="I51" s="77">
        <f ca="1"/>
        <v>22.278900000000004</v>
      </c>
      <c r="J51" s="77">
        <f ca="1"/>
        <v>22.278900000000004</v>
      </c>
      <c r="K51" s="77">
        <f ca="1"/>
        <v>22.278900000000004</v>
      </c>
      <c r="L51" s="77">
        <f ca="1"/>
        <v>22.278900000000004</v>
      </c>
      <c r="M51" s="78">
        <f ca="1"/>
        <v>22.278900000000004</v>
      </c>
      <c r="N51" s="154">
        <f ca="1">SUM(B51:M51)</f>
        <v>267.34679999999997</v>
      </c>
      <c r="O51" s="105">
        <f ca="1"/>
        <v>1.5763909172106749E-2</v>
      </c>
    </row>
    <row r="52" spans="1:15">
      <c r="A52" s="106" t="str">
        <v>Offline Fixed Marketing expenses</v>
      </c>
      <c r="B52" s="76">
        <v>0</v>
      </c>
      <c r="C52" s="77">
        <v>0</v>
      </c>
      <c r="D52" s="77">
        <v>0</v>
      </c>
      <c r="E52" s="77">
        <v>0</v>
      </c>
      <c r="F52" s="77">
        <v>0</v>
      </c>
      <c r="G52" s="77">
        <v>0</v>
      </c>
      <c r="H52" s="77">
        <v>0</v>
      </c>
      <c r="I52" s="77">
        <v>0</v>
      </c>
      <c r="J52" s="77">
        <v>0</v>
      </c>
      <c r="K52" s="77">
        <v>0</v>
      </c>
      <c r="L52" s="77">
        <v>0</v>
      </c>
      <c r="M52" s="78">
        <v>0</v>
      </c>
      <c r="N52" s="154">
        <f>SUM(B52:M52)</f>
        <v>0</v>
      </c>
      <c r="O52" s="105">
        <f ca="1"/>
        <v>0</v>
      </c>
    </row>
    <row r="53" spans="1:15">
      <c r="A53" s="106" t="str">
        <v>Maintenance &amp; repairs</v>
      </c>
      <c r="B53" s="76">
        <v>0</v>
      </c>
      <c r="C53" s="77">
        <v>0</v>
      </c>
      <c r="D53" s="77">
        <v>0</v>
      </c>
      <c r="E53" s="77">
        <v>0</v>
      </c>
      <c r="F53" s="77">
        <v>0</v>
      </c>
      <c r="G53" s="77">
        <v>0</v>
      </c>
      <c r="H53" s="77">
        <v>0</v>
      </c>
      <c r="I53" s="77">
        <v>0</v>
      </c>
      <c r="J53" s="77">
        <v>0</v>
      </c>
      <c r="K53" s="77">
        <v>0</v>
      </c>
      <c r="L53" s="77">
        <v>0</v>
      </c>
      <c r="M53" s="78">
        <v>0</v>
      </c>
      <c r="N53" s="154">
        <f t="shared" ref="N53:N54" si="7">SUM(B53:M53)</f>
        <v>0</v>
      </c>
      <c r="O53" s="105">
        <f ca="1"/>
        <v>0</v>
      </c>
    </row>
    <row r="54" spans="1:15" ht="15.75" thickBot="1">
      <c r="A54" s="106" t="str">
        <v>Other unexpected expenses</v>
      </c>
      <c r="B54" s="76">
        <f ca="1"/>
        <v>1.9468800000000004</v>
      </c>
      <c r="C54" s="77">
        <f ca="1"/>
        <v>1.9468800000000004</v>
      </c>
      <c r="D54" s="77">
        <f ca="1"/>
        <v>1.9468800000000004</v>
      </c>
      <c r="E54" s="77">
        <f ca="1"/>
        <v>1.9468800000000004</v>
      </c>
      <c r="F54" s="77">
        <f ca="1"/>
        <v>1.9468800000000004</v>
      </c>
      <c r="G54" s="77">
        <f ca="1"/>
        <v>1.9468800000000004</v>
      </c>
      <c r="H54" s="77">
        <f ca="1"/>
        <v>1.9468800000000004</v>
      </c>
      <c r="I54" s="77">
        <f ca="1"/>
        <v>1.9468800000000004</v>
      </c>
      <c r="J54" s="77">
        <f ca="1"/>
        <v>1.9468800000000004</v>
      </c>
      <c r="K54" s="77">
        <f ca="1"/>
        <v>1.9468800000000004</v>
      </c>
      <c r="L54" s="77">
        <f ca="1"/>
        <v>1.9468800000000004</v>
      </c>
      <c r="M54" s="78">
        <f ca="1"/>
        <v>1.9468800000000004</v>
      </c>
      <c r="N54" s="154">
        <f t="shared" ca="1" si="7"/>
        <v>23.362560000000006</v>
      </c>
      <c r="O54" s="105">
        <f ca="1"/>
        <v>1.377556319611435E-3</v>
      </c>
    </row>
    <row r="55" spans="1:15" ht="15.75" thickBot="1">
      <c r="A55" s="2418" t="str">
        <f>'Fixed Expenses 0'!A55</f>
        <v>Monthly Total Other Fixed Exp.</v>
      </c>
      <c r="B55" s="2893">
        <f ca="1">SUM(B33:B54)</f>
        <v>35.365230000000004</v>
      </c>
      <c r="C55" s="2893">
        <f t="shared" ref="C55:M55" ca="1" si="8">SUM(C33:C54)</f>
        <v>35.365230000000004</v>
      </c>
      <c r="D55" s="2893">
        <f t="shared" ca="1" si="8"/>
        <v>35.365230000000004</v>
      </c>
      <c r="E55" s="2893">
        <f t="shared" ca="1" si="8"/>
        <v>35.365230000000004</v>
      </c>
      <c r="F55" s="2893">
        <f t="shared" ca="1" si="8"/>
        <v>35.365230000000004</v>
      </c>
      <c r="G55" s="2893">
        <f t="shared" ca="1" si="8"/>
        <v>35.365230000000004</v>
      </c>
      <c r="H55" s="2893">
        <f t="shared" ca="1" si="8"/>
        <v>35.365230000000004</v>
      </c>
      <c r="I55" s="2893">
        <f t="shared" ca="1" si="8"/>
        <v>35.365230000000004</v>
      </c>
      <c r="J55" s="2893">
        <f t="shared" ca="1" si="8"/>
        <v>35.365230000000004</v>
      </c>
      <c r="K55" s="2893">
        <f t="shared" ca="1" si="8"/>
        <v>35.365230000000004</v>
      </c>
      <c r="L55" s="2893">
        <f t="shared" ca="1" si="8"/>
        <v>35.365230000000004</v>
      </c>
      <c r="M55" s="2893">
        <f t="shared" ca="1" si="8"/>
        <v>35.365230000000004</v>
      </c>
      <c r="N55" s="85">
        <f ca="1">SUM(N33:N54)</f>
        <v>424.38275999999996</v>
      </c>
      <c r="O55" s="109">
        <f ca="1">N55/$N$58</f>
        <v>2.5023420077771558E-2</v>
      </c>
    </row>
    <row r="56" spans="1:15">
      <c r="A56" s="86"/>
      <c r="B56" s="99"/>
      <c r="C56" s="99"/>
      <c r="D56" s="99"/>
      <c r="E56" s="99"/>
      <c r="F56" s="99"/>
      <c r="G56" s="99"/>
      <c r="H56" s="99"/>
      <c r="I56" s="99"/>
      <c r="J56" s="99"/>
      <c r="K56" s="99"/>
      <c r="L56" s="99"/>
      <c r="M56" s="99"/>
      <c r="N56" s="61"/>
      <c r="O56" s="98"/>
    </row>
    <row r="57" spans="1:15" ht="15.75" thickBot="1">
      <c r="A57" s="86"/>
      <c r="B57" s="99"/>
      <c r="C57" s="99"/>
      <c r="D57" s="99"/>
      <c r="E57" s="99"/>
      <c r="F57" s="99"/>
      <c r="G57" s="99"/>
      <c r="H57" s="99"/>
      <c r="I57" s="99"/>
      <c r="J57" s="99"/>
      <c r="K57" s="99"/>
      <c r="L57" s="99"/>
      <c r="M57" s="99"/>
      <c r="N57" s="61"/>
      <c r="O57" s="98"/>
    </row>
    <row r="58" spans="1:15" ht="15.75" thickBot="1">
      <c r="A58" s="2420" t="str">
        <f>'Fixed Expenses 0'!A58</f>
        <v>Other Fixed Expenses Total</v>
      </c>
      <c r="B58" s="2898">
        <f t="array" ref="B58:M58" ca="1">B27:M27+B55:M55</f>
        <v>1413.2852300000002</v>
      </c>
      <c r="C58" s="2899">
        <f ca="1"/>
        <v>1413.2852300000002</v>
      </c>
      <c r="D58" s="2899">
        <f ca="1"/>
        <v>1413.2852300000002</v>
      </c>
      <c r="E58" s="2899">
        <f ca="1"/>
        <v>1413.2852300000002</v>
      </c>
      <c r="F58" s="2899">
        <f ca="1"/>
        <v>1413.2852300000002</v>
      </c>
      <c r="G58" s="2899">
        <f ca="1"/>
        <v>1413.2852300000002</v>
      </c>
      <c r="H58" s="2899">
        <f ca="1"/>
        <v>1413.2852300000002</v>
      </c>
      <c r="I58" s="2899">
        <f ca="1"/>
        <v>1413.2852300000002</v>
      </c>
      <c r="J58" s="2899">
        <f ca="1"/>
        <v>1413.2852300000002</v>
      </c>
      <c r="K58" s="2899">
        <f ca="1"/>
        <v>1413.2852300000002</v>
      </c>
      <c r="L58" s="2899">
        <f ca="1"/>
        <v>1413.2852300000002</v>
      </c>
      <c r="M58" s="2900">
        <f ca="1"/>
        <v>1413.2852300000002</v>
      </c>
      <c r="N58" s="143">
        <f ca="1">N27+N55</f>
        <v>16959.422760000001</v>
      </c>
      <c r="O58" s="98"/>
    </row>
    <row r="59" spans="1:15" ht="15.75" thickBot="1">
      <c r="O59" s="98"/>
    </row>
    <row r="60" spans="1:15" ht="15.75" thickBot="1">
      <c r="A60" s="144" t="str">
        <f>'Fixed Expenses 0'!A60</f>
        <v>Input VAT from Fixed Expenses</v>
      </c>
      <c r="B60" s="2901">
        <f ca="1">Parameters!$F$33*SUM(B37:B54)</f>
        <v>7.4266983000000009</v>
      </c>
      <c r="C60" s="2902">
        <f ca="1">Parameters!$F$33*SUM(C37:C54)</f>
        <v>7.4266983000000009</v>
      </c>
      <c r="D60" s="2902">
        <f ca="1">Parameters!$F$33*SUM(D37:D54)</f>
        <v>7.4266983000000009</v>
      </c>
      <c r="E60" s="2902">
        <f ca="1">Parameters!$F$33*SUM(E37:E54)</f>
        <v>7.4266983000000009</v>
      </c>
      <c r="F60" s="2902">
        <f ca="1">Parameters!$F$33*SUM(F37:F54)</f>
        <v>7.4266983000000009</v>
      </c>
      <c r="G60" s="2902">
        <f ca="1">Parameters!$F$33*SUM(G37:G54)</f>
        <v>7.4266983000000009</v>
      </c>
      <c r="H60" s="2902">
        <f ca="1">Parameters!$F$33*SUM(H37:H54)</f>
        <v>7.4266983000000009</v>
      </c>
      <c r="I60" s="2902">
        <f ca="1">Parameters!$F$33*SUM(I37:I54)</f>
        <v>7.4266983000000009</v>
      </c>
      <c r="J60" s="2902">
        <f ca="1">Parameters!$F$33*SUM(J37:J54)</f>
        <v>7.4266983000000009</v>
      </c>
      <c r="K60" s="2902">
        <f ca="1">Parameters!$F$33*SUM(K37:K54)</f>
        <v>7.4266983000000009</v>
      </c>
      <c r="L60" s="2902">
        <f ca="1">Parameters!$F$33*SUM(L37:L54)</f>
        <v>7.4266983000000009</v>
      </c>
      <c r="M60" s="2903">
        <f ca="1">Parameters!$F$33*SUM(M37:M54)</f>
        <v>7.4266983000000009</v>
      </c>
      <c r="N60" s="143">
        <f ca="1">SUM(B60:M60)</f>
        <v>89.120379599999993</v>
      </c>
    </row>
  </sheetData>
  <sheetProtection sheet="1" objects="1" scenarios="1"/>
  <phoneticPr fontId="7"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5">
    <tabColor indexed="42"/>
    <pageSetUpPr fitToPage="1"/>
  </sheetPr>
  <dimension ref="A1:O60"/>
  <sheetViews>
    <sheetView zoomScale="75" workbookViewId="0">
      <pane xSplit="1" ySplit="2" topLeftCell="B3" activePane="bottomRight" state="frozenSplit"/>
      <selection activeCell="B3" sqref="B3"/>
      <selection pane="topRight" activeCell="B3" sqref="B3"/>
      <selection pane="bottomLeft" activeCell="B3" sqref="B3"/>
      <selection pane="bottomRight" activeCell="B3" sqref="B3"/>
    </sheetView>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7" customFormat="1" ht="22.5">
      <c r="A1" s="66" t="str">
        <f>'Fixed Expenses 0'!A1</f>
        <v>Fixed Expenses Forecast</v>
      </c>
      <c r="B1" s="66"/>
      <c r="C1" s="66"/>
      <c r="D1" s="66"/>
      <c r="E1" s="2398" t="str">
        <f>Parameters!E$77</f>
        <v>Year 3:   2029</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5" t="str">
        <f>'Fixed Expenses 0'!A4</f>
        <v>Labour Expenses</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tr">
        <f>'Fixed Expenses 0'!$N$4</f>
        <v>Totals</v>
      </c>
      <c r="O4" s="102" t="s">
        <v>3</v>
      </c>
    </row>
    <row r="5" spans="1:15" ht="15.75" thickBot="1">
      <c r="A5" s="2063"/>
      <c r="B5" s="115"/>
      <c r="C5" s="116"/>
      <c r="D5" s="116"/>
      <c r="E5" s="116"/>
      <c r="F5" s="116"/>
      <c r="G5" s="116"/>
      <c r="H5" s="116"/>
      <c r="I5" s="116"/>
      <c r="J5" s="116"/>
      <c r="K5" s="116"/>
      <c r="L5" s="116"/>
      <c r="M5" s="117"/>
      <c r="N5" s="113"/>
      <c r="O5" s="114"/>
    </row>
    <row r="6" spans="1:15">
      <c r="A6" s="2776" t="str">
        <f>'Fixed Expenses 0'!A6</f>
        <v>Wages &amp; Sallaries</v>
      </c>
      <c r="B6" s="87"/>
      <c r="C6" s="88"/>
      <c r="D6" s="88"/>
      <c r="E6" s="88"/>
      <c r="F6" s="88"/>
      <c r="G6" s="88"/>
      <c r="H6" s="88"/>
      <c r="I6" s="88"/>
      <c r="J6" s="88"/>
      <c r="K6" s="88"/>
      <c r="L6" s="88"/>
      <c r="M6" s="89"/>
      <c r="N6" s="75"/>
      <c r="O6" s="104"/>
    </row>
    <row r="7" spans="1:15">
      <c r="A7" s="2777" t="str">
        <f t="array" ref="A7:A14">catlaborales</f>
        <v>Working Owners / Self employees</v>
      </c>
      <c r="B7" s="90">
        <f t="array" ref="B7:M14">Staff!$E19:$E26*'Detailed Staff'!C66:N73</f>
        <v>1349.8368</v>
      </c>
      <c r="C7" s="91">
        <v>1349.8368</v>
      </c>
      <c r="D7" s="91">
        <v>1349.8368</v>
      </c>
      <c r="E7" s="91">
        <v>1349.8368</v>
      </c>
      <c r="F7" s="91">
        <v>1349.8368</v>
      </c>
      <c r="G7" s="91">
        <v>1349.8368</v>
      </c>
      <c r="H7" s="91">
        <v>1349.8368</v>
      </c>
      <c r="I7" s="91">
        <v>1349.8368</v>
      </c>
      <c r="J7" s="91">
        <v>1349.8368</v>
      </c>
      <c r="K7" s="91">
        <v>1349.8368</v>
      </c>
      <c r="L7" s="91">
        <v>1349.8368</v>
      </c>
      <c r="M7" s="92">
        <v>1349.8368</v>
      </c>
      <c r="N7" s="96">
        <f t="shared" ref="N7:N14" si="0">SUM(B7:M7)</f>
        <v>16198.041600000004</v>
      </c>
      <c r="O7" s="105">
        <f t="array" aca="1" ref="O7:O15" ca="1">N7:N15/$N$27</f>
        <v>0.94404955866291873</v>
      </c>
    </row>
    <row r="8" spans="1:15">
      <c r="A8" s="2777" t="str">
        <v>Other non staff not employees</v>
      </c>
      <c r="B8" s="90">
        <v>0</v>
      </c>
      <c r="C8" s="91">
        <v>0</v>
      </c>
      <c r="D8" s="91">
        <v>0</v>
      </c>
      <c r="E8" s="91">
        <v>0</v>
      </c>
      <c r="F8" s="91">
        <v>0</v>
      </c>
      <c r="G8" s="91">
        <v>0</v>
      </c>
      <c r="H8" s="91">
        <v>0</v>
      </c>
      <c r="I8" s="91">
        <v>0</v>
      </c>
      <c r="J8" s="91">
        <v>0</v>
      </c>
      <c r="K8" s="91">
        <v>0</v>
      </c>
      <c r="L8" s="91">
        <v>0</v>
      </c>
      <c r="M8" s="92">
        <v>0</v>
      </c>
      <c r="N8" s="96">
        <f t="shared" si="0"/>
        <v>0</v>
      </c>
      <c r="O8" s="105">
        <f ca="1"/>
        <v>0</v>
      </c>
    </row>
    <row r="9" spans="1:15">
      <c r="A9" s="2777" t="str">
        <v>Staff / employees</v>
      </c>
      <c r="B9" s="90">
        <v>0</v>
      </c>
      <c r="C9" s="91">
        <v>0</v>
      </c>
      <c r="D9" s="91">
        <v>0</v>
      </c>
      <c r="E9" s="91">
        <v>0</v>
      </c>
      <c r="F9" s="91">
        <v>0</v>
      </c>
      <c r="G9" s="91">
        <v>0</v>
      </c>
      <c r="H9" s="91">
        <v>0</v>
      </c>
      <c r="I9" s="91">
        <v>0</v>
      </c>
      <c r="J9" s="91">
        <v>0</v>
      </c>
      <c r="K9" s="91">
        <v>0</v>
      </c>
      <c r="L9" s="91">
        <v>0</v>
      </c>
      <c r="M9" s="92">
        <v>0</v>
      </c>
      <c r="N9" s="96">
        <f t="shared" si="0"/>
        <v>0</v>
      </c>
      <c r="O9" s="105">
        <f ca="1"/>
        <v>0</v>
      </c>
    </row>
    <row r="10" spans="1:15">
      <c r="A10" s="2777" t="str">
        <v/>
      </c>
      <c r="B10" s="90">
        <v>0</v>
      </c>
      <c r="C10" s="91">
        <v>0</v>
      </c>
      <c r="D10" s="91">
        <v>0</v>
      </c>
      <c r="E10" s="91">
        <v>0</v>
      </c>
      <c r="F10" s="91">
        <v>0</v>
      </c>
      <c r="G10" s="91">
        <v>0</v>
      </c>
      <c r="H10" s="91">
        <v>0</v>
      </c>
      <c r="I10" s="91">
        <v>0</v>
      </c>
      <c r="J10" s="91">
        <v>0</v>
      </c>
      <c r="K10" s="91">
        <v>0</v>
      </c>
      <c r="L10" s="91">
        <v>0</v>
      </c>
      <c r="M10" s="92">
        <v>0</v>
      </c>
      <c r="N10" s="96">
        <f t="shared" si="0"/>
        <v>0</v>
      </c>
      <c r="O10" s="105">
        <f ca="1"/>
        <v>0</v>
      </c>
    </row>
    <row r="11" spans="1:15">
      <c r="A11" s="2777" t="str">
        <v/>
      </c>
      <c r="B11" s="90">
        <v>0</v>
      </c>
      <c r="C11" s="91">
        <v>0</v>
      </c>
      <c r="D11" s="91">
        <v>0</v>
      </c>
      <c r="E11" s="91">
        <v>0</v>
      </c>
      <c r="F11" s="91">
        <v>0</v>
      </c>
      <c r="G11" s="91">
        <v>0</v>
      </c>
      <c r="H11" s="91">
        <v>0</v>
      </c>
      <c r="I11" s="91">
        <v>0</v>
      </c>
      <c r="J11" s="91">
        <v>0</v>
      </c>
      <c r="K11" s="91">
        <v>0</v>
      </c>
      <c r="L11" s="91">
        <v>0</v>
      </c>
      <c r="M11" s="92">
        <v>0</v>
      </c>
      <c r="N11" s="96">
        <f t="shared" si="0"/>
        <v>0</v>
      </c>
      <c r="O11" s="105">
        <f ca="1"/>
        <v>0</v>
      </c>
    </row>
    <row r="12" spans="1:15">
      <c r="A12" s="2777" t="str">
        <v/>
      </c>
      <c r="B12" s="90">
        <v>0</v>
      </c>
      <c r="C12" s="91">
        <v>0</v>
      </c>
      <c r="D12" s="91">
        <v>0</v>
      </c>
      <c r="E12" s="91">
        <v>0</v>
      </c>
      <c r="F12" s="91">
        <v>0</v>
      </c>
      <c r="G12" s="91">
        <v>0</v>
      </c>
      <c r="H12" s="91">
        <v>0</v>
      </c>
      <c r="I12" s="91">
        <v>0</v>
      </c>
      <c r="J12" s="91">
        <v>0</v>
      </c>
      <c r="K12" s="91">
        <v>0</v>
      </c>
      <c r="L12" s="91">
        <v>0</v>
      </c>
      <c r="M12" s="92">
        <v>0</v>
      </c>
      <c r="N12" s="96">
        <f t="shared" si="0"/>
        <v>0</v>
      </c>
      <c r="O12" s="105">
        <f ca="1"/>
        <v>0</v>
      </c>
    </row>
    <row r="13" spans="1:15">
      <c r="A13" s="2777" t="str">
        <v/>
      </c>
      <c r="B13" s="90">
        <v>0</v>
      </c>
      <c r="C13" s="91">
        <v>0</v>
      </c>
      <c r="D13" s="91">
        <v>0</v>
      </c>
      <c r="E13" s="91">
        <v>0</v>
      </c>
      <c r="F13" s="91">
        <v>0</v>
      </c>
      <c r="G13" s="91">
        <v>0</v>
      </c>
      <c r="H13" s="91">
        <v>0</v>
      </c>
      <c r="I13" s="91">
        <v>0</v>
      </c>
      <c r="J13" s="91">
        <v>0</v>
      </c>
      <c r="K13" s="91">
        <v>0</v>
      </c>
      <c r="L13" s="91">
        <v>0</v>
      </c>
      <c r="M13" s="92">
        <v>0</v>
      </c>
      <c r="N13" s="96">
        <f t="shared" si="0"/>
        <v>0</v>
      </c>
      <c r="O13" s="105">
        <f ca="1"/>
        <v>0</v>
      </c>
    </row>
    <row r="14" spans="1:15">
      <c r="A14" s="2777" t="str">
        <v/>
      </c>
      <c r="B14" s="90">
        <v>0</v>
      </c>
      <c r="C14" s="91">
        <v>0</v>
      </c>
      <c r="D14" s="91">
        <v>0</v>
      </c>
      <c r="E14" s="91">
        <v>0</v>
      </c>
      <c r="F14" s="91">
        <v>0</v>
      </c>
      <c r="G14" s="91">
        <v>0</v>
      </c>
      <c r="H14" s="91">
        <v>0</v>
      </c>
      <c r="I14" s="91">
        <v>0</v>
      </c>
      <c r="J14" s="91">
        <v>0</v>
      </c>
      <c r="K14" s="91">
        <v>0</v>
      </c>
      <c r="L14" s="91">
        <v>0</v>
      </c>
      <c r="M14" s="92">
        <v>0</v>
      </c>
      <c r="N14" s="96">
        <f t="shared" si="0"/>
        <v>0</v>
      </c>
      <c r="O14" s="105">
        <f ca="1"/>
        <v>0</v>
      </c>
    </row>
    <row r="15" spans="1:15" ht="15.75" thickBot="1">
      <c r="A15" s="2778" t="str">
        <f>'Fixed Expenses 0'!A15</f>
        <v>Total Wages &amp; Sallaries</v>
      </c>
      <c r="B15" s="137">
        <f t="shared" ref="B15:M15" si="1">SUM(B7:B14)</f>
        <v>1349.8368</v>
      </c>
      <c r="C15" s="138">
        <f t="shared" si="1"/>
        <v>1349.8368</v>
      </c>
      <c r="D15" s="138">
        <f t="shared" si="1"/>
        <v>1349.8368</v>
      </c>
      <c r="E15" s="138">
        <f t="shared" si="1"/>
        <v>1349.8368</v>
      </c>
      <c r="F15" s="138">
        <f t="shared" si="1"/>
        <v>1349.8368</v>
      </c>
      <c r="G15" s="138">
        <f t="shared" si="1"/>
        <v>1349.8368</v>
      </c>
      <c r="H15" s="138">
        <f t="shared" si="1"/>
        <v>1349.8368</v>
      </c>
      <c r="I15" s="138">
        <f t="shared" si="1"/>
        <v>1349.8368</v>
      </c>
      <c r="J15" s="138">
        <f t="shared" si="1"/>
        <v>1349.8368</v>
      </c>
      <c r="K15" s="138">
        <f t="shared" si="1"/>
        <v>1349.8368</v>
      </c>
      <c r="L15" s="138">
        <f t="shared" si="1"/>
        <v>1349.8368</v>
      </c>
      <c r="M15" s="139">
        <f t="shared" si="1"/>
        <v>1349.8368</v>
      </c>
      <c r="N15" s="136">
        <f>SUM(B15:M15)</f>
        <v>16198.041600000004</v>
      </c>
      <c r="O15" s="108">
        <f ca="1"/>
        <v>0.94404955866291873</v>
      </c>
    </row>
    <row r="16" spans="1:15" ht="15.75" thickBot="1">
      <c r="A16" s="2779"/>
      <c r="B16" s="129"/>
      <c r="C16" s="130"/>
      <c r="D16" s="130"/>
      <c r="E16" s="130"/>
      <c r="F16" s="130"/>
      <c r="G16" s="130"/>
      <c r="H16" s="130"/>
      <c r="I16" s="130"/>
      <c r="J16" s="130"/>
      <c r="K16" s="130"/>
      <c r="L16" s="130"/>
      <c r="M16" s="131"/>
      <c r="N16" s="125"/>
      <c r="O16" s="126"/>
    </row>
    <row r="17" spans="1:15">
      <c r="A17" s="2776" t="str">
        <f t="array" ref="A17:A20">'Fixed Expenses 0'!A17:A20</f>
        <v>Social Security</v>
      </c>
      <c r="B17" s="87"/>
      <c r="C17" s="88"/>
      <c r="D17" s="88"/>
      <c r="E17" s="88"/>
      <c r="F17" s="88"/>
      <c r="G17" s="3194">
        <f ca="1">'Personal Income Tax'!E40</f>
        <v>0</v>
      </c>
      <c r="H17" s="88"/>
      <c r="I17" s="88"/>
      <c r="J17" s="88"/>
      <c r="K17" s="88"/>
      <c r="L17" s="88"/>
      <c r="M17" s="89"/>
      <c r="N17" s="132"/>
      <c r="O17" s="104"/>
    </row>
    <row r="18" spans="1:15">
      <c r="A18" s="142" t="str">
        <v>Partners Social Security</v>
      </c>
      <c r="B18" s="90">
        <f t="array" ref="B18">SUM(Staff!$E37:$E38*'Detailed Staff'!C66:C67)</f>
        <v>80</v>
      </c>
      <c r="C18" s="91">
        <f t="array" ref="C18">SUM(Staff!$E37:$E38*'Detailed Staff'!D66:D67)</f>
        <v>80</v>
      </c>
      <c r="D18" s="91">
        <f t="array" ref="D18">SUM(Staff!$E37:$E38*'Detailed Staff'!E66:E67)</f>
        <v>80</v>
      </c>
      <c r="E18" s="91">
        <f t="array" ref="E18">SUM(Staff!$E37:$E38*'Detailed Staff'!F66:F67)</f>
        <v>80</v>
      </c>
      <c r="F18" s="91">
        <f t="array" ref="F18">SUM(Staff!$E37:$E38*'Detailed Staff'!G66:G67)</f>
        <v>80</v>
      </c>
      <c r="G18" s="91">
        <f t="array" ref="G18">SUM(Staff!$E37:$E38*'Detailed Staff'!H66:H67)</f>
        <v>80</v>
      </c>
      <c r="H18" s="91">
        <f t="array" ref="H18">SUM(Staff!$E37:$E38*'Detailed Staff'!I66:I67)</f>
        <v>80</v>
      </c>
      <c r="I18" s="91">
        <f t="array" ref="I18">SUM(Staff!$E37:$E38*'Detailed Staff'!J66:J67)</f>
        <v>80</v>
      </c>
      <c r="J18" s="91">
        <f t="array" ref="J18">SUM(Staff!$E37:$E38*'Detailed Staff'!K66:K67)</f>
        <v>80</v>
      </c>
      <c r="K18" s="91">
        <f t="array" ref="K18">SUM(Staff!$E37:$E38*'Detailed Staff'!L66:L67)</f>
        <v>80</v>
      </c>
      <c r="L18" s="91">
        <f t="array" ref="L18">SUM(Staff!$E37:$E38*'Detailed Staff'!M66:M67)</f>
        <v>80</v>
      </c>
      <c r="M18" s="92">
        <f t="array" ref="M18">SUM(Staff!$E37:$E38*'Detailed Staff'!N66:N67)</f>
        <v>80</v>
      </c>
      <c r="N18" s="96">
        <f>SUM(B18:M18)</f>
        <v>960</v>
      </c>
      <c r="O18" s="105">
        <f t="array" aca="1" ref="O18:O20" ca="1">N18:N20/$N$27</f>
        <v>5.5950441337081255E-2</v>
      </c>
    </row>
    <row r="19" spans="1:15">
      <c r="A19" s="142" t="str">
        <v>Employees Social Security</v>
      </c>
      <c r="B19" s="90">
        <f t="array" ref="B19">SUM(B9:B14*Staff!$E39:$E44)</f>
        <v>0</v>
      </c>
      <c r="C19" s="91">
        <f t="array" ref="C19">SUM(C9:C14*Staff!$E39:$E44)</f>
        <v>0</v>
      </c>
      <c r="D19" s="91">
        <f t="array" ref="D19">SUM(D9:D14*Staff!$E39:$E44)</f>
        <v>0</v>
      </c>
      <c r="E19" s="91">
        <f t="array" ref="E19">SUM(E9:E14*Staff!$E39:$E44)</f>
        <v>0</v>
      </c>
      <c r="F19" s="91">
        <f t="array" ref="F19">SUM(F9:F14*Staff!$E39:$E44)</f>
        <v>0</v>
      </c>
      <c r="G19" s="91">
        <f t="array" ref="G19">SUM(G9:G14*Staff!$E39:$E44)</f>
        <v>0</v>
      </c>
      <c r="H19" s="91">
        <f t="array" ref="H19">SUM(H9:H14*Staff!$E39:$E44)</f>
        <v>0</v>
      </c>
      <c r="I19" s="91">
        <f t="array" ref="I19">SUM(I9:I14*Staff!$E39:$E44)</f>
        <v>0</v>
      </c>
      <c r="J19" s="91">
        <f t="array" ref="J19">SUM(J9:J14*Staff!$E39:$E44)</f>
        <v>0</v>
      </c>
      <c r="K19" s="91">
        <f t="array" ref="K19">SUM(K9:K14*Staff!$E39:$E44)</f>
        <v>0</v>
      </c>
      <c r="L19" s="91">
        <f t="array" ref="L19">SUM(L9:L14*Staff!$E39:$E44)</f>
        <v>0</v>
      </c>
      <c r="M19" s="92">
        <f t="array" ref="M19">SUM(M9:M14*Staff!$E39:$E44)</f>
        <v>0</v>
      </c>
      <c r="N19" s="96">
        <f>SUM(B19:M19)</f>
        <v>0</v>
      </c>
      <c r="O19" s="105">
        <f ca="1"/>
        <v>0</v>
      </c>
    </row>
    <row r="20" spans="1:15" ht="15.75" thickBot="1">
      <c r="A20" s="2778" t="str">
        <v>Total Social Security</v>
      </c>
      <c r="B20" s="137">
        <f t="shared" ref="B20:M20" si="2">SUM(B18:B19)</f>
        <v>80</v>
      </c>
      <c r="C20" s="138">
        <f t="shared" si="2"/>
        <v>80</v>
      </c>
      <c r="D20" s="138">
        <f t="shared" si="2"/>
        <v>80</v>
      </c>
      <c r="E20" s="138">
        <f t="shared" si="2"/>
        <v>80</v>
      </c>
      <c r="F20" s="138">
        <f t="shared" si="2"/>
        <v>80</v>
      </c>
      <c r="G20" s="138">
        <f ca="1">SUM(G17:G19)</f>
        <v>80</v>
      </c>
      <c r="H20" s="138">
        <f t="shared" si="2"/>
        <v>80</v>
      </c>
      <c r="I20" s="138">
        <f t="shared" si="2"/>
        <v>80</v>
      </c>
      <c r="J20" s="138">
        <f t="shared" si="2"/>
        <v>80</v>
      </c>
      <c r="K20" s="138">
        <f t="shared" si="2"/>
        <v>80</v>
      </c>
      <c r="L20" s="138">
        <f t="shared" si="2"/>
        <v>80</v>
      </c>
      <c r="M20" s="139">
        <f t="shared" si="2"/>
        <v>80</v>
      </c>
      <c r="N20" s="136">
        <f ca="1">SUM(B20:M20)</f>
        <v>960</v>
      </c>
      <c r="O20" s="108">
        <f ca="1"/>
        <v>5.5950441337081255E-2</v>
      </c>
    </row>
    <row r="21" spans="1:15" ht="15.75" thickBot="1">
      <c r="A21" s="2779"/>
      <c r="B21" s="129"/>
      <c r="C21" s="130"/>
      <c r="D21" s="130"/>
      <c r="E21" s="130"/>
      <c r="F21" s="130"/>
      <c r="G21" s="130"/>
      <c r="H21" s="130"/>
      <c r="I21" s="130"/>
      <c r="J21" s="130"/>
      <c r="K21" s="130"/>
      <c r="L21" s="130"/>
      <c r="M21" s="131"/>
      <c r="N21" s="125"/>
      <c r="O21" s="126"/>
    </row>
    <row r="22" spans="1:15">
      <c r="A22" s="2776" t="str">
        <f t="array" ref="A22:A25">'Fixed Expenses 0'!A22:A25</f>
        <v>Labour Registrations &amp; Cancellations</v>
      </c>
      <c r="B22" s="87"/>
      <c r="C22" s="88"/>
      <c r="D22" s="88"/>
      <c r="E22" s="88"/>
      <c r="F22" s="88"/>
      <c r="G22" s="88"/>
      <c r="H22" s="88"/>
      <c r="I22" s="88"/>
      <c r="J22" s="88"/>
      <c r="K22" s="88"/>
      <c r="L22" s="88"/>
      <c r="M22" s="89"/>
      <c r="N22" s="132"/>
      <c r="O22" s="104"/>
    </row>
    <row r="23" spans="1:15">
      <c r="A23" s="142" t="str">
        <v>Partners registrations &amp; cancellations</v>
      </c>
      <c r="B23" s="93">
        <f t="array" ref="B23:M24">Staff!$E53:$E54*'Detailed Staff'!C77:N78</f>
        <v>0</v>
      </c>
      <c r="C23" s="94">
        <v>0</v>
      </c>
      <c r="D23" s="94">
        <v>0</v>
      </c>
      <c r="E23" s="94">
        <v>0</v>
      </c>
      <c r="F23" s="94">
        <v>0</v>
      </c>
      <c r="G23" s="94">
        <v>0</v>
      </c>
      <c r="H23" s="94">
        <v>0</v>
      </c>
      <c r="I23" s="94">
        <v>0</v>
      </c>
      <c r="J23" s="94">
        <v>0</v>
      </c>
      <c r="K23" s="94">
        <v>0</v>
      </c>
      <c r="L23" s="94">
        <v>0</v>
      </c>
      <c r="M23" s="95">
        <v>0</v>
      </c>
      <c r="N23" s="96">
        <f>SUM(B23:M23)</f>
        <v>0</v>
      </c>
      <c r="O23" s="105">
        <f t="array" aca="1" ref="O23:O25" ca="1">N23:N25/$N$27</f>
        <v>0</v>
      </c>
    </row>
    <row r="24" spans="1:15">
      <c r="A24" s="142" t="str">
        <v>Employees registrations &amp; cancellations</v>
      </c>
      <c r="B24" s="93">
        <v>0</v>
      </c>
      <c r="C24" s="94">
        <v>0</v>
      </c>
      <c r="D24" s="94">
        <v>0</v>
      </c>
      <c r="E24" s="94">
        <v>0</v>
      </c>
      <c r="F24" s="94">
        <v>0</v>
      </c>
      <c r="G24" s="94">
        <v>0</v>
      </c>
      <c r="H24" s="94">
        <v>0</v>
      </c>
      <c r="I24" s="94">
        <v>0</v>
      </c>
      <c r="J24" s="94">
        <v>0</v>
      </c>
      <c r="K24" s="94">
        <v>0</v>
      </c>
      <c r="L24" s="94">
        <v>0</v>
      </c>
      <c r="M24" s="95">
        <v>0</v>
      </c>
      <c r="N24" s="96">
        <f>SUM(B24:M24)</f>
        <v>0</v>
      </c>
      <c r="O24" s="105">
        <f ca="1"/>
        <v>0</v>
      </c>
    </row>
    <row r="25" spans="1:15" ht="15.75" thickBot="1">
      <c r="A25" s="2778" t="str">
        <v>Total Labour Registrations &amp; Cancellations</v>
      </c>
      <c r="B25" s="137">
        <f>SUM(B23:B24)</f>
        <v>0</v>
      </c>
      <c r="C25" s="138">
        <f t="shared" ref="C25:M25" si="3">SUM(C23:C24)</f>
        <v>0</v>
      </c>
      <c r="D25" s="138">
        <f t="shared" si="3"/>
        <v>0</v>
      </c>
      <c r="E25" s="138">
        <f t="shared" si="3"/>
        <v>0</v>
      </c>
      <c r="F25" s="138">
        <f t="shared" si="3"/>
        <v>0</v>
      </c>
      <c r="G25" s="138">
        <f t="shared" si="3"/>
        <v>0</v>
      </c>
      <c r="H25" s="138">
        <f t="shared" si="3"/>
        <v>0</v>
      </c>
      <c r="I25" s="138">
        <f t="shared" si="3"/>
        <v>0</v>
      </c>
      <c r="J25" s="138">
        <f t="shared" si="3"/>
        <v>0</v>
      </c>
      <c r="K25" s="138">
        <f t="shared" si="3"/>
        <v>0</v>
      </c>
      <c r="L25" s="138">
        <f t="shared" si="3"/>
        <v>0</v>
      </c>
      <c r="M25" s="139">
        <f t="shared" si="3"/>
        <v>0</v>
      </c>
      <c r="N25" s="136">
        <f>SUM(B25:M25)</f>
        <v>0</v>
      </c>
      <c r="O25" s="108">
        <f ca="1"/>
        <v>0</v>
      </c>
    </row>
    <row r="26" spans="1:15" ht="15.75" thickBot="1">
      <c r="A26" s="2780"/>
      <c r="B26" s="141"/>
      <c r="C26" s="127"/>
      <c r="D26" s="127"/>
      <c r="E26" s="127"/>
      <c r="F26" s="127"/>
      <c r="G26" s="127"/>
      <c r="H26" s="127"/>
      <c r="I26" s="127"/>
      <c r="J26" s="127"/>
      <c r="K26" s="127"/>
      <c r="L26" s="127"/>
      <c r="M26" s="128"/>
      <c r="N26" s="120"/>
      <c r="O26" s="121"/>
    </row>
    <row r="27" spans="1:15" ht="15.75" thickBot="1">
      <c r="A27" s="2418" t="str">
        <f>'Fixed Expenses 0'!A27</f>
        <v>Total Labour Expenses</v>
      </c>
      <c r="B27" s="2893">
        <f t="shared" ref="B27:N27" si="4">B25+B20+B15</f>
        <v>1429.8368</v>
      </c>
      <c r="C27" s="2894">
        <f t="shared" si="4"/>
        <v>1429.8368</v>
      </c>
      <c r="D27" s="2894">
        <f t="shared" si="4"/>
        <v>1429.8368</v>
      </c>
      <c r="E27" s="2894">
        <f t="shared" si="4"/>
        <v>1429.8368</v>
      </c>
      <c r="F27" s="2894">
        <f t="shared" si="4"/>
        <v>1429.8368</v>
      </c>
      <c r="G27" s="2894">
        <f t="shared" ca="1" si="4"/>
        <v>1429.8368</v>
      </c>
      <c r="H27" s="2894">
        <f t="shared" si="4"/>
        <v>1429.8368</v>
      </c>
      <c r="I27" s="2894">
        <f t="shared" si="4"/>
        <v>1429.8368</v>
      </c>
      <c r="J27" s="2894">
        <f t="shared" si="4"/>
        <v>1429.8368</v>
      </c>
      <c r="K27" s="2894">
        <f t="shared" si="4"/>
        <v>1429.8368</v>
      </c>
      <c r="L27" s="2894">
        <f t="shared" si="4"/>
        <v>1429.8368</v>
      </c>
      <c r="M27" s="83">
        <f t="shared" si="4"/>
        <v>1429.8368</v>
      </c>
      <c r="N27" s="82">
        <f t="shared" ca="1" si="4"/>
        <v>17158.041600000004</v>
      </c>
      <c r="O27" s="109">
        <f ca="1">N27/$N$58</f>
        <v>0.97399007203669175</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A30" s="86"/>
      <c r="B30" s="84"/>
      <c r="C30" s="84"/>
      <c r="D30" s="84"/>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tr">
        <f>'Fixed Expenses 0'!A32</f>
        <v>Other Fixed Expenses</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'Fixed Expenses 0'!$N$4</f>
        <v>Totals</v>
      </c>
      <c r="O32" s="102" t="s">
        <v>3</v>
      </c>
    </row>
    <row r="33" spans="1:15">
      <c r="A33" s="107" t="str">
        <f t="array" ref="A33:A54">'Fixed Expenses Data'!A6:A27</f>
        <v xml:space="preserve">Fixed &amp; Other taxes </v>
      </c>
      <c r="B33" s="147">
        <f t="array" ref="B33:M54">IFERROR('Fixed Expenses Data'!$W6:$W27*'Fixed Expenses 2'!$B33:$M54/'Fixed Expenses 2'!$N33:$N54,'Fixed Expenses Data'!$W6:$W27/12)</f>
        <v>0</v>
      </c>
      <c r="C33" s="148">
        <v>0</v>
      </c>
      <c r="D33" s="148">
        <v>0</v>
      </c>
      <c r="E33" s="148">
        <v>0</v>
      </c>
      <c r="F33" s="148">
        <v>0</v>
      </c>
      <c r="G33" s="148">
        <v>0</v>
      </c>
      <c r="H33" s="148">
        <v>0</v>
      </c>
      <c r="I33" s="148">
        <v>0</v>
      </c>
      <c r="J33" s="148">
        <v>0</v>
      </c>
      <c r="K33" s="148">
        <v>0</v>
      </c>
      <c r="L33" s="148">
        <v>0</v>
      </c>
      <c r="M33" s="149">
        <v>0</v>
      </c>
      <c r="N33" s="153">
        <f t="shared" ref="N33:N54" si="5">SUM(B33:M33)</f>
        <v>0</v>
      </c>
      <c r="O33" s="104">
        <f t="array" aca="1" ref="O33:O54" ca="1">N33:N54/$N$58</f>
        <v>0</v>
      </c>
    </row>
    <row r="34" spans="1:15">
      <c r="A34" s="106" t="str">
        <v>Other fixed expenses ( VAT exempted)</v>
      </c>
      <c r="B34" s="76">
        <v>0</v>
      </c>
      <c r="C34" s="77">
        <v>0</v>
      </c>
      <c r="D34" s="77">
        <v>0</v>
      </c>
      <c r="E34" s="77">
        <v>0</v>
      </c>
      <c r="F34" s="77">
        <v>0</v>
      </c>
      <c r="G34" s="77">
        <v>0</v>
      </c>
      <c r="H34" s="77">
        <v>0</v>
      </c>
      <c r="I34" s="77">
        <v>0</v>
      </c>
      <c r="J34" s="77">
        <v>0</v>
      </c>
      <c r="K34" s="77">
        <v>0</v>
      </c>
      <c r="L34" s="77">
        <v>0</v>
      </c>
      <c r="M34" s="78">
        <v>0</v>
      </c>
      <c r="N34" s="154">
        <f t="shared" si="5"/>
        <v>0</v>
      </c>
      <c r="O34" s="105">
        <f ca="1"/>
        <v>0</v>
      </c>
    </row>
    <row r="35" spans="1:15">
      <c r="A35" s="106" t="str">
        <v>Insurance fees</v>
      </c>
      <c r="B35" s="76">
        <v>0</v>
      </c>
      <c r="C35" s="77">
        <v>0</v>
      </c>
      <c r="D35" s="77">
        <v>0</v>
      </c>
      <c r="E35" s="77">
        <v>0</v>
      </c>
      <c r="F35" s="77">
        <v>0</v>
      </c>
      <c r="G35" s="77">
        <v>0</v>
      </c>
      <c r="H35" s="77">
        <v>0</v>
      </c>
      <c r="I35" s="77">
        <v>0</v>
      </c>
      <c r="J35" s="77">
        <v>0</v>
      </c>
      <c r="K35" s="77">
        <v>0</v>
      </c>
      <c r="L35" s="77">
        <v>0</v>
      </c>
      <c r="M35" s="78">
        <v>0</v>
      </c>
      <c r="N35" s="154">
        <f t="shared" si="5"/>
        <v>0</v>
      </c>
      <c r="O35" s="105">
        <f ca="1"/>
        <v>0</v>
      </c>
    </row>
    <row r="36" spans="1:15">
      <c r="A36" s="106" t="str">
        <v>Professional asociation /board /council</v>
      </c>
      <c r="B36" s="76">
        <v>0</v>
      </c>
      <c r="C36" s="77">
        <v>0</v>
      </c>
      <c r="D36" s="77">
        <v>0</v>
      </c>
      <c r="E36" s="77">
        <v>0</v>
      </c>
      <c r="F36" s="77">
        <v>0</v>
      </c>
      <c r="G36" s="77">
        <v>0</v>
      </c>
      <c r="H36" s="77">
        <v>0</v>
      </c>
      <c r="I36" s="77">
        <v>0</v>
      </c>
      <c r="J36" s="77">
        <v>0</v>
      </c>
      <c r="K36" s="77">
        <v>0</v>
      </c>
      <c r="L36" s="77">
        <v>0</v>
      </c>
      <c r="M36" s="78">
        <v>0</v>
      </c>
      <c r="N36" s="154">
        <f t="shared" si="5"/>
        <v>0</v>
      </c>
      <c r="O36" s="105">
        <f ca="1"/>
        <v>0</v>
      </c>
    </row>
    <row r="37" spans="1:15">
      <c r="A37" s="106" t="str">
        <v>Electricity (Low Season)</v>
      </c>
      <c r="B37" s="76">
        <v>0</v>
      </c>
      <c r="C37" s="77">
        <v>0</v>
      </c>
      <c r="D37" s="77">
        <v>0</v>
      </c>
      <c r="E37" s="77">
        <v>0</v>
      </c>
      <c r="F37" s="77">
        <v>0</v>
      </c>
      <c r="G37" s="77">
        <v>0</v>
      </c>
      <c r="H37" s="77">
        <v>0</v>
      </c>
      <c r="I37" s="77">
        <v>0</v>
      </c>
      <c r="J37" s="77">
        <v>0</v>
      </c>
      <c r="K37" s="77">
        <v>0</v>
      </c>
      <c r="L37" s="77">
        <v>0</v>
      </c>
      <c r="M37" s="78">
        <v>0</v>
      </c>
      <c r="N37" s="154">
        <f t="shared" si="5"/>
        <v>0</v>
      </c>
      <c r="O37" s="105">
        <f ca="1"/>
        <v>0</v>
      </c>
    </row>
    <row r="38" spans="1:15">
      <c r="A38" s="106" t="str">
        <v>Electricity (High Season)</v>
      </c>
      <c r="B38" s="76">
        <v>0</v>
      </c>
      <c r="C38" s="77">
        <v>0</v>
      </c>
      <c r="D38" s="77">
        <v>0</v>
      </c>
      <c r="E38" s="77">
        <v>0</v>
      </c>
      <c r="F38" s="77">
        <v>0</v>
      </c>
      <c r="G38" s="77">
        <v>0</v>
      </c>
      <c r="H38" s="77">
        <v>0</v>
      </c>
      <c r="I38" s="77">
        <v>0</v>
      </c>
      <c r="J38" s="77">
        <v>0</v>
      </c>
      <c r="K38" s="77">
        <v>0</v>
      </c>
      <c r="L38" s="77">
        <v>0</v>
      </c>
      <c r="M38" s="78">
        <v>0</v>
      </c>
      <c r="N38" s="154">
        <f t="shared" si="5"/>
        <v>0</v>
      </c>
      <c r="O38" s="105">
        <f ca="1"/>
        <v>0</v>
      </c>
    </row>
    <row r="39" spans="1:15">
      <c r="A39" s="106" t="str">
        <v>Water supply, sanitation &amp; garbage fees</v>
      </c>
      <c r="B39" s="76">
        <v>0</v>
      </c>
      <c r="C39" s="77">
        <v>0</v>
      </c>
      <c r="D39" s="77">
        <v>0</v>
      </c>
      <c r="E39" s="77">
        <v>0</v>
      </c>
      <c r="F39" s="77">
        <v>0</v>
      </c>
      <c r="G39" s="77">
        <v>0</v>
      </c>
      <c r="H39" s="77">
        <v>0</v>
      </c>
      <c r="I39" s="77">
        <v>0</v>
      </c>
      <c r="J39" s="77">
        <v>0</v>
      </c>
      <c r="K39" s="77">
        <v>0</v>
      </c>
      <c r="L39" s="77">
        <v>0</v>
      </c>
      <c r="M39" s="78">
        <v>0</v>
      </c>
      <c r="N39" s="154">
        <f t="shared" si="5"/>
        <v>0</v>
      </c>
      <c r="O39" s="105">
        <f ca="1"/>
        <v>0</v>
      </c>
    </row>
    <row r="40" spans="1:15">
      <c r="A40" s="106" t="str">
        <v>Other supplies (gas, etc.)</v>
      </c>
      <c r="B40" s="76">
        <v>0</v>
      </c>
      <c r="C40" s="77">
        <v>0</v>
      </c>
      <c r="D40" s="77">
        <v>0</v>
      </c>
      <c r="E40" s="77">
        <v>0</v>
      </c>
      <c r="F40" s="77">
        <v>0</v>
      </c>
      <c r="G40" s="77">
        <v>0</v>
      </c>
      <c r="H40" s="77">
        <v>0</v>
      </c>
      <c r="I40" s="77">
        <v>0</v>
      </c>
      <c r="J40" s="77">
        <v>0</v>
      </c>
      <c r="K40" s="77">
        <v>0</v>
      </c>
      <c r="L40" s="77">
        <v>0</v>
      </c>
      <c r="M40" s="78">
        <v>0</v>
      </c>
      <c r="N40" s="154">
        <f t="shared" si="5"/>
        <v>0</v>
      </c>
      <c r="O40" s="105">
        <f ca="1"/>
        <v>0</v>
      </c>
    </row>
    <row r="41" spans="1:15">
      <c r="A41" s="106" t="str">
        <v>Phone / internet conection</v>
      </c>
      <c r="B41" s="76">
        <v>0</v>
      </c>
      <c r="C41" s="77">
        <v>0</v>
      </c>
      <c r="D41" s="77">
        <v>0</v>
      </c>
      <c r="E41" s="77">
        <v>0</v>
      </c>
      <c r="F41" s="77">
        <v>0</v>
      </c>
      <c r="G41" s="77">
        <v>0</v>
      </c>
      <c r="H41" s="77">
        <v>0</v>
      </c>
      <c r="I41" s="77">
        <v>0</v>
      </c>
      <c r="J41" s="77">
        <v>0</v>
      </c>
      <c r="K41" s="77">
        <v>0</v>
      </c>
      <c r="L41" s="77">
        <v>0</v>
      </c>
      <c r="M41" s="78">
        <v>0</v>
      </c>
      <c r="N41" s="154">
        <f t="shared" si="5"/>
        <v>0</v>
      </c>
      <c r="O41" s="105">
        <f ca="1"/>
        <v>0</v>
      </c>
    </row>
    <row r="42" spans="1:15">
      <c r="A42" s="106" t="str">
        <v>Web services &amp; hosting</v>
      </c>
      <c r="B42" s="76">
        <v>0</v>
      </c>
      <c r="C42" s="77">
        <v>0</v>
      </c>
      <c r="D42" s="77">
        <v>0</v>
      </c>
      <c r="E42" s="77">
        <v>0</v>
      </c>
      <c r="F42" s="77">
        <v>0</v>
      </c>
      <c r="G42" s="77">
        <v>0</v>
      </c>
      <c r="H42" s="77">
        <v>0</v>
      </c>
      <c r="I42" s="77">
        <v>0</v>
      </c>
      <c r="J42" s="77">
        <v>0</v>
      </c>
      <c r="K42" s="77">
        <v>0</v>
      </c>
      <c r="L42" s="77">
        <v>0</v>
      </c>
      <c r="M42" s="78">
        <v>0</v>
      </c>
      <c r="N42" s="154">
        <f t="shared" si="5"/>
        <v>0</v>
      </c>
      <c r="O42" s="105">
        <f ca="1"/>
        <v>0</v>
      </c>
    </row>
    <row r="43" spans="1:15">
      <c r="A43" s="106" t="str">
        <v>Alarm / Security service</v>
      </c>
      <c r="B43" s="76">
        <v>0</v>
      </c>
      <c r="C43" s="77">
        <v>0</v>
      </c>
      <c r="D43" s="77">
        <v>0</v>
      </c>
      <c r="E43" s="77">
        <v>0</v>
      </c>
      <c r="F43" s="77">
        <v>0</v>
      </c>
      <c r="G43" s="77">
        <v>0</v>
      </c>
      <c r="H43" s="77">
        <v>0</v>
      </c>
      <c r="I43" s="77">
        <v>0</v>
      </c>
      <c r="J43" s="77">
        <v>0</v>
      </c>
      <c r="K43" s="77">
        <v>0</v>
      </c>
      <c r="L43" s="77">
        <v>0</v>
      </c>
      <c r="M43" s="78">
        <v>0</v>
      </c>
      <c r="N43" s="154">
        <f t="shared" si="5"/>
        <v>0</v>
      </c>
      <c r="O43" s="105">
        <f ca="1"/>
        <v>0</v>
      </c>
    </row>
    <row r="44" spans="1:15">
      <c r="A44" s="106" t="str">
        <v>stationery/office supplies</v>
      </c>
      <c r="B44" s="76">
        <v>0</v>
      </c>
      <c r="C44" s="77">
        <v>0</v>
      </c>
      <c r="D44" s="77">
        <v>0</v>
      </c>
      <c r="E44" s="77">
        <v>0</v>
      </c>
      <c r="F44" s="77">
        <v>0</v>
      </c>
      <c r="G44" s="77">
        <v>0</v>
      </c>
      <c r="H44" s="77">
        <v>0</v>
      </c>
      <c r="I44" s="77">
        <v>0</v>
      </c>
      <c r="J44" s="77">
        <v>0</v>
      </c>
      <c r="K44" s="77">
        <v>0</v>
      </c>
      <c r="L44" s="77">
        <v>0</v>
      </c>
      <c r="M44" s="78">
        <v>0</v>
      </c>
      <c r="N44" s="154">
        <f t="shared" si="5"/>
        <v>0</v>
      </c>
      <c r="O44" s="105">
        <f ca="1"/>
        <v>0</v>
      </c>
    </row>
    <row r="45" spans="1:15">
      <c r="A45" s="106" t="str">
        <v xml:space="preserve">Congresses / Profesional Fairs </v>
      </c>
      <c r="B45" s="76">
        <v>0</v>
      </c>
      <c r="C45" s="77">
        <v>0</v>
      </c>
      <c r="D45" s="77">
        <v>0</v>
      </c>
      <c r="E45" s="77">
        <v>0</v>
      </c>
      <c r="F45" s="77">
        <v>0</v>
      </c>
      <c r="G45" s="77">
        <v>0</v>
      </c>
      <c r="H45" s="77">
        <v>0</v>
      </c>
      <c r="I45" s="77">
        <v>0</v>
      </c>
      <c r="J45" s="77">
        <v>0</v>
      </c>
      <c r="K45" s="77">
        <v>0</v>
      </c>
      <c r="L45" s="77">
        <v>0</v>
      </c>
      <c r="M45" s="78">
        <v>0</v>
      </c>
      <c r="N45" s="154">
        <f t="shared" si="5"/>
        <v>0</v>
      </c>
      <c r="O45" s="105">
        <f ca="1"/>
        <v>0</v>
      </c>
    </row>
    <row r="46" spans="1:15">
      <c r="A46" s="106" t="str">
        <v>Transportation &amp; Travelling</v>
      </c>
      <c r="B46" s="76">
        <v>0</v>
      </c>
      <c r="C46" s="77">
        <v>0</v>
      </c>
      <c r="D46" s="77">
        <v>0</v>
      </c>
      <c r="E46" s="77">
        <v>0</v>
      </c>
      <c r="F46" s="77">
        <v>0</v>
      </c>
      <c r="G46" s="77">
        <v>0</v>
      </c>
      <c r="H46" s="77">
        <v>0</v>
      </c>
      <c r="I46" s="77">
        <v>0</v>
      </c>
      <c r="J46" s="77">
        <v>0</v>
      </c>
      <c r="K46" s="77">
        <v>0</v>
      </c>
      <c r="L46" s="77">
        <v>0</v>
      </c>
      <c r="M46" s="78">
        <v>0</v>
      </c>
      <c r="N46" s="154">
        <f t="shared" si="5"/>
        <v>0</v>
      </c>
      <c r="O46" s="105">
        <f ca="1"/>
        <v>0</v>
      </c>
    </row>
    <row r="47" spans="1:15">
      <c r="A47" s="106" t="str">
        <v>Consultants &amp; independent professionals</v>
      </c>
      <c r="B47" s="76">
        <v>0</v>
      </c>
      <c r="C47" s="77">
        <v>0</v>
      </c>
      <c r="D47" s="77">
        <v>0</v>
      </c>
      <c r="E47" s="77">
        <v>0</v>
      </c>
      <c r="F47" s="77">
        <v>0</v>
      </c>
      <c r="G47" s="77">
        <v>0</v>
      </c>
      <c r="H47" s="77">
        <v>0</v>
      </c>
      <c r="I47" s="77">
        <v>0</v>
      </c>
      <c r="J47" s="77">
        <v>0</v>
      </c>
      <c r="K47" s="77">
        <v>0</v>
      </c>
      <c r="L47" s="77">
        <v>0</v>
      </c>
      <c r="M47" s="78">
        <v>0</v>
      </c>
      <c r="N47" s="154">
        <f t="shared" si="5"/>
        <v>0</v>
      </c>
      <c r="O47" s="105">
        <f ca="1"/>
        <v>0</v>
      </c>
    </row>
    <row r="48" spans="1:15">
      <c r="A48" s="106" t="str">
        <v>Rental fees &amp; expenses</v>
      </c>
      <c r="B48" s="76">
        <v>0</v>
      </c>
      <c r="C48" s="77">
        <v>0</v>
      </c>
      <c r="D48" s="77">
        <v>0</v>
      </c>
      <c r="E48" s="77">
        <v>0</v>
      </c>
      <c r="F48" s="77">
        <v>0</v>
      </c>
      <c r="G48" s="77">
        <v>0</v>
      </c>
      <c r="H48" s="77">
        <v>0</v>
      </c>
      <c r="I48" s="77">
        <v>0</v>
      </c>
      <c r="J48" s="77">
        <v>0</v>
      </c>
      <c r="K48" s="77">
        <v>0</v>
      </c>
      <c r="L48" s="77">
        <v>0</v>
      </c>
      <c r="M48" s="78">
        <v>0</v>
      </c>
      <c r="N48" s="154">
        <f t="shared" si="5"/>
        <v>0</v>
      </c>
      <c r="O48" s="105">
        <f ca="1"/>
        <v>0</v>
      </c>
    </row>
    <row r="49" spans="1:15">
      <c r="A49" s="106" t="str">
        <v>Online Variable Marketing expenses</v>
      </c>
      <c r="B49" s="76">
        <f ca="1"/>
        <v>12.052778810000003</v>
      </c>
      <c r="C49" s="77">
        <f ca="1"/>
        <v>12.052778810000003</v>
      </c>
      <c r="D49" s="77">
        <f ca="1"/>
        <v>12.052778810000003</v>
      </c>
      <c r="E49" s="77">
        <f ca="1"/>
        <v>12.052778810000003</v>
      </c>
      <c r="F49" s="77">
        <f ca="1"/>
        <v>12.052778810000003</v>
      </c>
      <c r="G49" s="77">
        <f ca="1"/>
        <v>12.052778810000003</v>
      </c>
      <c r="H49" s="77">
        <f ca="1"/>
        <v>12.052778810000003</v>
      </c>
      <c r="I49" s="77">
        <f ca="1"/>
        <v>12.052778810000003</v>
      </c>
      <c r="J49" s="77">
        <f ca="1"/>
        <v>12.052778810000003</v>
      </c>
      <c r="K49" s="77">
        <f ca="1"/>
        <v>12.052778810000003</v>
      </c>
      <c r="L49" s="77">
        <f ca="1"/>
        <v>12.052778810000003</v>
      </c>
      <c r="M49" s="78">
        <f ca="1"/>
        <v>12.052778810000003</v>
      </c>
      <c r="N49" s="154">
        <f t="shared" ca="1" si="5"/>
        <v>144.63334572000005</v>
      </c>
      <c r="O49" s="105">
        <f ca="1"/>
        <v>8.2102285389452929E-3</v>
      </c>
    </row>
    <row r="50" spans="1:15">
      <c r="A50" s="106" t="str">
        <v>Online Fixed Marketing expenses</v>
      </c>
      <c r="B50" s="76">
        <v>0</v>
      </c>
      <c r="C50" s="77">
        <v>0</v>
      </c>
      <c r="D50" s="77">
        <v>0</v>
      </c>
      <c r="E50" s="77">
        <v>0</v>
      </c>
      <c r="F50" s="77">
        <v>0</v>
      </c>
      <c r="G50" s="77">
        <v>0</v>
      </c>
      <c r="H50" s="77">
        <v>0</v>
      </c>
      <c r="I50" s="77">
        <v>0</v>
      </c>
      <c r="J50" s="77">
        <v>0</v>
      </c>
      <c r="K50" s="77">
        <v>0</v>
      </c>
      <c r="L50" s="77">
        <v>0</v>
      </c>
      <c r="M50" s="78">
        <v>0</v>
      </c>
      <c r="N50" s="154">
        <f t="shared" si="5"/>
        <v>0</v>
      </c>
      <c r="O50" s="105">
        <f ca="1"/>
        <v>0</v>
      </c>
    </row>
    <row r="51" spans="1:15">
      <c r="A51" s="106" t="str">
        <v>Offline Variable Marketing expenses</v>
      </c>
      <c r="B51" s="76">
        <f ca="1"/>
        <v>24.105557620000006</v>
      </c>
      <c r="C51" s="77">
        <f ca="1"/>
        <v>24.105557620000006</v>
      </c>
      <c r="D51" s="77">
        <f ca="1"/>
        <v>24.105557620000006</v>
      </c>
      <c r="E51" s="77">
        <f ca="1"/>
        <v>24.105557620000006</v>
      </c>
      <c r="F51" s="77">
        <f ca="1"/>
        <v>24.105557620000006</v>
      </c>
      <c r="G51" s="77">
        <f ca="1"/>
        <v>24.105557620000006</v>
      </c>
      <c r="H51" s="77">
        <f ca="1"/>
        <v>24.105557620000006</v>
      </c>
      <c r="I51" s="77">
        <f ca="1"/>
        <v>24.105557620000006</v>
      </c>
      <c r="J51" s="77">
        <f ca="1"/>
        <v>24.105557620000006</v>
      </c>
      <c r="K51" s="77">
        <f ca="1"/>
        <v>24.105557620000006</v>
      </c>
      <c r="L51" s="77">
        <f ca="1"/>
        <v>24.105557620000006</v>
      </c>
      <c r="M51" s="78">
        <f ca="1"/>
        <v>24.105557620000006</v>
      </c>
      <c r="N51" s="154">
        <f t="shared" ca="1" si="5"/>
        <v>289.2666914400001</v>
      </c>
      <c r="O51" s="105">
        <f ca="1"/>
        <v>1.6420457077890586E-2</v>
      </c>
    </row>
    <row r="52" spans="1:15">
      <c r="A52" s="106" t="str">
        <v>Offline Fixed Marketing expenses</v>
      </c>
      <c r="B52" s="76">
        <v>0</v>
      </c>
      <c r="C52" s="77">
        <v>0</v>
      </c>
      <c r="D52" s="77">
        <v>0</v>
      </c>
      <c r="E52" s="77">
        <v>0</v>
      </c>
      <c r="F52" s="77">
        <v>0</v>
      </c>
      <c r="G52" s="77">
        <v>0</v>
      </c>
      <c r="H52" s="77">
        <v>0</v>
      </c>
      <c r="I52" s="77">
        <v>0</v>
      </c>
      <c r="J52" s="77">
        <v>0</v>
      </c>
      <c r="K52" s="77">
        <v>0</v>
      </c>
      <c r="L52" s="77">
        <v>0</v>
      </c>
      <c r="M52" s="78">
        <v>0</v>
      </c>
      <c r="N52" s="154">
        <f t="shared" si="5"/>
        <v>0</v>
      </c>
      <c r="O52" s="105">
        <f ca="1"/>
        <v>0</v>
      </c>
    </row>
    <row r="53" spans="1:15">
      <c r="A53" s="106" t="str">
        <v>Maintenance &amp; repairs</v>
      </c>
      <c r="B53" s="76">
        <v>0</v>
      </c>
      <c r="C53" s="77">
        <v>0</v>
      </c>
      <c r="D53" s="77">
        <v>0</v>
      </c>
      <c r="E53" s="77">
        <v>0</v>
      </c>
      <c r="F53" s="77">
        <v>0</v>
      </c>
      <c r="G53" s="77">
        <v>0</v>
      </c>
      <c r="H53" s="77">
        <v>0</v>
      </c>
      <c r="I53" s="77">
        <v>0</v>
      </c>
      <c r="J53" s="77">
        <v>0</v>
      </c>
      <c r="K53" s="77">
        <v>0</v>
      </c>
      <c r="L53" s="77">
        <v>0</v>
      </c>
      <c r="M53" s="78">
        <v>0</v>
      </c>
      <c r="N53" s="154">
        <f t="shared" si="5"/>
        <v>0</v>
      </c>
      <c r="O53" s="105">
        <f ca="1"/>
        <v>0</v>
      </c>
    </row>
    <row r="54" spans="1:15" ht="15.75" thickBot="1">
      <c r="A54" s="106" t="str">
        <v>Other unexpected expenses</v>
      </c>
      <c r="B54" s="76">
        <f ca="1"/>
        <v>2.0247552000000004</v>
      </c>
      <c r="C54" s="77">
        <f ca="1"/>
        <v>2.0247552000000004</v>
      </c>
      <c r="D54" s="77">
        <f ca="1"/>
        <v>2.0247552000000004</v>
      </c>
      <c r="E54" s="77">
        <f ca="1"/>
        <v>2.0247552000000004</v>
      </c>
      <c r="F54" s="77">
        <f ca="1"/>
        <v>2.0247552000000004</v>
      </c>
      <c r="G54" s="77">
        <f ca="1"/>
        <v>2.0247552000000004</v>
      </c>
      <c r="H54" s="77">
        <f ca="1"/>
        <v>2.0247552000000004</v>
      </c>
      <c r="I54" s="77">
        <f ca="1"/>
        <v>2.0247552000000004</v>
      </c>
      <c r="J54" s="77">
        <f ca="1"/>
        <v>2.0247552000000004</v>
      </c>
      <c r="K54" s="77">
        <f ca="1"/>
        <v>2.0247552000000004</v>
      </c>
      <c r="L54" s="77">
        <f ca="1"/>
        <v>2.0247552000000004</v>
      </c>
      <c r="M54" s="78">
        <f ca="1"/>
        <v>2.0247552000000004</v>
      </c>
      <c r="N54" s="154">
        <f t="shared" ca="1" si="5"/>
        <v>24.297062400000012</v>
      </c>
      <c r="O54" s="105">
        <f ca="1"/>
        <v>1.3792423464724553E-3</v>
      </c>
    </row>
    <row r="55" spans="1:15" ht="15.75" thickBot="1">
      <c r="A55" s="2418" t="str">
        <f>'Fixed Expenses 0'!A55</f>
        <v>Monthly Total Other Fixed Exp.</v>
      </c>
      <c r="B55" s="2893">
        <f ca="1">SUM(B33:B54)</f>
        <v>38.183091630000007</v>
      </c>
      <c r="C55" s="2893">
        <f t="shared" ref="C55:M55" ca="1" si="6">SUM(C33:C54)</f>
        <v>38.183091630000007</v>
      </c>
      <c r="D55" s="2893">
        <f t="shared" ca="1" si="6"/>
        <v>38.183091630000007</v>
      </c>
      <c r="E55" s="2893">
        <f t="shared" ca="1" si="6"/>
        <v>38.183091630000007</v>
      </c>
      <c r="F55" s="2893">
        <f t="shared" ca="1" si="6"/>
        <v>38.183091630000007</v>
      </c>
      <c r="G55" s="2893">
        <f t="shared" ca="1" si="6"/>
        <v>38.183091630000007</v>
      </c>
      <c r="H55" s="2893">
        <f t="shared" ca="1" si="6"/>
        <v>38.183091630000007</v>
      </c>
      <c r="I55" s="2893">
        <f t="shared" ca="1" si="6"/>
        <v>38.183091630000007</v>
      </c>
      <c r="J55" s="2893">
        <f t="shared" ca="1" si="6"/>
        <v>38.183091630000007</v>
      </c>
      <c r="K55" s="2893">
        <f t="shared" ca="1" si="6"/>
        <v>38.183091630000007</v>
      </c>
      <c r="L55" s="2893">
        <f t="shared" ca="1" si="6"/>
        <v>38.183091630000007</v>
      </c>
      <c r="M55" s="2893">
        <f t="shared" ca="1" si="6"/>
        <v>38.183091630000007</v>
      </c>
      <c r="N55" s="85">
        <f ca="1">SUM(N33:N54)</f>
        <v>458.19709956000014</v>
      </c>
      <c r="O55" s="109">
        <f ca="1">N55/$N$58</f>
        <v>2.6009927963308335E-2</v>
      </c>
    </row>
    <row r="56" spans="1:15">
      <c r="A56" s="86"/>
      <c r="B56" s="99"/>
      <c r="C56" s="99"/>
      <c r="D56" s="99"/>
      <c r="E56" s="99"/>
      <c r="F56" s="99"/>
      <c r="G56" s="99"/>
      <c r="H56" s="99"/>
      <c r="I56" s="99"/>
      <c r="J56" s="99"/>
      <c r="K56" s="99"/>
      <c r="L56" s="99"/>
      <c r="M56" s="99"/>
      <c r="N56" s="61"/>
      <c r="O56" s="98"/>
    </row>
    <row r="57" spans="1:15" ht="15.75" thickBot="1">
      <c r="A57" s="86"/>
      <c r="B57" s="99"/>
      <c r="C57" s="99"/>
      <c r="D57" s="99"/>
      <c r="E57" s="99"/>
      <c r="F57" s="99"/>
      <c r="G57" s="99"/>
      <c r="H57" s="99"/>
      <c r="I57" s="99"/>
      <c r="J57" s="99"/>
      <c r="K57" s="99"/>
      <c r="L57" s="99"/>
      <c r="M57" s="99"/>
      <c r="N57" s="61"/>
      <c r="O57" s="98"/>
    </row>
    <row r="58" spans="1:15" ht="15.75" thickBot="1">
      <c r="A58" s="2420" t="str">
        <f>'Fixed Expenses 0'!A58</f>
        <v>Other Fixed Expenses Total</v>
      </c>
      <c r="B58" s="2898">
        <f t="array" ref="B58:M58" ca="1">B27:M27+B55:M55</f>
        <v>1468.0198916300001</v>
      </c>
      <c r="C58" s="2899">
        <f ca="1"/>
        <v>1468.0198916300001</v>
      </c>
      <c r="D58" s="2899">
        <f ca="1"/>
        <v>1468.0198916300001</v>
      </c>
      <c r="E58" s="2899">
        <f ca="1"/>
        <v>1468.0198916300001</v>
      </c>
      <c r="F58" s="2899">
        <f ca="1"/>
        <v>1468.0198916300001</v>
      </c>
      <c r="G58" s="2899">
        <f ca="1"/>
        <v>1468.0198916300001</v>
      </c>
      <c r="H58" s="2899">
        <f ca="1"/>
        <v>1468.0198916300001</v>
      </c>
      <c r="I58" s="2899">
        <f ca="1"/>
        <v>1468.0198916300001</v>
      </c>
      <c r="J58" s="2899">
        <f ca="1"/>
        <v>1468.0198916300001</v>
      </c>
      <c r="K58" s="2899">
        <f ca="1"/>
        <v>1468.0198916300001</v>
      </c>
      <c r="L58" s="2899">
        <f ca="1"/>
        <v>1468.0198916300001</v>
      </c>
      <c r="M58" s="2900">
        <f ca="1"/>
        <v>1468.0198916300001</v>
      </c>
      <c r="N58" s="143">
        <f ca="1">N27+N55</f>
        <v>17616.238699560003</v>
      </c>
      <c r="O58" s="98"/>
    </row>
    <row r="59" spans="1:15" ht="15.75" thickBot="1">
      <c r="O59" s="98"/>
    </row>
    <row r="60" spans="1:15" ht="15.75" thickBot="1">
      <c r="A60" s="144" t="str">
        <f>'Fixed Expenses 0'!A60</f>
        <v>Input VAT from Fixed Expenses</v>
      </c>
      <c r="B60" s="2901">
        <f ca="1">Parameters!$F$33*SUM(B37:B54)</f>
        <v>8.0184492423000009</v>
      </c>
      <c r="C60" s="2902">
        <f ca="1">Parameters!$F$33*SUM(C37:C54)</f>
        <v>8.0184492423000009</v>
      </c>
      <c r="D60" s="2902">
        <f ca="1">Parameters!$F$33*SUM(D37:D54)</f>
        <v>8.0184492423000009</v>
      </c>
      <c r="E60" s="2902">
        <f ca="1">Parameters!$F$33*SUM(E37:E54)</f>
        <v>8.0184492423000009</v>
      </c>
      <c r="F60" s="2902">
        <f ca="1">Parameters!$F$33*SUM(F37:F54)</f>
        <v>8.0184492423000009</v>
      </c>
      <c r="G60" s="2902">
        <f ca="1">Parameters!$F$33*SUM(G37:G54)</f>
        <v>8.0184492423000009</v>
      </c>
      <c r="H60" s="2902">
        <f ca="1">Parameters!$F$33*SUM(H37:H54)</f>
        <v>8.0184492423000009</v>
      </c>
      <c r="I60" s="2902">
        <f ca="1">Parameters!$F$33*SUM(I37:I54)</f>
        <v>8.0184492423000009</v>
      </c>
      <c r="J60" s="2902">
        <f ca="1">Parameters!$F$33*SUM(J37:J54)</f>
        <v>8.0184492423000009</v>
      </c>
      <c r="K60" s="2902">
        <f ca="1">Parameters!$F$33*SUM(K37:K54)</f>
        <v>8.0184492423000009</v>
      </c>
      <c r="L60" s="2902">
        <f ca="1">Parameters!$F$33*SUM(L37:L54)</f>
        <v>8.0184492423000009</v>
      </c>
      <c r="M60" s="2903">
        <f ca="1">Parameters!$F$33*SUM(M37:M54)</f>
        <v>8.0184492423000009</v>
      </c>
      <c r="N60" s="143">
        <f ca="1">SUM(B60:M60)</f>
        <v>96.221390907599982</v>
      </c>
    </row>
  </sheetData>
  <sheetProtection sheet="1" objects="1" scenarios="1"/>
  <phoneticPr fontId="7"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46">
    <tabColor indexed="42"/>
    <pageSetUpPr fitToPage="1"/>
  </sheetPr>
  <dimension ref="A1:O60"/>
  <sheetViews>
    <sheetView zoomScale="75" workbookViewId="0">
      <pane xSplit="1" ySplit="2" topLeftCell="B3" activePane="bottomRight" state="frozenSplit"/>
      <selection activeCell="B3" sqref="B3"/>
      <selection pane="topRight" activeCell="B3" sqref="B3"/>
      <selection pane="bottomLeft" activeCell="B3" sqref="B3"/>
      <selection pane="bottomRight" activeCell="B3" sqref="B3"/>
    </sheetView>
  </sheetViews>
  <sheetFormatPr baseColWidth="10" defaultColWidth="11" defaultRowHeight="15"/>
  <cols>
    <col min="1" max="1" width="31.375" style="35" customWidth="1"/>
    <col min="2" max="13" width="11.125" style="35" customWidth="1"/>
    <col min="14" max="14" width="12.75" style="35" customWidth="1"/>
    <col min="15" max="15" width="10.375" style="35" customWidth="1"/>
    <col min="16" max="16384" width="11" style="35"/>
  </cols>
  <sheetData>
    <row r="1" spans="1:15" s="97" customFormat="1" ht="22.5">
      <c r="A1" s="66" t="str">
        <f>'Fixed Expenses 0'!A1</f>
        <v>Fixed Expenses Forecast</v>
      </c>
      <c r="B1" s="66"/>
      <c r="C1" s="66"/>
      <c r="D1" s="66"/>
      <c r="E1" s="2398" t="str">
        <f>Parameters!F$77</f>
        <v>Year 4:   2030</v>
      </c>
      <c r="F1" s="416"/>
    </row>
    <row r="2" spans="1:15" s="97" customFormat="1" ht="22.5">
      <c r="A2" s="66" t="str">
        <f>'Base Data'!B9</f>
        <v>WWW, Ltd.</v>
      </c>
      <c r="B2" s="66"/>
      <c r="C2" s="66"/>
      <c r="D2" s="66"/>
      <c r="E2" s="66"/>
      <c r="F2" s="66"/>
      <c r="G2" s="66"/>
    </row>
    <row r="3" spans="1:15" ht="15.75" thickBot="1">
      <c r="B3" s="61"/>
      <c r="C3" s="61"/>
      <c r="D3" s="61"/>
      <c r="E3" s="61"/>
      <c r="F3" s="61"/>
      <c r="G3" s="61"/>
    </row>
    <row r="4" spans="1:15" ht="15.75" thickBot="1">
      <c r="A4" s="2775" t="str">
        <f>'Fixed Expenses 0'!A4</f>
        <v>Labour Expenses</v>
      </c>
      <c r="B4" s="155" t="str">
        <f t="array" ref="B4:M4">meses</f>
        <v>January</v>
      </c>
      <c r="C4" s="156" t="str">
        <v>February</v>
      </c>
      <c r="D4" s="156" t="str">
        <v>March</v>
      </c>
      <c r="E4" s="156" t="str">
        <v>April</v>
      </c>
      <c r="F4" s="156" t="str">
        <v>May</v>
      </c>
      <c r="G4" s="156" t="str">
        <v>June</v>
      </c>
      <c r="H4" s="156" t="str">
        <v>July</v>
      </c>
      <c r="I4" s="156" t="str">
        <v>August</v>
      </c>
      <c r="J4" s="156" t="str">
        <v>September</v>
      </c>
      <c r="K4" s="156" t="str">
        <v>October</v>
      </c>
      <c r="L4" s="156" t="str">
        <v>November</v>
      </c>
      <c r="M4" s="157" t="str">
        <v>December</v>
      </c>
      <c r="N4" s="102" t="str">
        <f>'Fixed Expenses 0'!$N$4</f>
        <v>Totals</v>
      </c>
      <c r="O4" s="102" t="s">
        <v>3</v>
      </c>
    </row>
    <row r="5" spans="1:15" ht="15.75" thickBot="1">
      <c r="A5" s="2063"/>
      <c r="B5" s="115"/>
      <c r="C5" s="116"/>
      <c r="D5" s="116"/>
      <c r="E5" s="116"/>
      <c r="F5" s="116"/>
      <c r="G5" s="116"/>
      <c r="H5" s="116"/>
      <c r="I5" s="116"/>
      <c r="J5" s="116"/>
      <c r="K5" s="116"/>
      <c r="L5" s="116"/>
      <c r="M5" s="117"/>
      <c r="N5" s="113"/>
      <c r="O5" s="114"/>
    </row>
    <row r="6" spans="1:15">
      <c r="A6" s="2776" t="str">
        <f>'Fixed Expenses 0'!A6</f>
        <v>Wages &amp; Sallaries</v>
      </c>
      <c r="B6" s="87"/>
      <c r="C6" s="88"/>
      <c r="D6" s="88"/>
      <c r="E6" s="88"/>
      <c r="F6" s="88"/>
      <c r="G6" s="88"/>
      <c r="H6" s="88"/>
      <c r="I6" s="88"/>
      <c r="J6" s="88"/>
      <c r="K6" s="88"/>
      <c r="L6" s="88"/>
      <c r="M6" s="89"/>
      <c r="N6" s="75"/>
      <c r="O6" s="104"/>
    </row>
    <row r="7" spans="1:15">
      <c r="A7" s="2777" t="str">
        <f t="array" ref="A7:A14">catlaborales</f>
        <v>Working Owners / Self employees</v>
      </c>
      <c r="B7" s="90">
        <f t="array" ref="B7:M14">Staff!$F19:$F26*'Detailed Staff'!C85:N92</f>
        <v>1403.8302720000002</v>
      </c>
      <c r="C7" s="91">
        <v>1403.8302720000002</v>
      </c>
      <c r="D7" s="91">
        <v>1403.8302720000002</v>
      </c>
      <c r="E7" s="91">
        <v>1403.8302720000002</v>
      </c>
      <c r="F7" s="91">
        <v>1403.8302720000002</v>
      </c>
      <c r="G7" s="91">
        <v>1403.8302720000002</v>
      </c>
      <c r="H7" s="91">
        <v>1403.8302720000002</v>
      </c>
      <c r="I7" s="91">
        <v>1403.8302720000002</v>
      </c>
      <c r="J7" s="91">
        <v>1403.8302720000002</v>
      </c>
      <c r="K7" s="91">
        <v>1403.8302720000002</v>
      </c>
      <c r="L7" s="91">
        <v>1403.8302720000002</v>
      </c>
      <c r="M7" s="92">
        <v>1403.8302720000002</v>
      </c>
      <c r="N7" s="96">
        <f t="shared" ref="N7:N14" si="0">SUM(B7:M7)</f>
        <v>16845.963263999998</v>
      </c>
      <c r="O7" s="105">
        <f t="array" aca="1" ref="O7:O15" ca="1">N7:N15/$N$27</f>
        <v>0.94608547789487341</v>
      </c>
    </row>
    <row r="8" spans="1:15">
      <c r="A8" s="2777" t="str">
        <v>Other non staff not employees</v>
      </c>
      <c r="B8" s="90">
        <v>0</v>
      </c>
      <c r="C8" s="91">
        <v>0</v>
      </c>
      <c r="D8" s="91">
        <v>0</v>
      </c>
      <c r="E8" s="91">
        <v>0</v>
      </c>
      <c r="F8" s="91">
        <v>0</v>
      </c>
      <c r="G8" s="91">
        <v>0</v>
      </c>
      <c r="H8" s="91">
        <v>0</v>
      </c>
      <c r="I8" s="91">
        <v>0</v>
      </c>
      <c r="J8" s="91">
        <v>0</v>
      </c>
      <c r="K8" s="91">
        <v>0</v>
      </c>
      <c r="L8" s="91">
        <v>0</v>
      </c>
      <c r="M8" s="92">
        <v>0</v>
      </c>
      <c r="N8" s="96">
        <f t="shared" si="0"/>
        <v>0</v>
      </c>
      <c r="O8" s="105">
        <f ca="1"/>
        <v>0</v>
      </c>
    </row>
    <row r="9" spans="1:15">
      <c r="A9" s="2777" t="str">
        <v>Staff / employees</v>
      </c>
      <c r="B9" s="90">
        <v>0</v>
      </c>
      <c r="C9" s="91">
        <v>0</v>
      </c>
      <c r="D9" s="91">
        <v>0</v>
      </c>
      <c r="E9" s="91">
        <v>0</v>
      </c>
      <c r="F9" s="91">
        <v>0</v>
      </c>
      <c r="G9" s="91">
        <v>0</v>
      </c>
      <c r="H9" s="91">
        <v>0</v>
      </c>
      <c r="I9" s="91">
        <v>0</v>
      </c>
      <c r="J9" s="91">
        <v>0</v>
      </c>
      <c r="K9" s="91">
        <v>0</v>
      </c>
      <c r="L9" s="91">
        <v>0</v>
      </c>
      <c r="M9" s="92">
        <v>0</v>
      </c>
      <c r="N9" s="96">
        <f t="shared" si="0"/>
        <v>0</v>
      </c>
      <c r="O9" s="105">
        <f ca="1"/>
        <v>0</v>
      </c>
    </row>
    <row r="10" spans="1:15">
      <c r="A10" s="2777" t="str">
        <v/>
      </c>
      <c r="B10" s="90">
        <v>0</v>
      </c>
      <c r="C10" s="91">
        <v>0</v>
      </c>
      <c r="D10" s="91">
        <v>0</v>
      </c>
      <c r="E10" s="91">
        <v>0</v>
      </c>
      <c r="F10" s="91">
        <v>0</v>
      </c>
      <c r="G10" s="91">
        <v>0</v>
      </c>
      <c r="H10" s="91">
        <v>0</v>
      </c>
      <c r="I10" s="91">
        <v>0</v>
      </c>
      <c r="J10" s="91">
        <v>0</v>
      </c>
      <c r="K10" s="91">
        <v>0</v>
      </c>
      <c r="L10" s="91">
        <v>0</v>
      </c>
      <c r="M10" s="92">
        <v>0</v>
      </c>
      <c r="N10" s="96">
        <f t="shared" si="0"/>
        <v>0</v>
      </c>
      <c r="O10" s="105">
        <f ca="1"/>
        <v>0</v>
      </c>
    </row>
    <row r="11" spans="1:15">
      <c r="A11" s="2777" t="str">
        <v/>
      </c>
      <c r="B11" s="90">
        <v>0</v>
      </c>
      <c r="C11" s="91">
        <v>0</v>
      </c>
      <c r="D11" s="91">
        <v>0</v>
      </c>
      <c r="E11" s="91">
        <v>0</v>
      </c>
      <c r="F11" s="91">
        <v>0</v>
      </c>
      <c r="G11" s="91">
        <v>0</v>
      </c>
      <c r="H11" s="91">
        <v>0</v>
      </c>
      <c r="I11" s="91">
        <v>0</v>
      </c>
      <c r="J11" s="91">
        <v>0</v>
      </c>
      <c r="K11" s="91">
        <v>0</v>
      </c>
      <c r="L11" s="91">
        <v>0</v>
      </c>
      <c r="M11" s="92">
        <v>0</v>
      </c>
      <c r="N11" s="96">
        <f t="shared" si="0"/>
        <v>0</v>
      </c>
      <c r="O11" s="105">
        <f ca="1"/>
        <v>0</v>
      </c>
    </row>
    <row r="12" spans="1:15">
      <c r="A12" s="2777" t="str">
        <v/>
      </c>
      <c r="B12" s="90">
        <v>0</v>
      </c>
      <c r="C12" s="91">
        <v>0</v>
      </c>
      <c r="D12" s="91">
        <v>0</v>
      </c>
      <c r="E12" s="91">
        <v>0</v>
      </c>
      <c r="F12" s="91">
        <v>0</v>
      </c>
      <c r="G12" s="91">
        <v>0</v>
      </c>
      <c r="H12" s="91">
        <v>0</v>
      </c>
      <c r="I12" s="91">
        <v>0</v>
      </c>
      <c r="J12" s="91">
        <v>0</v>
      </c>
      <c r="K12" s="91">
        <v>0</v>
      </c>
      <c r="L12" s="91">
        <v>0</v>
      </c>
      <c r="M12" s="92">
        <v>0</v>
      </c>
      <c r="N12" s="96">
        <f t="shared" si="0"/>
        <v>0</v>
      </c>
      <c r="O12" s="105">
        <f ca="1"/>
        <v>0</v>
      </c>
    </row>
    <row r="13" spans="1:15">
      <c r="A13" s="2777" t="str">
        <v/>
      </c>
      <c r="B13" s="90">
        <v>0</v>
      </c>
      <c r="C13" s="91">
        <v>0</v>
      </c>
      <c r="D13" s="91">
        <v>0</v>
      </c>
      <c r="E13" s="91">
        <v>0</v>
      </c>
      <c r="F13" s="91">
        <v>0</v>
      </c>
      <c r="G13" s="91">
        <v>0</v>
      </c>
      <c r="H13" s="91">
        <v>0</v>
      </c>
      <c r="I13" s="91">
        <v>0</v>
      </c>
      <c r="J13" s="91">
        <v>0</v>
      </c>
      <c r="K13" s="91">
        <v>0</v>
      </c>
      <c r="L13" s="91">
        <v>0</v>
      </c>
      <c r="M13" s="92">
        <v>0</v>
      </c>
      <c r="N13" s="96">
        <f t="shared" si="0"/>
        <v>0</v>
      </c>
      <c r="O13" s="105">
        <f ca="1"/>
        <v>0</v>
      </c>
    </row>
    <row r="14" spans="1:15">
      <c r="A14" s="2777" t="str">
        <v/>
      </c>
      <c r="B14" s="90">
        <v>0</v>
      </c>
      <c r="C14" s="91">
        <v>0</v>
      </c>
      <c r="D14" s="91">
        <v>0</v>
      </c>
      <c r="E14" s="91">
        <v>0</v>
      </c>
      <c r="F14" s="91">
        <v>0</v>
      </c>
      <c r="G14" s="91">
        <v>0</v>
      </c>
      <c r="H14" s="91">
        <v>0</v>
      </c>
      <c r="I14" s="91">
        <v>0</v>
      </c>
      <c r="J14" s="91">
        <v>0</v>
      </c>
      <c r="K14" s="91">
        <v>0</v>
      </c>
      <c r="L14" s="91">
        <v>0</v>
      </c>
      <c r="M14" s="92">
        <v>0</v>
      </c>
      <c r="N14" s="96">
        <f t="shared" si="0"/>
        <v>0</v>
      </c>
      <c r="O14" s="105">
        <f ca="1"/>
        <v>0</v>
      </c>
    </row>
    <row r="15" spans="1:15" ht="15.75" thickBot="1">
      <c r="A15" s="2778" t="str">
        <f>'Fixed Expenses 0'!A15</f>
        <v>Total Wages &amp; Sallaries</v>
      </c>
      <c r="B15" s="137">
        <f t="shared" ref="B15:M15" si="1">SUM(B7:B14)</f>
        <v>1403.8302720000002</v>
      </c>
      <c r="C15" s="138">
        <f t="shared" si="1"/>
        <v>1403.8302720000002</v>
      </c>
      <c r="D15" s="138">
        <f t="shared" si="1"/>
        <v>1403.8302720000002</v>
      </c>
      <c r="E15" s="138">
        <f t="shared" si="1"/>
        <v>1403.8302720000002</v>
      </c>
      <c r="F15" s="138">
        <f t="shared" si="1"/>
        <v>1403.8302720000002</v>
      </c>
      <c r="G15" s="138">
        <f t="shared" si="1"/>
        <v>1403.8302720000002</v>
      </c>
      <c r="H15" s="138">
        <f t="shared" si="1"/>
        <v>1403.8302720000002</v>
      </c>
      <c r="I15" s="138">
        <f t="shared" si="1"/>
        <v>1403.8302720000002</v>
      </c>
      <c r="J15" s="138">
        <f t="shared" si="1"/>
        <v>1403.8302720000002</v>
      </c>
      <c r="K15" s="138">
        <f t="shared" si="1"/>
        <v>1403.8302720000002</v>
      </c>
      <c r="L15" s="138">
        <f t="shared" si="1"/>
        <v>1403.8302720000002</v>
      </c>
      <c r="M15" s="139">
        <f t="shared" si="1"/>
        <v>1403.8302720000002</v>
      </c>
      <c r="N15" s="136">
        <f>SUM(B15:M15)</f>
        <v>16845.963263999998</v>
      </c>
      <c r="O15" s="108">
        <f ca="1"/>
        <v>0.94608547789487341</v>
      </c>
    </row>
    <row r="16" spans="1:15" ht="15.75" thickBot="1">
      <c r="A16" s="2779"/>
      <c r="B16" s="129"/>
      <c r="C16" s="130"/>
      <c r="D16" s="130"/>
      <c r="E16" s="130"/>
      <c r="F16" s="130"/>
      <c r="G16" s="130"/>
      <c r="H16" s="130"/>
      <c r="I16" s="130"/>
      <c r="J16" s="130"/>
      <c r="K16" s="130"/>
      <c r="L16" s="130"/>
      <c r="M16" s="131"/>
      <c r="N16" s="125"/>
      <c r="O16" s="126"/>
    </row>
    <row r="17" spans="1:15">
      <c r="A17" s="2776" t="str">
        <f t="array" ref="A17:A20">'Fixed Expenses 0'!A17:A20</f>
        <v>Social Security</v>
      </c>
      <c r="B17" s="87"/>
      <c r="C17" s="88"/>
      <c r="D17" s="88"/>
      <c r="E17" s="88"/>
      <c r="F17" s="88"/>
      <c r="G17" s="3194">
        <f ca="1">'Personal Income Tax'!F40</f>
        <v>0</v>
      </c>
      <c r="H17" s="88"/>
      <c r="I17" s="88"/>
      <c r="J17" s="88"/>
      <c r="K17" s="88"/>
      <c r="L17" s="88"/>
      <c r="M17" s="89"/>
      <c r="N17" s="132"/>
      <c r="O17" s="104"/>
    </row>
    <row r="18" spans="1:15">
      <c r="A18" s="142" t="str">
        <v>Partners Social Security</v>
      </c>
      <c r="B18" s="90">
        <f t="array" ref="B18">SUM(Staff!$F37:$F38*'Detailed Staff'!C85:C86)</f>
        <v>80</v>
      </c>
      <c r="C18" s="91">
        <f t="array" ref="C18">SUM(Staff!$F37:$F38*'Detailed Staff'!D85:D86)</f>
        <v>80</v>
      </c>
      <c r="D18" s="91">
        <f t="array" ref="D18">SUM(Staff!$F37:$F38*'Detailed Staff'!E85:E86)</f>
        <v>80</v>
      </c>
      <c r="E18" s="91">
        <f t="array" ref="E18">SUM(Staff!$F37:$F38*'Detailed Staff'!F85:F86)</f>
        <v>80</v>
      </c>
      <c r="F18" s="91">
        <f t="array" ref="F18">SUM(Staff!$F37:$F38*'Detailed Staff'!G85:G86)</f>
        <v>80</v>
      </c>
      <c r="G18" s="91">
        <f t="array" ref="G18">SUM(Staff!$F37:$F38*'Detailed Staff'!H85:H86)</f>
        <v>80</v>
      </c>
      <c r="H18" s="91">
        <f t="array" ref="H18">SUM(Staff!$F37:$F38*'Detailed Staff'!I85:I86)</f>
        <v>80</v>
      </c>
      <c r="I18" s="91">
        <f t="array" ref="I18">SUM(Staff!$F37:$F38*'Detailed Staff'!J85:J86)</f>
        <v>80</v>
      </c>
      <c r="J18" s="91">
        <f t="array" ref="J18">SUM(Staff!$F37:$F38*'Detailed Staff'!K85:K86)</f>
        <v>80</v>
      </c>
      <c r="K18" s="91">
        <f t="array" ref="K18">SUM(Staff!$F37:$F38*'Detailed Staff'!L85:L86)</f>
        <v>80</v>
      </c>
      <c r="L18" s="91">
        <f t="array" ref="L18">SUM(Staff!$F37:$F38*'Detailed Staff'!M85:M86)</f>
        <v>80</v>
      </c>
      <c r="M18" s="92">
        <f t="array" ref="M18">SUM(Staff!$F37:$F38*'Detailed Staff'!N85:N86)</f>
        <v>80</v>
      </c>
      <c r="N18" s="96">
        <f>SUM(B18:M18)</f>
        <v>960</v>
      </c>
      <c r="O18" s="105">
        <f t="array" aca="1" ref="O18:O20" ca="1">N18:N20/$N$27</f>
        <v>5.3914522105126594E-2</v>
      </c>
    </row>
    <row r="19" spans="1:15">
      <c r="A19" s="142" t="str">
        <v>Employees Social Security</v>
      </c>
      <c r="B19" s="90">
        <f t="array" ref="B19">SUM(B9:B14*Staff!$F39:$F44)</f>
        <v>0</v>
      </c>
      <c r="C19" s="91">
        <f t="array" ref="C19">SUM(C9:C14*Staff!$F39:$F44)</f>
        <v>0</v>
      </c>
      <c r="D19" s="91">
        <f t="array" ref="D19">SUM(D9:D14*Staff!$F39:$F44)</f>
        <v>0</v>
      </c>
      <c r="E19" s="91">
        <f t="array" ref="E19">SUM(E9:E14*Staff!$F39:$F44)</f>
        <v>0</v>
      </c>
      <c r="F19" s="91">
        <f t="array" ref="F19">SUM(F9:F14*Staff!$F39:$F44)</f>
        <v>0</v>
      </c>
      <c r="G19" s="91">
        <f t="array" ref="G19">SUM(G9:G14*Staff!$F39:$F44)</f>
        <v>0</v>
      </c>
      <c r="H19" s="91">
        <f t="array" ref="H19">SUM(H9:H14*Staff!$F39:$F44)</f>
        <v>0</v>
      </c>
      <c r="I19" s="91">
        <f t="array" ref="I19">SUM(I9:I14*Staff!$F39:$F44)</f>
        <v>0</v>
      </c>
      <c r="J19" s="91">
        <f t="array" ref="J19">SUM(J9:J14*Staff!$F39:$F44)</f>
        <v>0</v>
      </c>
      <c r="K19" s="91">
        <f t="array" ref="K19">SUM(K9:K14*Staff!$F39:$F44)</f>
        <v>0</v>
      </c>
      <c r="L19" s="91">
        <f t="array" ref="L19">SUM(L9:L14*Staff!$F39:$F44)</f>
        <v>0</v>
      </c>
      <c r="M19" s="92">
        <f t="array" ref="M19">SUM(M9:M14*Staff!$F39:$F44)</f>
        <v>0</v>
      </c>
      <c r="N19" s="96">
        <f>SUM(B19:M19)</f>
        <v>0</v>
      </c>
      <c r="O19" s="105">
        <f ca="1"/>
        <v>0</v>
      </c>
    </row>
    <row r="20" spans="1:15" ht="15.75" thickBot="1">
      <c r="A20" s="2778" t="str">
        <v>Total Social Security</v>
      </c>
      <c r="B20" s="137">
        <f t="shared" ref="B20:M20" si="2">SUM(B18:B19)</f>
        <v>80</v>
      </c>
      <c r="C20" s="138">
        <f t="shared" si="2"/>
        <v>80</v>
      </c>
      <c r="D20" s="138">
        <f t="shared" si="2"/>
        <v>80</v>
      </c>
      <c r="E20" s="138">
        <f t="shared" si="2"/>
        <v>80</v>
      </c>
      <c r="F20" s="138">
        <f t="shared" si="2"/>
        <v>80</v>
      </c>
      <c r="G20" s="138">
        <f ca="1">SUM(G17:G19)</f>
        <v>80</v>
      </c>
      <c r="H20" s="138">
        <f t="shared" si="2"/>
        <v>80</v>
      </c>
      <c r="I20" s="138">
        <f t="shared" si="2"/>
        <v>80</v>
      </c>
      <c r="J20" s="138">
        <f t="shared" si="2"/>
        <v>80</v>
      </c>
      <c r="K20" s="138">
        <f t="shared" si="2"/>
        <v>80</v>
      </c>
      <c r="L20" s="138">
        <f t="shared" si="2"/>
        <v>80</v>
      </c>
      <c r="M20" s="139">
        <f t="shared" si="2"/>
        <v>80</v>
      </c>
      <c r="N20" s="136">
        <f ca="1">SUM(B20:M20)</f>
        <v>960</v>
      </c>
      <c r="O20" s="108">
        <f ca="1"/>
        <v>5.3914522105126594E-2</v>
      </c>
    </row>
    <row r="21" spans="1:15" ht="15.75" thickBot="1">
      <c r="A21" s="2779"/>
      <c r="B21" s="129"/>
      <c r="C21" s="130"/>
      <c r="D21" s="130"/>
      <c r="E21" s="130"/>
      <c r="F21" s="130"/>
      <c r="G21" s="130"/>
      <c r="H21" s="130"/>
      <c r="I21" s="130"/>
      <c r="J21" s="130"/>
      <c r="K21" s="130"/>
      <c r="L21" s="130"/>
      <c r="M21" s="131"/>
      <c r="N21" s="125"/>
      <c r="O21" s="126"/>
    </row>
    <row r="22" spans="1:15">
      <c r="A22" s="2776" t="str">
        <f t="array" ref="A22:A25">'Fixed Expenses 0'!A22:A25</f>
        <v>Labour Registrations &amp; Cancellations</v>
      </c>
      <c r="B22" s="87"/>
      <c r="C22" s="88"/>
      <c r="D22" s="88"/>
      <c r="E22" s="88"/>
      <c r="F22" s="88"/>
      <c r="G22" s="88"/>
      <c r="H22" s="88"/>
      <c r="I22" s="88"/>
      <c r="J22" s="88"/>
      <c r="K22" s="88"/>
      <c r="L22" s="88"/>
      <c r="M22" s="89"/>
      <c r="N22" s="132"/>
      <c r="O22" s="104"/>
    </row>
    <row r="23" spans="1:15">
      <c r="A23" s="142" t="str">
        <v>Partners registrations &amp; cancellations</v>
      </c>
      <c r="B23" s="93">
        <f t="array" ref="B23:M24">Staff!$F53:$F54*'Detailed Staff'!C96:N97</f>
        <v>0</v>
      </c>
      <c r="C23" s="94">
        <v>0</v>
      </c>
      <c r="D23" s="94">
        <v>0</v>
      </c>
      <c r="E23" s="94">
        <v>0</v>
      </c>
      <c r="F23" s="94">
        <v>0</v>
      </c>
      <c r="G23" s="94">
        <v>0</v>
      </c>
      <c r="H23" s="94">
        <v>0</v>
      </c>
      <c r="I23" s="94">
        <v>0</v>
      </c>
      <c r="J23" s="94">
        <v>0</v>
      </c>
      <c r="K23" s="94">
        <v>0</v>
      </c>
      <c r="L23" s="94">
        <v>0</v>
      </c>
      <c r="M23" s="95">
        <v>0</v>
      </c>
      <c r="N23" s="96">
        <f>SUM(B23:M23)</f>
        <v>0</v>
      </c>
      <c r="O23" s="105">
        <f t="array" aca="1" ref="O23:O25" ca="1">N23:N25/$N$27</f>
        <v>0</v>
      </c>
    </row>
    <row r="24" spans="1:15">
      <c r="A24" s="142" t="str">
        <v>Employees registrations &amp; cancellations</v>
      </c>
      <c r="B24" s="93">
        <v>0</v>
      </c>
      <c r="C24" s="94">
        <v>0</v>
      </c>
      <c r="D24" s="94">
        <v>0</v>
      </c>
      <c r="E24" s="94">
        <v>0</v>
      </c>
      <c r="F24" s="94">
        <v>0</v>
      </c>
      <c r="G24" s="94">
        <v>0</v>
      </c>
      <c r="H24" s="94">
        <v>0</v>
      </c>
      <c r="I24" s="94">
        <v>0</v>
      </c>
      <c r="J24" s="94">
        <v>0</v>
      </c>
      <c r="K24" s="94">
        <v>0</v>
      </c>
      <c r="L24" s="94">
        <v>0</v>
      </c>
      <c r="M24" s="95">
        <v>0</v>
      </c>
      <c r="N24" s="96">
        <f>SUM(B24:M24)</f>
        <v>0</v>
      </c>
      <c r="O24" s="105">
        <f ca="1"/>
        <v>0</v>
      </c>
    </row>
    <row r="25" spans="1:15" ht="15.75" thickBot="1">
      <c r="A25" s="2778" t="str">
        <v>Total Labour Registrations &amp; Cancellations</v>
      </c>
      <c r="B25" s="137">
        <f>SUM(B23:B24)</f>
        <v>0</v>
      </c>
      <c r="C25" s="138">
        <f t="shared" ref="C25:M25" si="3">SUM(C23:C24)</f>
        <v>0</v>
      </c>
      <c r="D25" s="138">
        <f t="shared" si="3"/>
        <v>0</v>
      </c>
      <c r="E25" s="138">
        <f t="shared" si="3"/>
        <v>0</v>
      </c>
      <c r="F25" s="138">
        <f t="shared" si="3"/>
        <v>0</v>
      </c>
      <c r="G25" s="138">
        <f t="shared" si="3"/>
        <v>0</v>
      </c>
      <c r="H25" s="138">
        <f t="shared" si="3"/>
        <v>0</v>
      </c>
      <c r="I25" s="138">
        <f t="shared" si="3"/>
        <v>0</v>
      </c>
      <c r="J25" s="138">
        <f t="shared" si="3"/>
        <v>0</v>
      </c>
      <c r="K25" s="138">
        <f t="shared" si="3"/>
        <v>0</v>
      </c>
      <c r="L25" s="138">
        <f t="shared" si="3"/>
        <v>0</v>
      </c>
      <c r="M25" s="139">
        <f t="shared" si="3"/>
        <v>0</v>
      </c>
      <c r="N25" s="136">
        <f>SUM(B25:M25)</f>
        <v>0</v>
      </c>
      <c r="O25" s="108">
        <f ca="1"/>
        <v>0</v>
      </c>
    </row>
    <row r="26" spans="1:15" ht="15.75" thickBot="1">
      <c r="A26" s="2780"/>
      <c r="B26" s="141"/>
      <c r="C26" s="127"/>
      <c r="D26" s="127"/>
      <c r="E26" s="127"/>
      <c r="F26" s="127"/>
      <c r="G26" s="127"/>
      <c r="H26" s="127"/>
      <c r="I26" s="127"/>
      <c r="J26" s="127"/>
      <c r="K26" s="127"/>
      <c r="L26" s="127"/>
      <c r="M26" s="128"/>
      <c r="N26" s="120"/>
      <c r="O26" s="121"/>
    </row>
    <row r="27" spans="1:15" ht="15.75" thickBot="1">
      <c r="A27" s="2418" t="str">
        <f>'Fixed Expenses 0'!A27</f>
        <v>Total Labour Expenses</v>
      </c>
      <c r="B27" s="2893">
        <f t="shared" ref="B27:N27" si="4">B25+B20+B15</f>
        <v>1483.8302720000002</v>
      </c>
      <c r="C27" s="2894">
        <f t="shared" si="4"/>
        <v>1483.8302720000002</v>
      </c>
      <c r="D27" s="2894">
        <f t="shared" si="4"/>
        <v>1483.8302720000002</v>
      </c>
      <c r="E27" s="2894">
        <f t="shared" si="4"/>
        <v>1483.8302720000002</v>
      </c>
      <c r="F27" s="2894">
        <f t="shared" si="4"/>
        <v>1483.8302720000002</v>
      </c>
      <c r="G27" s="2894">
        <f t="shared" ca="1" si="4"/>
        <v>1483.8302720000002</v>
      </c>
      <c r="H27" s="2894">
        <f t="shared" si="4"/>
        <v>1483.8302720000002</v>
      </c>
      <c r="I27" s="2894">
        <f t="shared" si="4"/>
        <v>1483.8302720000002</v>
      </c>
      <c r="J27" s="2894">
        <f t="shared" si="4"/>
        <v>1483.8302720000002</v>
      </c>
      <c r="K27" s="2894">
        <f t="shared" si="4"/>
        <v>1483.8302720000002</v>
      </c>
      <c r="L27" s="2894">
        <f t="shared" si="4"/>
        <v>1483.8302720000002</v>
      </c>
      <c r="M27" s="83">
        <f t="shared" si="4"/>
        <v>1483.8302720000002</v>
      </c>
      <c r="N27" s="82">
        <f t="shared" ca="1" si="4"/>
        <v>17805.963263999998</v>
      </c>
      <c r="O27" s="109">
        <f ca="1">N27/$N$58</f>
        <v>0.97298036489631623</v>
      </c>
    </row>
    <row r="28" spans="1:15">
      <c r="A28" s="100"/>
      <c r="B28" s="84"/>
      <c r="C28" s="84"/>
      <c r="D28" s="84"/>
      <c r="E28" s="84"/>
      <c r="F28" s="84"/>
      <c r="G28" s="84"/>
      <c r="H28" s="84"/>
      <c r="I28" s="84"/>
      <c r="J28" s="84"/>
      <c r="K28" s="84"/>
      <c r="L28" s="84"/>
      <c r="M28" s="84"/>
      <c r="N28" s="84"/>
      <c r="O28" s="101"/>
    </row>
    <row r="29" spans="1:15">
      <c r="A29" s="86"/>
      <c r="B29" s="84"/>
      <c r="C29" s="84"/>
      <c r="D29" s="84"/>
      <c r="E29" s="84"/>
      <c r="F29" s="84"/>
      <c r="G29" s="84"/>
      <c r="H29" s="84"/>
      <c r="I29" s="84"/>
      <c r="J29" s="84"/>
      <c r="K29" s="84"/>
      <c r="L29" s="84"/>
      <c r="M29" s="84"/>
      <c r="N29" s="84"/>
      <c r="O29" s="98"/>
    </row>
    <row r="30" spans="1:15">
      <c r="A30" s="86"/>
      <c r="B30" s="84"/>
      <c r="C30" s="84"/>
      <c r="D30" s="84"/>
      <c r="E30" s="84"/>
      <c r="F30" s="84"/>
      <c r="G30" s="84"/>
      <c r="H30" s="84"/>
      <c r="I30" s="84"/>
      <c r="J30" s="84"/>
      <c r="K30" s="84"/>
      <c r="L30" s="84"/>
      <c r="M30" s="84"/>
      <c r="N30" s="84"/>
      <c r="O30" s="98"/>
    </row>
    <row r="31" spans="1:15" ht="15.75" thickBot="1">
      <c r="A31" s="86"/>
      <c r="B31" s="84"/>
      <c r="C31" s="84"/>
      <c r="D31" s="84"/>
      <c r="E31" s="84"/>
      <c r="F31" s="84"/>
      <c r="G31" s="84"/>
      <c r="H31" s="84"/>
      <c r="I31" s="84"/>
      <c r="J31" s="84"/>
      <c r="K31" s="84"/>
      <c r="L31" s="84"/>
      <c r="M31" s="84"/>
      <c r="N31" s="84"/>
      <c r="O31" s="98"/>
    </row>
    <row r="32" spans="1:15" ht="15.75" thickBot="1">
      <c r="A32" s="146" t="str">
        <f>'Fixed Expenses 0'!A32</f>
        <v>Other Fixed Expenses</v>
      </c>
      <c r="B32" s="155" t="str">
        <f t="array" ref="B32:M32">meses</f>
        <v>January</v>
      </c>
      <c r="C32" s="156" t="str">
        <v>February</v>
      </c>
      <c r="D32" s="156" t="str">
        <v>March</v>
      </c>
      <c r="E32" s="156" t="str">
        <v>April</v>
      </c>
      <c r="F32" s="156" t="str">
        <v>May</v>
      </c>
      <c r="G32" s="156" t="str">
        <v>June</v>
      </c>
      <c r="H32" s="156" t="str">
        <v>July</v>
      </c>
      <c r="I32" s="156" t="str">
        <v>August</v>
      </c>
      <c r="J32" s="156" t="str">
        <v>September</v>
      </c>
      <c r="K32" s="156" t="str">
        <v>October</v>
      </c>
      <c r="L32" s="156" t="str">
        <v>November</v>
      </c>
      <c r="M32" s="157" t="str">
        <v>December</v>
      </c>
      <c r="N32" s="102" t="str">
        <f>'Fixed Expenses 0'!$N$4</f>
        <v>Totals</v>
      </c>
      <c r="O32" s="102" t="s">
        <v>3</v>
      </c>
    </row>
    <row r="33" spans="1:15">
      <c r="A33" s="107" t="str">
        <f t="array" ref="A33:A54">'Fixed Expenses Data'!A6:A27</f>
        <v xml:space="preserve">Fixed &amp; Other taxes </v>
      </c>
      <c r="B33" s="147">
        <f t="array" ref="B33:M54">IFERROR('Fixed Expenses Data'!$X6:$X27*'Fixed Expenses 3'!$B33:$M54/'Fixed Expenses 3'!$N33:$N54,'Fixed Expenses Data'!$X6:$X27/12)</f>
        <v>0</v>
      </c>
      <c r="C33" s="148">
        <v>0</v>
      </c>
      <c r="D33" s="148">
        <v>0</v>
      </c>
      <c r="E33" s="148">
        <v>0</v>
      </c>
      <c r="F33" s="148">
        <v>0</v>
      </c>
      <c r="G33" s="148">
        <v>0</v>
      </c>
      <c r="H33" s="148">
        <v>0</v>
      </c>
      <c r="I33" s="148">
        <v>0</v>
      </c>
      <c r="J33" s="148">
        <v>0</v>
      </c>
      <c r="K33" s="148">
        <v>0</v>
      </c>
      <c r="L33" s="148">
        <v>0</v>
      </c>
      <c r="M33" s="149">
        <v>0</v>
      </c>
      <c r="N33" s="153">
        <f t="shared" ref="N33:N54" si="5">SUM(B33:M33)</f>
        <v>0</v>
      </c>
      <c r="O33" s="104">
        <f t="array" aca="1" ref="O33:O54" ca="1">N33:N54/$N$58</f>
        <v>0</v>
      </c>
    </row>
    <row r="34" spans="1:15">
      <c r="A34" s="106" t="str">
        <v>Other fixed expenses ( VAT exempted)</v>
      </c>
      <c r="B34" s="76">
        <v>0</v>
      </c>
      <c r="C34" s="77">
        <v>0</v>
      </c>
      <c r="D34" s="77">
        <v>0</v>
      </c>
      <c r="E34" s="77">
        <v>0</v>
      </c>
      <c r="F34" s="77">
        <v>0</v>
      </c>
      <c r="G34" s="77">
        <v>0</v>
      </c>
      <c r="H34" s="77">
        <v>0</v>
      </c>
      <c r="I34" s="77">
        <v>0</v>
      </c>
      <c r="J34" s="77">
        <v>0</v>
      </c>
      <c r="K34" s="77">
        <v>0</v>
      </c>
      <c r="L34" s="77">
        <v>0</v>
      </c>
      <c r="M34" s="78">
        <v>0</v>
      </c>
      <c r="N34" s="154">
        <f t="shared" si="5"/>
        <v>0</v>
      </c>
      <c r="O34" s="105">
        <f ca="1"/>
        <v>0</v>
      </c>
    </row>
    <row r="35" spans="1:15">
      <c r="A35" s="106" t="str">
        <v>Insurance fees</v>
      </c>
      <c r="B35" s="76">
        <v>0</v>
      </c>
      <c r="C35" s="77">
        <v>0</v>
      </c>
      <c r="D35" s="77">
        <v>0</v>
      </c>
      <c r="E35" s="77">
        <v>0</v>
      </c>
      <c r="F35" s="77">
        <v>0</v>
      </c>
      <c r="G35" s="77">
        <v>0</v>
      </c>
      <c r="H35" s="77">
        <v>0</v>
      </c>
      <c r="I35" s="77">
        <v>0</v>
      </c>
      <c r="J35" s="77">
        <v>0</v>
      </c>
      <c r="K35" s="77">
        <v>0</v>
      </c>
      <c r="L35" s="77">
        <v>0</v>
      </c>
      <c r="M35" s="78">
        <v>0</v>
      </c>
      <c r="N35" s="154">
        <f t="shared" si="5"/>
        <v>0</v>
      </c>
      <c r="O35" s="105">
        <f ca="1"/>
        <v>0</v>
      </c>
    </row>
    <row r="36" spans="1:15">
      <c r="A36" s="106" t="str">
        <v>Professional asociation /board /council</v>
      </c>
      <c r="B36" s="76">
        <v>0</v>
      </c>
      <c r="C36" s="77">
        <v>0</v>
      </c>
      <c r="D36" s="77">
        <v>0</v>
      </c>
      <c r="E36" s="77">
        <v>0</v>
      </c>
      <c r="F36" s="77">
        <v>0</v>
      </c>
      <c r="G36" s="77">
        <v>0</v>
      </c>
      <c r="H36" s="77">
        <v>0</v>
      </c>
      <c r="I36" s="77">
        <v>0</v>
      </c>
      <c r="J36" s="77">
        <v>0</v>
      </c>
      <c r="K36" s="77">
        <v>0</v>
      </c>
      <c r="L36" s="77">
        <v>0</v>
      </c>
      <c r="M36" s="78">
        <v>0</v>
      </c>
      <c r="N36" s="154">
        <f t="shared" si="5"/>
        <v>0</v>
      </c>
      <c r="O36" s="105">
        <f ca="1"/>
        <v>0</v>
      </c>
    </row>
    <row r="37" spans="1:15">
      <c r="A37" s="106" t="str">
        <v>Electricity (Low Season)</v>
      </c>
      <c r="B37" s="76">
        <v>0</v>
      </c>
      <c r="C37" s="77">
        <v>0</v>
      </c>
      <c r="D37" s="77">
        <v>0</v>
      </c>
      <c r="E37" s="77">
        <v>0</v>
      </c>
      <c r="F37" s="77">
        <v>0</v>
      </c>
      <c r="G37" s="77">
        <v>0</v>
      </c>
      <c r="H37" s="77">
        <v>0</v>
      </c>
      <c r="I37" s="77">
        <v>0</v>
      </c>
      <c r="J37" s="77">
        <v>0</v>
      </c>
      <c r="K37" s="77">
        <v>0</v>
      </c>
      <c r="L37" s="77">
        <v>0</v>
      </c>
      <c r="M37" s="78">
        <v>0</v>
      </c>
      <c r="N37" s="154">
        <f t="shared" si="5"/>
        <v>0</v>
      </c>
      <c r="O37" s="105">
        <f ca="1"/>
        <v>0</v>
      </c>
    </row>
    <row r="38" spans="1:15">
      <c r="A38" s="106" t="str">
        <v>Electricity (High Season)</v>
      </c>
      <c r="B38" s="76">
        <v>0</v>
      </c>
      <c r="C38" s="77">
        <v>0</v>
      </c>
      <c r="D38" s="77">
        <v>0</v>
      </c>
      <c r="E38" s="77">
        <v>0</v>
      </c>
      <c r="F38" s="77">
        <v>0</v>
      </c>
      <c r="G38" s="77">
        <v>0</v>
      </c>
      <c r="H38" s="77">
        <v>0</v>
      </c>
      <c r="I38" s="77">
        <v>0</v>
      </c>
      <c r="J38" s="77">
        <v>0</v>
      </c>
      <c r="K38" s="77">
        <v>0</v>
      </c>
      <c r="L38" s="77">
        <v>0</v>
      </c>
      <c r="M38" s="78">
        <v>0</v>
      </c>
      <c r="N38" s="154">
        <f t="shared" si="5"/>
        <v>0</v>
      </c>
      <c r="O38" s="105">
        <f ca="1"/>
        <v>0</v>
      </c>
    </row>
    <row r="39" spans="1:15">
      <c r="A39" s="106" t="str">
        <v>Water supply, sanitation &amp; garbage fees</v>
      </c>
      <c r="B39" s="76">
        <v>0</v>
      </c>
      <c r="C39" s="77">
        <v>0</v>
      </c>
      <c r="D39" s="77">
        <v>0</v>
      </c>
      <c r="E39" s="77">
        <v>0</v>
      </c>
      <c r="F39" s="77">
        <v>0</v>
      </c>
      <c r="G39" s="77">
        <v>0</v>
      </c>
      <c r="H39" s="77">
        <v>0</v>
      </c>
      <c r="I39" s="77">
        <v>0</v>
      </c>
      <c r="J39" s="77">
        <v>0</v>
      </c>
      <c r="K39" s="77">
        <v>0</v>
      </c>
      <c r="L39" s="77">
        <v>0</v>
      </c>
      <c r="M39" s="78">
        <v>0</v>
      </c>
      <c r="N39" s="154">
        <f t="shared" si="5"/>
        <v>0</v>
      </c>
      <c r="O39" s="105">
        <f ca="1"/>
        <v>0</v>
      </c>
    </row>
    <row r="40" spans="1:15">
      <c r="A40" s="106" t="str">
        <v>Other supplies (gas, etc.)</v>
      </c>
      <c r="B40" s="76">
        <v>0</v>
      </c>
      <c r="C40" s="77">
        <v>0</v>
      </c>
      <c r="D40" s="77">
        <v>0</v>
      </c>
      <c r="E40" s="77">
        <v>0</v>
      </c>
      <c r="F40" s="77">
        <v>0</v>
      </c>
      <c r="G40" s="77">
        <v>0</v>
      </c>
      <c r="H40" s="77">
        <v>0</v>
      </c>
      <c r="I40" s="77">
        <v>0</v>
      </c>
      <c r="J40" s="77">
        <v>0</v>
      </c>
      <c r="K40" s="77">
        <v>0</v>
      </c>
      <c r="L40" s="77">
        <v>0</v>
      </c>
      <c r="M40" s="78">
        <v>0</v>
      </c>
      <c r="N40" s="154">
        <f t="shared" si="5"/>
        <v>0</v>
      </c>
      <c r="O40" s="105">
        <f ca="1"/>
        <v>0</v>
      </c>
    </row>
    <row r="41" spans="1:15">
      <c r="A41" s="106" t="str">
        <v>Phone / internet conection</v>
      </c>
      <c r="B41" s="76">
        <v>0</v>
      </c>
      <c r="C41" s="77">
        <v>0</v>
      </c>
      <c r="D41" s="77">
        <v>0</v>
      </c>
      <c r="E41" s="77">
        <v>0</v>
      </c>
      <c r="F41" s="77">
        <v>0</v>
      </c>
      <c r="G41" s="77">
        <v>0</v>
      </c>
      <c r="H41" s="77">
        <v>0</v>
      </c>
      <c r="I41" s="77">
        <v>0</v>
      </c>
      <c r="J41" s="77">
        <v>0</v>
      </c>
      <c r="K41" s="77">
        <v>0</v>
      </c>
      <c r="L41" s="77">
        <v>0</v>
      </c>
      <c r="M41" s="78">
        <v>0</v>
      </c>
      <c r="N41" s="154">
        <f t="shared" si="5"/>
        <v>0</v>
      </c>
      <c r="O41" s="105">
        <f ca="1"/>
        <v>0</v>
      </c>
    </row>
    <row r="42" spans="1:15">
      <c r="A42" s="106" t="str">
        <v>Web services &amp; hosting</v>
      </c>
      <c r="B42" s="76">
        <v>0</v>
      </c>
      <c r="C42" s="77">
        <v>0</v>
      </c>
      <c r="D42" s="77">
        <v>0</v>
      </c>
      <c r="E42" s="77">
        <v>0</v>
      </c>
      <c r="F42" s="77">
        <v>0</v>
      </c>
      <c r="G42" s="77">
        <v>0</v>
      </c>
      <c r="H42" s="77">
        <v>0</v>
      </c>
      <c r="I42" s="77">
        <v>0</v>
      </c>
      <c r="J42" s="77">
        <v>0</v>
      </c>
      <c r="K42" s="77">
        <v>0</v>
      </c>
      <c r="L42" s="77">
        <v>0</v>
      </c>
      <c r="M42" s="78">
        <v>0</v>
      </c>
      <c r="N42" s="154">
        <f t="shared" si="5"/>
        <v>0</v>
      </c>
      <c r="O42" s="105">
        <f ca="1"/>
        <v>0</v>
      </c>
    </row>
    <row r="43" spans="1:15">
      <c r="A43" s="106" t="str">
        <v>Alarm / Security service</v>
      </c>
      <c r="B43" s="76">
        <v>0</v>
      </c>
      <c r="C43" s="77">
        <v>0</v>
      </c>
      <c r="D43" s="77">
        <v>0</v>
      </c>
      <c r="E43" s="77">
        <v>0</v>
      </c>
      <c r="F43" s="77">
        <v>0</v>
      </c>
      <c r="G43" s="77">
        <v>0</v>
      </c>
      <c r="H43" s="77">
        <v>0</v>
      </c>
      <c r="I43" s="77">
        <v>0</v>
      </c>
      <c r="J43" s="77">
        <v>0</v>
      </c>
      <c r="K43" s="77">
        <v>0</v>
      </c>
      <c r="L43" s="77">
        <v>0</v>
      </c>
      <c r="M43" s="78">
        <v>0</v>
      </c>
      <c r="N43" s="154">
        <f t="shared" si="5"/>
        <v>0</v>
      </c>
      <c r="O43" s="105">
        <f ca="1"/>
        <v>0</v>
      </c>
    </row>
    <row r="44" spans="1:15">
      <c r="A44" s="106" t="str">
        <v>stationery/office supplies</v>
      </c>
      <c r="B44" s="76">
        <v>0</v>
      </c>
      <c r="C44" s="77">
        <v>0</v>
      </c>
      <c r="D44" s="77">
        <v>0</v>
      </c>
      <c r="E44" s="77">
        <v>0</v>
      </c>
      <c r="F44" s="77">
        <v>0</v>
      </c>
      <c r="G44" s="77">
        <v>0</v>
      </c>
      <c r="H44" s="77">
        <v>0</v>
      </c>
      <c r="I44" s="77">
        <v>0</v>
      </c>
      <c r="J44" s="77">
        <v>0</v>
      </c>
      <c r="K44" s="77">
        <v>0</v>
      </c>
      <c r="L44" s="77">
        <v>0</v>
      </c>
      <c r="M44" s="78">
        <v>0</v>
      </c>
      <c r="N44" s="154">
        <f t="shared" si="5"/>
        <v>0</v>
      </c>
      <c r="O44" s="105">
        <f ca="1"/>
        <v>0</v>
      </c>
    </row>
    <row r="45" spans="1:15">
      <c r="A45" s="106" t="str">
        <v xml:space="preserve">Congresses / Profesional Fairs </v>
      </c>
      <c r="B45" s="76">
        <v>0</v>
      </c>
      <c r="C45" s="77">
        <v>0</v>
      </c>
      <c r="D45" s="77">
        <v>0</v>
      </c>
      <c r="E45" s="77">
        <v>0</v>
      </c>
      <c r="F45" s="77">
        <v>0</v>
      </c>
      <c r="G45" s="77">
        <v>0</v>
      </c>
      <c r="H45" s="77">
        <v>0</v>
      </c>
      <c r="I45" s="77">
        <v>0</v>
      </c>
      <c r="J45" s="77">
        <v>0</v>
      </c>
      <c r="K45" s="77">
        <v>0</v>
      </c>
      <c r="L45" s="77">
        <v>0</v>
      </c>
      <c r="M45" s="78">
        <v>0</v>
      </c>
      <c r="N45" s="154">
        <f t="shared" si="5"/>
        <v>0</v>
      </c>
      <c r="O45" s="105">
        <f ca="1"/>
        <v>0</v>
      </c>
    </row>
    <row r="46" spans="1:15">
      <c r="A46" s="106" t="str">
        <v>Transportation &amp; Travelling</v>
      </c>
      <c r="B46" s="76">
        <v>0</v>
      </c>
      <c r="C46" s="77">
        <v>0</v>
      </c>
      <c r="D46" s="77">
        <v>0</v>
      </c>
      <c r="E46" s="77">
        <v>0</v>
      </c>
      <c r="F46" s="77">
        <v>0</v>
      </c>
      <c r="G46" s="77">
        <v>0</v>
      </c>
      <c r="H46" s="77">
        <v>0</v>
      </c>
      <c r="I46" s="77">
        <v>0</v>
      </c>
      <c r="J46" s="77">
        <v>0</v>
      </c>
      <c r="K46" s="77">
        <v>0</v>
      </c>
      <c r="L46" s="77">
        <v>0</v>
      </c>
      <c r="M46" s="78">
        <v>0</v>
      </c>
      <c r="N46" s="154">
        <f t="shared" si="5"/>
        <v>0</v>
      </c>
      <c r="O46" s="105">
        <f ca="1"/>
        <v>0</v>
      </c>
    </row>
    <row r="47" spans="1:15">
      <c r="A47" s="106" t="str">
        <v>Consultants &amp; independent professionals</v>
      </c>
      <c r="B47" s="76">
        <v>0</v>
      </c>
      <c r="C47" s="77">
        <v>0</v>
      </c>
      <c r="D47" s="77">
        <v>0</v>
      </c>
      <c r="E47" s="77">
        <v>0</v>
      </c>
      <c r="F47" s="77">
        <v>0</v>
      </c>
      <c r="G47" s="77">
        <v>0</v>
      </c>
      <c r="H47" s="77">
        <v>0</v>
      </c>
      <c r="I47" s="77">
        <v>0</v>
      </c>
      <c r="J47" s="77">
        <v>0</v>
      </c>
      <c r="K47" s="77">
        <v>0</v>
      </c>
      <c r="L47" s="77">
        <v>0</v>
      </c>
      <c r="M47" s="78">
        <v>0</v>
      </c>
      <c r="N47" s="154">
        <f t="shared" si="5"/>
        <v>0</v>
      </c>
      <c r="O47" s="105">
        <f ca="1"/>
        <v>0</v>
      </c>
    </row>
    <row r="48" spans="1:15">
      <c r="A48" s="106" t="str">
        <v>Rental fees &amp; expenses</v>
      </c>
      <c r="B48" s="76">
        <v>0</v>
      </c>
      <c r="C48" s="77">
        <v>0</v>
      </c>
      <c r="D48" s="77">
        <v>0</v>
      </c>
      <c r="E48" s="77">
        <v>0</v>
      </c>
      <c r="F48" s="77">
        <v>0</v>
      </c>
      <c r="G48" s="77">
        <v>0</v>
      </c>
      <c r="H48" s="77">
        <v>0</v>
      </c>
      <c r="I48" s="77">
        <v>0</v>
      </c>
      <c r="J48" s="77">
        <v>0</v>
      </c>
      <c r="K48" s="77">
        <v>0</v>
      </c>
      <c r="L48" s="77">
        <v>0</v>
      </c>
      <c r="M48" s="78">
        <v>0</v>
      </c>
      <c r="N48" s="154">
        <f t="shared" si="5"/>
        <v>0</v>
      </c>
      <c r="O48" s="105">
        <f ca="1"/>
        <v>0</v>
      </c>
    </row>
    <row r="49" spans="1:15">
      <c r="A49" s="106" t="str">
        <v>Online Variable Marketing expenses</v>
      </c>
      <c r="B49" s="76">
        <f ca="1"/>
        <v>13.033392019799999</v>
      </c>
      <c r="C49" s="77">
        <f ca="1"/>
        <v>13.033392019799999</v>
      </c>
      <c r="D49" s="77">
        <f ca="1"/>
        <v>13.033392019799999</v>
      </c>
      <c r="E49" s="77">
        <f ca="1"/>
        <v>13.033392019799999</v>
      </c>
      <c r="F49" s="77">
        <f ca="1"/>
        <v>13.033392019799999</v>
      </c>
      <c r="G49" s="77">
        <f ca="1"/>
        <v>13.033392019799999</v>
      </c>
      <c r="H49" s="77">
        <f ca="1"/>
        <v>13.033392019799999</v>
      </c>
      <c r="I49" s="77">
        <f ca="1"/>
        <v>13.033392019799999</v>
      </c>
      <c r="J49" s="77">
        <f ca="1"/>
        <v>13.033392019799999</v>
      </c>
      <c r="K49" s="77">
        <f ca="1"/>
        <v>13.033392019799999</v>
      </c>
      <c r="L49" s="77">
        <f ca="1"/>
        <v>13.033392019799999</v>
      </c>
      <c r="M49" s="78">
        <f ca="1"/>
        <v>13.033392019799999</v>
      </c>
      <c r="N49" s="154">
        <f t="shared" ca="1" si="5"/>
        <v>156.40070423760002</v>
      </c>
      <c r="O49" s="105">
        <f ca="1"/>
        <v>8.5462837378086215E-3</v>
      </c>
    </row>
    <row r="50" spans="1:15">
      <c r="A50" s="106" t="str">
        <v>Online Fixed Marketing expenses</v>
      </c>
      <c r="B50" s="76">
        <v>0</v>
      </c>
      <c r="C50" s="77">
        <v>0</v>
      </c>
      <c r="D50" s="77">
        <v>0</v>
      </c>
      <c r="E50" s="77">
        <v>0</v>
      </c>
      <c r="F50" s="77">
        <v>0</v>
      </c>
      <c r="G50" s="77">
        <v>0</v>
      </c>
      <c r="H50" s="77">
        <v>0</v>
      </c>
      <c r="I50" s="77">
        <v>0</v>
      </c>
      <c r="J50" s="77">
        <v>0</v>
      </c>
      <c r="K50" s="77">
        <v>0</v>
      </c>
      <c r="L50" s="77">
        <v>0</v>
      </c>
      <c r="M50" s="78">
        <v>0</v>
      </c>
      <c r="N50" s="154">
        <f t="shared" si="5"/>
        <v>0</v>
      </c>
      <c r="O50" s="105">
        <f ca="1"/>
        <v>0</v>
      </c>
    </row>
    <row r="51" spans="1:15">
      <c r="A51" s="106" t="str">
        <v>Offline Variable Marketing expenses</v>
      </c>
      <c r="B51" s="76">
        <f ca="1"/>
        <v>26.066784039599998</v>
      </c>
      <c r="C51" s="77">
        <f ca="1"/>
        <v>26.066784039599998</v>
      </c>
      <c r="D51" s="77">
        <f ca="1"/>
        <v>26.066784039599998</v>
      </c>
      <c r="E51" s="77">
        <f ca="1"/>
        <v>26.066784039599998</v>
      </c>
      <c r="F51" s="77">
        <f ca="1"/>
        <v>26.066784039599998</v>
      </c>
      <c r="G51" s="77">
        <f ca="1"/>
        <v>26.066784039599998</v>
      </c>
      <c r="H51" s="77">
        <f ca="1"/>
        <v>26.066784039599998</v>
      </c>
      <c r="I51" s="77">
        <f ca="1"/>
        <v>26.066784039599998</v>
      </c>
      <c r="J51" s="77">
        <f ca="1"/>
        <v>26.066784039599998</v>
      </c>
      <c r="K51" s="77">
        <f ca="1"/>
        <v>26.066784039599998</v>
      </c>
      <c r="L51" s="77">
        <f ca="1"/>
        <v>26.066784039599998</v>
      </c>
      <c r="M51" s="78">
        <f ca="1"/>
        <v>26.066784039599998</v>
      </c>
      <c r="N51" s="154">
        <f t="shared" ca="1" si="5"/>
        <v>312.80140847520005</v>
      </c>
      <c r="O51" s="105">
        <f ca="1"/>
        <v>1.7092567475617243E-2</v>
      </c>
    </row>
    <row r="52" spans="1:15">
      <c r="A52" s="106" t="str">
        <v>Offline Fixed Marketing expenses</v>
      </c>
      <c r="B52" s="76">
        <v>0</v>
      </c>
      <c r="C52" s="77">
        <v>0</v>
      </c>
      <c r="D52" s="77">
        <v>0</v>
      </c>
      <c r="E52" s="77">
        <v>0</v>
      </c>
      <c r="F52" s="77">
        <v>0</v>
      </c>
      <c r="G52" s="77">
        <v>0</v>
      </c>
      <c r="H52" s="77">
        <v>0</v>
      </c>
      <c r="I52" s="77">
        <v>0</v>
      </c>
      <c r="J52" s="77">
        <v>0</v>
      </c>
      <c r="K52" s="77">
        <v>0</v>
      </c>
      <c r="L52" s="77">
        <v>0</v>
      </c>
      <c r="M52" s="78">
        <v>0</v>
      </c>
      <c r="N52" s="154">
        <f t="shared" si="5"/>
        <v>0</v>
      </c>
      <c r="O52" s="105">
        <f ca="1"/>
        <v>0</v>
      </c>
    </row>
    <row r="53" spans="1:15">
      <c r="A53" s="106" t="str">
        <v>Maintenance &amp; repairs</v>
      </c>
      <c r="B53" s="76">
        <v>0</v>
      </c>
      <c r="C53" s="77">
        <v>0</v>
      </c>
      <c r="D53" s="77">
        <v>0</v>
      </c>
      <c r="E53" s="77">
        <v>0</v>
      </c>
      <c r="F53" s="77">
        <v>0</v>
      </c>
      <c r="G53" s="77">
        <v>0</v>
      </c>
      <c r="H53" s="77">
        <v>0</v>
      </c>
      <c r="I53" s="77">
        <v>0</v>
      </c>
      <c r="J53" s="77">
        <v>0</v>
      </c>
      <c r="K53" s="77">
        <v>0</v>
      </c>
      <c r="L53" s="77">
        <v>0</v>
      </c>
      <c r="M53" s="78">
        <v>0</v>
      </c>
      <c r="N53" s="154">
        <f t="shared" si="5"/>
        <v>0</v>
      </c>
      <c r="O53" s="105">
        <f ca="1"/>
        <v>0</v>
      </c>
    </row>
    <row r="54" spans="1:15" ht="15.75" thickBot="1">
      <c r="A54" s="106" t="str">
        <v>Other unexpected expenses</v>
      </c>
      <c r="B54" s="76">
        <f ca="1"/>
        <v>2.1057454080000002</v>
      </c>
      <c r="C54" s="77">
        <f ca="1"/>
        <v>2.1057454080000002</v>
      </c>
      <c r="D54" s="77">
        <f ca="1"/>
        <v>2.1057454080000002</v>
      </c>
      <c r="E54" s="77">
        <f ca="1"/>
        <v>2.1057454080000002</v>
      </c>
      <c r="F54" s="77">
        <f ca="1"/>
        <v>2.1057454080000002</v>
      </c>
      <c r="G54" s="77">
        <f ca="1"/>
        <v>2.1057454080000002</v>
      </c>
      <c r="H54" s="77">
        <f ca="1"/>
        <v>2.1057454080000002</v>
      </c>
      <c r="I54" s="77">
        <f ca="1"/>
        <v>2.1057454080000002</v>
      </c>
      <c r="J54" s="77">
        <f ca="1"/>
        <v>2.1057454080000002</v>
      </c>
      <c r="K54" s="77">
        <f ca="1"/>
        <v>2.1057454080000002</v>
      </c>
      <c r="L54" s="77">
        <f ca="1"/>
        <v>2.1057454080000002</v>
      </c>
      <c r="M54" s="78">
        <f ca="1"/>
        <v>2.1057454080000002</v>
      </c>
      <c r="N54" s="154">
        <f t="shared" ca="1" si="5"/>
        <v>25.268944896000004</v>
      </c>
      <c r="O54" s="105">
        <f ca="1"/>
        <v>1.38078389025789E-3</v>
      </c>
    </row>
    <row r="55" spans="1:15" ht="15.75" thickBot="1">
      <c r="A55" s="2418" t="str">
        <f>'Fixed Expenses 0'!A55</f>
        <v>Monthly Total Other Fixed Exp.</v>
      </c>
      <c r="B55" s="2893">
        <f ca="1">SUM(B33:B54)</f>
        <v>41.205921467399996</v>
      </c>
      <c r="C55" s="2893">
        <f t="shared" ref="C55:M55" ca="1" si="6">SUM(C33:C54)</f>
        <v>41.205921467399996</v>
      </c>
      <c r="D55" s="2893">
        <f t="shared" ca="1" si="6"/>
        <v>41.205921467399996</v>
      </c>
      <c r="E55" s="2893">
        <f t="shared" ca="1" si="6"/>
        <v>41.205921467399996</v>
      </c>
      <c r="F55" s="2893">
        <f t="shared" ca="1" si="6"/>
        <v>41.205921467399996</v>
      </c>
      <c r="G55" s="2893">
        <f t="shared" ca="1" si="6"/>
        <v>41.205921467399996</v>
      </c>
      <c r="H55" s="2893">
        <f t="shared" ca="1" si="6"/>
        <v>41.205921467399996</v>
      </c>
      <c r="I55" s="2893">
        <f t="shared" ca="1" si="6"/>
        <v>41.205921467399996</v>
      </c>
      <c r="J55" s="2893">
        <f t="shared" ca="1" si="6"/>
        <v>41.205921467399996</v>
      </c>
      <c r="K55" s="2893">
        <f t="shared" ca="1" si="6"/>
        <v>41.205921467399996</v>
      </c>
      <c r="L55" s="2893">
        <f t="shared" ca="1" si="6"/>
        <v>41.205921467399996</v>
      </c>
      <c r="M55" s="2893">
        <f t="shared" ca="1" si="6"/>
        <v>41.205921467399996</v>
      </c>
      <c r="N55" s="85">
        <f ca="1">SUM(N33:N54)</f>
        <v>494.47105760880004</v>
      </c>
      <c r="O55" s="109">
        <f ca="1">N55/$N$58</f>
        <v>2.7019635103683753E-2</v>
      </c>
    </row>
    <row r="56" spans="1:15">
      <c r="A56" s="86"/>
      <c r="B56" s="99"/>
      <c r="C56" s="99"/>
      <c r="D56" s="99"/>
      <c r="E56" s="99"/>
      <c r="F56" s="99"/>
      <c r="G56" s="99"/>
      <c r="H56" s="99"/>
      <c r="I56" s="99"/>
      <c r="J56" s="99"/>
      <c r="K56" s="99"/>
      <c r="L56" s="99"/>
      <c r="M56" s="99"/>
      <c r="N56" s="61"/>
      <c r="O56" s="98"/>
    </row>
    <row r="57" spans="1:15" ht="15.75" thickBot="1">
      <c r="A57" s="86"/>
      <c r="B57" s="99"/>
      <c r="C57" s="99"/>
      <c r="D57" s="99"/>
      <c r="E57" s="99"/>
      <c r="F57" s="99"/>
      <c r="G57" s="99"/>
      <c r="H57" s="99"/>
      <c r="I57" s="99"/>
      <c r="J57" s="99"/>
      <c r="K57" s="99"/>
      <c r="L57" s="99"/>
      <c r="M57" s="99"/>
      <c r="N57" s="61"/>
      <c r="O57" s="98"/>
    </row>
    <row r="58" spans="1:15" ht="15.75" thickBot="1">
      <c r="A58" s="2420" t="str">
        <f>'Fixed Expenses 0'!A58</f>
        <v>Other Fixed Expenses Total</v>
      </c>
      <c r="B58" s="2898">
        <f t="array" ref="B58:M58" ca="1">B27:M27+B55:M55</f>
        <v>1525.0361934674002</v>
      </c>
      <c r="C58" s="2899">
        <f ca="1"/>
        <v>1525.0361934674002</v>
      </c>
      <c r="D58" s="2899">
        <f ca="1"/>
        <v>1525.0361934674002</v>
      </c>
      <c r="E58" s="2899">
        <f ca="1"/>
        <v>1525.0361934674002</v>
      </c>
      <c r="F58" s="2899">
        <f ca="1"/>
        <v>1525.0361934674002</v>
      </c>
      <c r="G58" s="2899">
        <f ca="1"/>
        <v>1525.0361934674002</v>
      </c>
      <c r="H58" s="2899">
        <f ca="1"/>
        <v>1525.0361934674002</v>
      </c>
      <c r="I58" s="2899">
        <f ca="1"/>
        <v>1525.0361934674002</v>
      </c>
      <c r="J58" s="2899">
        <f ca="1"/>
        <v>1525.0361934674002</v>
      </c>
      <c r="K58" s="2899">
        <f ca="1"/>
        <v>1525.0361934674002</v>
      </c>
      <c r="L58" s="2899">
        <f ca="1"/>
        <v>1525.0361934674002</v>
      </c>
      <c r="M58" s="2900">
        <f ca="1"/>
        <v>1525.0361934674002</v>
      </c>
      <c r="N58" s="143">
        <f ca="1">N27+N55</f>
        <v>18300.434321608798</v>
      </c>
      <c r="O58" s="98"/>
    </row>
    <row r="59" spans="1:15" ht="15.75" thickBot="1">
      <c r="O59" s="98"/>
    </row>
    <row r="60" spans="1:15" ht="15.75" thickBot="1">
      <c r="A60" s="144" t="str">
        <f>'Fixed Expenses 0'!A60</f>
        <v>Input VAT from Fixed Expenses</v>
      </c>
      <c r="B60" s="2901">
        <f ca="1">Parameters!$F$33*SUM(B37:B54)</f>
        <v>8.6532435081539987</v>
      </c>
      <c r="C60" s="2902">
        <f ca="1">Parameters!$F$33*SUM(C37:C54)</f>
        <v>8.6532435081539987</v>
      </c>
      <c r="D60" s="2902">
        <f ca="1">Parameters!$F$33*SUM(D37:D54)</f>
        <v>8.6532435081539987</v>
      </c>
      <c r="E60" s="2902">
        <f ca="1">Parameters!$F$33*SUM(E37:E54)</f>
        <v>8.6532435081539987</v>
      </c>
      <c r="F60" s="2902">
        <f ca="1">Parameters!$F$33*SUM(F37:F54)</f>
        <v>8.6532435081539987</v>
      </c>
      <c r="G60" s="2902">
        <f ca="1">Parameters!$F$33*SUM(G37:G54)</f>
        <v>8.6532435081539987</v>
      </c>
      <c r="H60" s="2902">
        <f ca="1">Parameters!$F$33*SUM(H37:H54)</f>
        <v>8.6532435081539987</v>
      </c>
      <c r="I60" s="2902">
        <f ca="1">Parameters!$F$33*SUM(I37:I54)</f>
        <v>8.6532435081539987</v>
      </c>
      <c r="J60" s="2902">
        <f ca="1">Parameters!$F$33*SUM(J37:J54)</f>
        <v>8.6532435081539987</v>
      </c>
      <c r="K60" s="2902">
        <f ca="1">Parameters!$F$33*SUM(K37:K54)</f>
        <v>8.6532435081539987</v>
      </c>
      <c r="L60" s="2902">
        <f ca="1">Parameters!$F$33*SUM(L37:L54)</f>
        <v>8.6532435081539987</v>
      </c>
      <c r="M60" s="2903">
        <f ca="1">Parameters!$F$33*SUM(M37:M54)</f>
        <v>8.6532435081539987</v>
      </c>
      <c r="N60" s="143">
        <f ca="1">SUM(B60:M60)</f>
        <v>103.83892209784796</v>
      </c>
    </row>
  </sheetData>
  <sheetProtection sheet="1" objects="1" scenarios="1"/>
  <phoneticPr fontId="7" type="noConversion"/>
  <printOptions horizontalCentered="1"/>
  <pageMargins left="0.75" right="0.75" top="0.6692913385826772" bottom="0.52" header="0" footer="0"/>
  <pageSetup paperSize="9" scale="59" orientation="landscape" horizontalDpi="300"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26">
    <tabColor indexed="41"/>
    <pageSetUpPr fitToPage="1"/>
  </sheetPr>
  <dimension ref="A1:P46"/>
  <sheetViews>
    <sheetView zoomScale="85" zoomScaleNormal="75" workbookViewId="0">
      <selection activeCell="E22" sqref="E22"/>
    </sheetView>
  </sheetViews>
  <sheetFormatPr baseColWidth="10" defaultColWidth="11" defaultRowHeight="15"/>
  <cols>
    <col min="1" max="1" width="19.75" style="35" customWidth="1"/>
    <col min="2" max="3" width="11" style="35"/>
    <col min="4" max="4" width="10.25" style="35" customWidth="1"/>
    <col min="5" max="5" width="11.625" style="35" customWidth="1"/>
    <col min="6" max="6" width="12.625" style="35" customWidth="1"/>
    <col min="7" max="7" width="11.125" style="35" customWidth="1"/>
    <col min="8" max="8" width="11.625" style="35" customWidth="1"/>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CONCATENATE('Base Data'!$A$28," Periodical Settlements Calculations")</f>
        <v>VAT Periodical Settlements Calculations</v>
      </c>
      <c r="B1" s="250"/>
      <c r="F1" s="250" t="str">
        <f>Parameters!B$77</f>
        <v>Year 0:   2026</v>
      </c>
      <c r="G1" s="250"/>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"Input "&amp;'Base Data'!$A$28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
        <v>554</v>
      </c>
    </row>
    <row r="5" spans="1:16">
      <c r="A5" s="2426" t="str">
        <f>"Input "&amp;'Base Data'!$A$28&amp;" due Purchases &amp; D C"</f>
        <v>Input VAT due Purchases &amp; D C</v>
      </c>
      <c r="B5" s="1081"/>
      <c r="C5" s="1082">
        <f t="array" aca="1" ref="C5:N5" ca="1">'DC Distr 0'!B67:M67</f>
        <v>4.2</v>
      </c>
      <c r="D5" s="1083">
        <f ca="1"/>
        <v>5.7272727272727275</v>
      </c>
      <c r="E5" s="1083">
        <f ca="1"/>
        <v>7.2545454545454557</v>
      </c>
      <c r="F5" s="1083">
        <f ca="1"/>
        <v>8.7818181818181813</v>
      </c>
      <c r="G5" s="1083">
        <f ca="1"/>
        <v>10.309090909090909</v>
      </c>
      <c r="H5" s="1083">
        <f ca="1"/>
        <v>11.836363636363636</v>
      </c>
      <c r="I5" s="1083">
        <f ca="1"/>
        <v>13.363636363636363</v>
      </c>
      <c r="J5" s="1083">
        <f ca="1"/>
        <v>14.890909090909091</v>
      </c>
      <c r="K5" s="1083">
        <f ca="1"/>
        <v>16.418181818181818</v>
      </c>
      <c r="L5" s="1083">
        <f ca="1"/>
        <v>17.945454545454545</v>
      </c>
      <c r="M5" s="1083">
        <f ca="1"/>
        <v>19.472727272727273</v>
      </c>
      <c r="N5" s="1084">
        <f ca="1"/>
        <v>21</v>
      </c>
      <c r="O5" s="1119">
        <f ca="1">SUM(C5:N5)</f>
        <v>151.19999999999999</v>
      </c>
    </row>
    <row r="6" spans="1:16">
      <c r="A6" s="2426" t="str">
        <f>"Input "&amp;'Base Data'!$A$28&amp;" due to Fixed Expenses"</f>
        <v>Input VAT due to Fixed Expenses</v>
      </c>
      <c r="B6" s="1085"/>
      <c r="C6" s="1083">
        <f t="array" ref="C6:N6" ca="1">'Fixed Expenses 0'!B60:M60</f>
        <v>4.1579999999999995</v>
      </c>
      <c r="D6" s="1083">
        <f ca="1"/>
        <v>4.1579999999999995</v>
      </c>
      <c r="E6" s="1083">
        <f ca="1"/>
        <v>4.1579999999999995</v>
      </c>
      <c r="F6" s="1083">
        <f ca="1"/>
        <v>4.1579999999999995</v>
      </c>
      <c r="G6" s="1083">
        <f ca="1"/>
        <v>4.1579999999999995</v>
      </c>
      <c r="H6" s="1083">
        <f ca="1"/>
        <v>4.1579999999999995</v>
      </c>
      <c r="I6" s="1083">
        <f ca="1"/>
        <v>4.1579999999999995</v>
      </c>
      <c r="J6" s="1083">
        <f ca="1"/>
        <v>4.1579999999999995</v>
      </c>
      <c r="K6" s="1083">
        <f ca="1"/>
        <v>4.1579999999999995</v>
      </c>
      <c r="L6" s="1083">
        <f ca="1"/>
        <v>4.1579999999999995</v>
      </c>
      <c r="M6" s="1083">
        <f ca="1"/>
        <v>4.1579999999999995</v>
      </c>
      <c r="N6" s="1084">
        <f ca="1"/>
        <v>4.1579999999999995</v>
      </c>
      <c r="O6" s="1119">
        <f ca="1">SUM(C6:N6)</f>
        <v>49.896000000000008</v>
      </c>
    </row>
    <row r="7" spans="1:16">
      <c r="A7" s="2427" t="str">
        <f>"Input "&amp;'Base Data'!$A$28&amp;" due to Investments"</f>
        <v>Input VAT due to Investments</v>
      </c>
      <c r="B7" s="1086"/>
      <c r="C7" s="1083"/>
      <c r="D7" s="1083"/>
      <c r="E7" s="1083"/>
      <c r="F7" s="1083"/>
      <c r="G7" s="1083"/>
      <c r="H7" s="1083"/>
      <c r="I7" s="1083"/>
      <c r="J7" s="1083"/>
      <c r="K7" s="1083"/>
      <c r="L7" s="1083"/>
      <c r="M7" s="1083"/>
      <c r="N7" s="1084"/>
      <c r="O7" s="1119">
        <f>SUM(C7:N7)</f>
        <v>0</v>
      </c>
    </row>
    <row r="8" spans="1:16" ht="15.75" thickBot="1">
      <c r="A8" s="2428" t="str">
        <f>"Input "&amp;'Base Data'!$A$28&amp;" from Leasing/Renting"</f>
        <v>Input VAT from Leasing/Renting</v>
      </c>
      <c r="B8" s="1087"/>
      <c r="C8" s="1088">
        <f t="array" ref="C8:N8">Leasing!B24:M24+Renting!B24:M24</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4" t="str">
        <f>"Total "&amp;A4</f>
        <v>Total Input VAT</v>
      </c>
      <c r="C9" s="1136">
        <f t="shared" ref="C9:O9" ca="1" si="0">SUM(C5:C8)</f>
        <v>8.3580000000000005</v>
      </c>
      <c r="D9" s="1137">
        <f t="shared" ca="1" si="0"/>
        <v>9.8852727272727279</v>
      </c>
      <c r="E9" s="1137">
        <f t="shared" ca="1" si="0"/>
        <v>11.412545454545455</v>
      </c>
      <c r="F9" s="1137">
        <f t="shared" ca="1" si="0"/>
        <v>12.939818181818181</v>
      </c>
      <c r="G9" s="1137">
        <f t="shared" ca="1" si="0"/>
        <v>14.467090909090908</v>
      </c>
      <c r="H9" s="1137">
        <f t="shared" ca="1" si="0"/>
        <v>15.994363636363635</v>
      </c>
      <c r="I9" s="1137">
        <f t="shared" ca="1" si="0"/>
        <v>17.521636363636361</v>
      </c>
      <c r="J9" s="1137">
        <f t="shared" ca="1" si="0"/>
        <v>19.048909090909092</v>
      </c>
      <c r="K9" s="1137">
        <f t="shared" ca="1" si="0"/>
        <v>20.576181818181816</v>
      </c>
      <c r="L9" s="1137">
        <f t="shared" ca="1" si="0"/>
        <v>22.103454545454547</v>
      </c>
      <c r="M9" s="1137">
        <f t="shared" ca="1" si="0"/>
        <v>23.63072727272727</v>
      </c>
      <c r="N9" s="1138">
        <f t="shared" ca="1" si="0"/>
        <v>25.158000000000001</v>
      </c>
      <c r="O9" s="1139">
        <f t="shared" ca="1" si="0"/>
        <v>201.096</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'Base Data'!B30&amp;" Prorated coefficients"</f>
        <v>Monthly Prorated coefficients</v>
      </c>
      <c r="B11" s="1115"/>
      <c r="C11" s="2516">
        <f t="array" ref="C11:O11">C42:O42</f>
        <v>1</v>
      </c>
      <c r="D11" s="2516">
        <f ca="1"/>
        <v>0</v>
      </c>
      <c r="E11" s="2517">
        <f ca="1"/>
        <v>0</v>
      </c>
      <c r="F11" s="2516">
        <f ca="1"/>
        <v>0</v>
      </c>
      <c r="G11" s="2516">
        <f ca="1"/>
        <v>0</v>
      </c>
      <c r="H11" s="2517">
        <f ca="1"/>
        <v>0</v>
      </c>
      <c r="I11" s="2516">
        <f ca="1"/>
        <v>0</v>
      </c>
      <c r="J11" s="2516">
        <f ca="1"/>
        <v>0</v>
      </c>
      <c r="K11" s="2517">
        <f ca="1"/>
        <v>0</v>
      </c>
      <c r="L11" s="2516">
        <f ca="1"/>
        <v>0</v>
      </c>
      <c r="M11" s="2516">
        <f ca="1"/>
        <v>0</v>
      </c>
      <c r="N11" s="2517">
        <f ca="1"/>
        <v>0</v>
      </c>
      <c r="O11" s="3081">
        <f ca="1"/>
        <v>1</v>
      </c>
    </row>
    <row r="12" spans="1:16">
      <c r="A12" s="1116" t="str">
        <f>"Deductible Input "&amp;'Base Data'!$A$28&amp;" amount"</f>
        <v>Deductible Input VAT amount</v>
      </c>
      <c r="B12" s="1093"/>
      <c r="C12" s="3200">
        <f t="array" aca="1" ref="C12:N12" ca="1">$C$11*C9:N9</f>
        <v>8.3580000000000005</v>
      </c>
      <c r="D12" s="3200">
        <f ca="1"/>
        <v>9.8852727272727279</v>
      </c>
      <c r="E12" s="3200">
        <f ca="1"/>
        <v>11.412545454545455</v>
      </c>
      <c r="F12" s="3200">
        <f ca="1"/>
        <v>12.939818181818181</v>
      </c>
      <c r="G12" s="3200">
        <f ca="1"/>
        <v>14.467090909090908</v>
      </c>
      <c r="H12" s="3200">
        <f ca="1"/>
        <v>15.994363636363635</v>
      </c>
      <c r="I12" s="3200">
        <f ca="1"/>
        <v>17.521636363636361</v>
      </c>
      <c r="J12" s="3200">
        <f ca="1"/>
        <v>19.048909090909092</v>
      </c>
      <c r="K12" s="3200">
        <f ca="1"/>
        <v>20.576181818181816</v>
      </c>
      <c r="L12" s="3200">
        <f ca="1"/>
        <v>22.103454545454547</v>
      </c>
      <c r="M12" s="3200">
        <f ca="1"/>
        <v>23.63072727272727</v>
      </c>
      <c r="N12" s="3200">
        <f ca="1"/>
        <v>25.158000000000001</v>
      </c>
      <c r="O12" s="1133">
        <f ca="1">SUM(C12:N12)</f>
        <v>201.096</v>
      </c>
    </row>
    <row r="13" spans="1:16" ht="16.5" customHeight="1" thickBot="1">
      <c r="A13" s="1117" t="str">
        <f>"Total Input "&amp;'Base Data'!$A$28&amp;" as expenses"</f>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'Base Data'!A28&amp;" Taxation current Account"</f>
        <v>VAT Taxation current Account</v>
      </c>
      <c r="C15" s="1129" t="str">
        <f>'Base Data'!$B$32</f>
        <v>No</v>
      </c>
      <c r="D15" s="2370">
        <f>IVAcc</f>
        <v>0</v>
      </c>
      <c r="E15" s="64"/>
      <c r="F15" s="1130" t="str">
        <f>"Initial investment "&amp;IF(IVAmensual,"month","quarter")</f>
        <v>Initial investment month</v>
      </c>
      <c r="G15" s="528">
        <f>IF(IVAmensual=0, IF(mes0&lt;4,"Q1",IF(mes0&lt;7,"Q2",IF(mes0&lt;10,"Q3","Q4"))),mes0)</f>
        <v>1</v>
      </c>
      <c r="L15" s="64"/>
      <c r="M15" s="359"/>
      <c r="N15" s="3198" t="s">
        <v>1208</v>
      </c>
      <c r="O15" s="3199">
        <f ca="1">-O9*($O$11-$C$11)</f>
        <v>0</v>
      </c>
    </row>
    <row r="17" spans="1:15" s="97" customFormat="1" ht="23.25" thickBot="1">
      <c r="A17" s="66" t="str">
        <f>CONCATENATE("Periodical ",'Base Data'!$A$28," Settlements")</f>
        <v>Periodical VAT Settlements</v>
      </c>
      <c r="B17" s="250"/>
      <c r="C17" s="66"/>
      <c r="D17" s="66"/>
      <c r="E17" s="250"/>
      <c r="F17" s="250"/>
    </row>
    <row r="18" spans="1:15" ht="15.75" thickBot="1">
      <c r="A18" s="2433"/>
      <c r="B18" s="2434"/>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$O$4</f>
        <v>Totals</v>
      </c>
    </row>
    <row r="19" spans="1:15">
      <c r="A19" s="2388" t="str">
        <f>"Total Output "&amp;'Base Data'!$A$28</f>
        <v>Total Output VAT</v>
      </c>
      <c r="B19" s="2430"/>
      <c r="C19" s="1082">
        <f t="array" aca="1" ref="C19" ca="1">SUM(Parameters!$E$24:$E$31*C31:C38)</f>
        <v>42</v>
      </c>
      <c r="D19" s="1082">
        <f t="array" aca="1" ref="D19" ca="1">SUM(Parameters!$E$24:$E$31*D31:D38)</f>
        <v>57.272727272727273</v>
      </c>
      <c r="E19" s="1082">
        <f t="array" aca="1" ref="E19" ca="1">SUM(Parameters!$E$24:$E$31*E31:E38)</f>
        <v>72.545454545454547</v>
      </c>
      <c r="F19" s="1082">
        <f t="array" aca="1" ref="F19" ca="1">SUM(Parameters!$E$24:$E$31*F31:F38)</f>
        <v>87.818181818181813</v>
      </c>
      <c r="G19" s="1082">
        <f t="array" aca="1" ref="G19" ca="1">SUM(Parameters!$E$24:$E$31*G31:G38)</f>
        <v>103.09090909090909</v>
      </c>
      <c r="H19" s="1082">
        <f t="array" aca="1" ref="H19" ca="1">SUM(Parameters!$E$24:$E$31*H31:H38)</f>
        <v>118.36363636363636</v>
      </c>
      <c r="I19" s="1082">
        <f t="array" aca="1" ref="I19" ca="1">SUM(Parameters!$E$24:$E$31*I31:I38)</f>
        <v>133.63636363636363</v>
      </c>
      <c r="J19" s="1082">
        <f t="array" aca="1" ref="J19" ca="1">SUM(Parameters!$E$24:$E$31*J31:J38)</f>
        <v>148.90909090909088</v>
      </c>
      <c r="K19" s="1082">
        <f t="array" aca="1" ref="K19" ca="1">SUM(Parameters!$E$24:$E$31*K31:K38)</f>
        <v>164.18181818181819</v>
      </c>
      <c r="L19" s="1082">
        <f t="array" aca="1" ref="L19" ca="1">SUM(Parameters!$E$24:$E$31*L31:L38)</f>
        <v>179.45454545454544</v>
      </c>
      <c r="M19" s="1082">
        <f t="array" aca="1" ref="M19" ca="1">SUM(Parameters!$E$24:$E$31*M31:M38)</f>
        <v>194.72727272727272</v>
      </c>
      <c r="N19" s="1082">
        <f t="array" aca="1" ref="N19" ca="1">SUM(Parameters!$E$24:$E$31*N31:N38)</f>
        <v>210</v>
      </c>
      <c r="O19" s="1112">
        <f ca="1">SUM(C19:N19)</f>
        <v>1512</v>
      </c>
    </row>
    <row r="20" spans="1:15">
      <c r="A20" s="2429" t="str">
        <f>"Total Deductible Input "&amp;'Base Data'!$A$28</f>
        <v>Total Deductible Input VAT</v>
      </c>
      <c r="B20" s="2431"/>
      <c r="C20" s="1083">
        <f t="array" aca="1" ref="C20:N20" ca="1">C12:N12</f>
        <v>8.3580000000000005</v>
      </c>
      <c r="D20" s="1083">
        <f ca="1"/>
        <v>9.8852727272727279</v>
      </c>
      <c r="E20" s="1083">
        <f ca="1"/>
        <v>11.412545454545455</v>
      </c>
      <c r="F20" s="1083">
        <f ca="1"/>
        <v>12.939818181818181</v>
      </c>
      <c r="G20" s="1083">
        <f ca="1"/>
        <v>14.467090909090908</v>
      </c>
      <c r="H20" s="1083">
        <f ca="1"/>
        <v>15.994363636363635</v>
      </c>
      <c r="I20" s="1083">
        <f ca="1"/>
        <v>17.521636363636361</v>
      </c>
      <c r="J20" s="1083">
        <f ca="1"/>
        <v>19.048909090909092</v>
      </c>
      <c r="K20" s="1083">
        <f ca="1"/>
        <v>20.576181818181816</v>
      </c>
      <c r="L20" s="1083">
        <f ca="1"/>
        <v>22.103454545454547</v>
      </c>
      <c r="M20" s="1083">
        <f ca="1"/>
        <v>23.63072727272727</v>
      </c>
      <c r="N20" s="1083">
        <f ca="1"/>
        <v>25.158000000000001</v>
      </c>
      <c r="O20" s="1107">
        <f ca="1">SUM(C20:N20)</f>
        <v>201.096</v>
      </c>
    </row>
    <row r="21" spans="1:15" ht="15.75" thickBot="1">
      <c r="A21" s="2389" t="str">
        <f>'Base Data'!$A$28&amp;" differential"</f>
        <v>VAT differential</v>
      </c>
      <c r="B21" s="2432"/>
      <c r="C21" s="1132">
        <f t="array" aca="1" ref="C21:N21" ca="1">C19:N19-C20:N20</f>
        <v>33.641999999999996</v>
      </c>
      <c r="D21" s="1132">
        <f ca="1"/>
        <v>47.387454545454545</v>
      </c>
      <c r="E21" s="1132">
        <f ca="1"/>
        <v>61.132909090909095</v>
      </c>
      <c r="F21" s="1132">
        <f ca="1"/>
        <v>74.87836363636363</v>
      </c>
      <c r="G21" s="1132">
        <f ca="1"/>
        <v>88.62381818181818</v>
      </c>
      <c r="H21" s="1132">
        <f ca="1"/>
        <v>102.36927272727273</v>
      </c>
      <c r="I21" s="1132">
        <f ca="1"/>
        <v>116.11472727272727</v>
      </c>
      <c r="J21" s="1132">
        <f ca="1"/>
        <v>129.86018181818179</v>
      </c>
      <c r="K21" s="1132">
        <f ca="1"/>
        <v>143.60563636363636</v>
      </c>
      <c r="L21" s="1132">
        <f ca="1"/>
        <v>157.35109090909089</v>
      </c>
      <c r="M21" s="1132">
        <f ca="1"/>
        <v>171.09654545454543</v>
      </c>
      <c r="N21" s="1132">
        <f ca="1"/>
        <v>184.84199999999998</v>
      </c>
      <c r="O21" s="1108">
        <f ca="1">SUM(C21:N21)</f>
        <v>1310.904</v>
      </c>
    </row>
    <row r="22" spans="1:15" s="48" customFormat="1" ht="19.5" customHeight="1">
      <c r="A22" s="2543" t="str">
        <f>'Base Data'!$A$28&amp;" quotes"</f>
        <v>VAT quotes</v>
      </c>
      <c r="B22" s="2544">
        <f ca="1">-'Current Asset Invest.'!$H$19-'Current Asset Invest.'!$G$20+'Initial Funding'!$B$28</f>
        <v>-133.35</v>
      </c>
      <c r="C22" s="2545">
        <f ca="1">IF(mes0=1,$B22,0)</f>
        <v>-133.35</v>
      </c>
      <c r="D22" s="2546">
        <f ca="1">+IF(IVAmensual=1,  IF(mes0=COLUMN(D$18)-2,$B22,0)
                                            +MIN(C22,0)+C21,0)</f>
        <v>-99.707999999999998</v>
      </c>
      <c r="E22" s="2546">
        <f ca="1">+IF(IVAmensual=1,  IF(mes0=COLUMN(E$18)-2,$B22,0)
                                            +MIN(D22,0)+D21,0)</f>
        <v>-52.320545454545453</v>
      </c>
      <c r="F22" s="2546">
        <f ca="1">IF(IVAmensual=0,   MIN(C22,0)+SUM(C21:E21)
                            +IF(AND(mes0&gt;1,mes0&lt;4),$B22,0), 0 )
+IF(IVAmensual=1,       IF(mes0=COLUMN(F$18)-2,$B22,0)
                                                +MIN(E22,0)+E21,0)</f>
        <v>8.8123636363636422</v>
      </c>
      <c r="G22" s="2546">
        <f ca="1">+IF(IVAmensual=1,  IF(mes0=COLUMN(G$18)-2,$B22,0)
                                            +MIN(F22,0)+F21,0)</f>
        <v>74.87836363636363</v>
      </c>
      <c r="H22" s="2546">
        <f ca="1">+IF(IVAmensual=1,  IF(mes0=COLUMN(H$18)-2,$B22,0)
                                            +MIN(G22,0)+G21,0)</f>
        <v>88.62381818181818</v>
      </c>
      <c r="I22" s="2546">
        <f ca="1">IF(IVAmensual=0,      MIN(F22,0)+SUM(F21:H21)
                               +IF(AND(mes0&gt;=4,mes0&lt;7),$B22,0),0)
+IF(IVAmensual=1,  IF(mes0=COLUMN(I$18)-2,$B22,0)
                                          +MIN(H22,0)+H21,0)</f>
        <v>102.36927272727273</v>
      </c>
      <c r="J22" s="2546">
        <f ca="1">+IF(IVAmensual=1,  IF(mes0=COLUMN(J$18)-2,$B22,0)
                                            +MIN(I22,0)+I21,0)</f>
        <v>116.11472727272727</v>
      </c>
      <c r="K22" s="2546">
        <f ca="1">+IF(IVAmensual=1,  IF(mes0=COLUMN(K$18)-2,$B22,0)
                                            +MIN(J22,0)+J21,0)</f>
        <v>129.86018181818179</v>
      </c>
      <c r="L22" s="2546">
        <f ca="1">IF(IVAmensual=0,      MIN(I22,0)+SUM(I21:K21)
                               +IF(AND(mes0&gt;=4,mes0&lt;7),$B22,0),0)
+IF(IVAmensual=1,  IF(mes0=COLUMN(L$18)-2,$B22,0)
                                          +MIN(K22,0)+K21,0)</f>
        <v>143.60563636363636</v>
      </c>
      <c r="M22" s="2546">
        <f ca="1">+IF(IVAmensual=1,  IF(mes0=COLUMN(M$18)-2,$B22,0)
                                            +MIN(L22,0)+L21,0)</f>
        <v>157.35109090909089</v>
      </c>
      <c r="N22" s="2546">
        <f ca="1">+IF(IVAmensual=1,  IF(mes0=COLUMN(N$18)-2,$B22,0)
                                            +MIN(M22,0)+M21,0)</f>
        <v>171.09654545454543</v>
      </c>
      <c r="O22" s="3197">
        <f ca="1">IF(IVAmensual=0,      MIN(L22,0)+SUM(L21:N21)+O15
                               +IF(AND(mes0&gt;=4,mes0&lt;7),$B22,0),0)
+IF(IVAmensual=1,  IF(mes0=COLUMN(O$18)-2,$B22,0)
                                          +MIN(N22,0)+N21+O15,0)</f>
        <v>184.84199999999998</v>
      </c>
    </row>
    <row r="23" spans="1:15" ht="10.5" customHeight="1">
      <c r="A23" s="372"/>
      <c r="B23" s="2431"/>
      <c r="C23" s="882"/>
      <c r="D23" s="882"/>
      <c r="E23" s="882"/>
      <c r="F23" s="882"/>
      <c r="G23" s="882"/>
      <c r="H23" s="882"/>
      <c r="I23" s="882"/>
      <c r="J23" s="882"/>
      <c r="K23" s="882"/>
      <c r="L23" s="882"/>
      <c r="M23" s="882"/>
      <c r="N23" s="882"/>
      <c r="O23" s="1113"/>
    </row>
    <row r="24" spans="1:15" s="48" customFormat="1" ht="19.5" customHeight="1" thickBot="1">
      <c r="A24" s="2547" t="str">
        <f>'Base Data'!$A$28&amp;" settlements quotas"</f>
        <v>VAT settlements quotas</v>
      </c>
      <c r="B24" s="2548"/>
      <c r="C24" s="2549">
        <f t="shared" ref="C24:O24" ca="1" si="1">IF(AND(IVAcc=0,C22&gt;0),C22,0)</f>
        <v>0</v>
      </c>
      <c r="D24" s="2550">
        <f t="shared" ca="1" si="1"/>
        <v>0</v>
      </c>
      <c r="E24" s="2550">
        <f t="shared" ca="1" si="1"/>
        <v>0</v>
      </c>
      <c r="F24" s="2550">
        <f t="shared" ca="1" si="1"/>
        <v>8.8123636363636422</v>
      </c>
      <c r="G24" s="2550">
        <f t="shared" ca="1" si="1"/>
        <v>74.87836363636363</v>
      </c>
      <c r="H24" s="2550">
        <f t="shared" ca="1" si="1"/>
        <v>88.62381818181818</v>
      </c>
      <c r="I24" s="2550">
        <f t="shared" ca="1" si="1"/>
        <v>102.36927272727273</v>
      </c>
      <c r="J24" s="2550">
        <f t="shared" ca="1" si="1"/>
        <v>116.11472727272727</v>
      </c>
      <c r="K24" s="2550">
        <f t="shared" ca="1" si="1"/>
        <v>129.86018181818179</v>
      </c>
      <c r="L24" s="2550">
        <f t="shared" ca="1" si="1"/>
        <v>143.60563636363636</v>
      </c>
      <c r="M24" s="2550">
        <f t="shared" ca="1" si="1"/>
        <v>157.35109090909089</v>
      </c>
      <c r="N24" s="2550">
        <f t="shared" ca="1" si="1"/>
        <v>171.09654545454543</v>
      </c>
      <c r="O24" s="2551">
        <f t="shared" ca="1" si="1"/>
        <v>184.84199999999998</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2" t="str">
        <f>'Base Data'!$A$28&amp;" Refundings"</f>
        <v>VAT Refundings</v>
      </c>
      <c r="B26" s="2553"/>
      <c r="C26" s="2554">
        <f>IF(AND(IVAcc,mes0=1),-$B$22,0)</f>
        <v>0</v>
      </c>
      <c r="D26" s="2555">
        <f>-IF(AND(IVAcc,IVAmensual=1),C21+IF(mes0=COLUMN(D$18)-2,$B$22,0),0)</f>
        <v>0</v>
      </c>
      <c r="E26" s="2555">
        <f>-IF(AND(IVAcc,IVAmensual=1),D21+IF(mes0=COLUMN(E$18)-2,$B$22,0),0)</f>
        <v>0</v>
      </c>
      <c r="F26" s="2555">
        <f>-IF(AND(IVAcc,IVAmensual=0),SUM(C21:E21)+IF(AND(mes0&gt;1,mes0&lt;4),$B$22,0),0)
-IF(AND(IVAcc,IVAmensual=1),E21+IF(mes0=COLUMN(F$18)-2,$B$22,0),0)</f>
        <v>0</v>
      </c>
      <c r="G26" s="2555">
        <f>-IF(AND(IVAcc,IVAmensual=1),F21+IF(mes0=COLUMN(G$18)-2,$B$22,0),0)</f>
        <v>0</v>
      </c>
      <c r="H26" s="2555">
        <f>-IF(AND(IVAcc,IVAmensual=1),G21+IF(mes0=COLUMN(H$18)-2,$B$22,0),0)</f>
        <v>0</v>
      </c>
      <c r="I26" s="2555">
        <f>-IF(AND(IVAcc,IVAmensual=0),SUM(F21:H21)+IF(AND(mes0&gt;=4,mes0&lt;7),$B$22,0),0)
-IF(AND(IVAcc,IVAmensual=1),H21+IF(mes0=COLUMN(I$18)-2,$B$22,0),0)</f>
        <v>0</v>
      </c>
      <c r="J26" s="2555">
        <f>-IF(AND(IVAcc,IVAmensual=1),I21+IF(mes0=COLUMN(J$18)-2,$B$22,0),0)</f>
        <v>0</v>
      </c>
      <c r="K26" s="2555">
        <f>-IF(AND(IVAcc,IVAmensual=1),J21+IF(mes0=COLUMN(K$18)-2,$B$22,0),0)</f>
        <v>0</v>
      </c>
      <c r="L26" s="2555">
        <f>-IF(AND(IVAcc,IVAmensual=0),SUM(I21:K21)+IF(AND(mes0&gt;=7,mes0&lt;10),$B$22,0),0)
-IF(AND(IVAcc,IVAmensual=1),K21+IF(mes0=COLUMN(L$18)-2,$B$22,0),0)</f>
        <v>0</v>
      </c>
      <c r="M26" s="2555">
        <f>-IF(AND(IVAcc,IVAmensual=1),L21+IF(mes0=COLUMN(M$18)-2,$B$22,0),0)</f>
        <v>0</v>
      </c>
      <c r="N26" s="2555">
        <f>-IF(AND(IVAcc,IVAmensual=1),M21+IF(mes0=COLUMN(N$18)-2,$B$22,0),0)</f>
        <v>0</v>
      </c>
      <c r="O26" s="2556">
        <f>-IF(AND(IVAcc,IVAmensual=0),SUM(L21:N21)+IF(mes0&gt;=10,$B$22,0),0)
-IF(AND(IVAcc,IVAmensual=1),N21+IF(mes0=COLUMN(O$18)-2,$B$22,0),0)</f>
        <v>0</v>
      </c>
    </row>
    <row r="29" spans="1:15" s="97" customFormat="1" ht="23.25" thickBot="1">
      <c r="A29" s="66" t="s">
        <v>713</v>
      </c>
      <c r="D29" s="250"/>
      <c r="E29" s="250"/>
    </row>
    <row r="30" spans="1:15" ht="15.75" thickBot="1">
      <c r="A30" s="1122" t="str">
        <f>"Charged "&amp;'Base Data'!$A$28</f>
        <v>Charged VAT</v>
      </c>
      <c r="B30" s="102" t="str">
        <f>'Base Data'!$A$28&amp;" rate"</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$O$4</f>
        <v>Totals</v>
      </c>
    </row>
    <row r="31" spans="1:15">
      <c r="A31" s="1704" t="str">
        <f t="array" ref="A31:A38">productos</f>
        <v>product 1</v>
      </c>
      <c r="B31" s="1094">
        <f t="array" ref="B31:B38">Parameters!E24:E31</f>
        <v>0.21</v>
      </c>
      <c r="C31" s="1095">
        <f t="array" aca="1" ref="C31:N38" ca="1">'Sales Forecast 0'!B17:M24</f>
        <v>200</v>
      </c>
      <c r="D31" s="1095">
        <f ca="1"/>
        <v>272.72727272727275</v>
      </c>
      <c r="E31" s="1095">
        <f ca="1"/>
        <v>345.4545454545455</v>
      </c>
      <c r="F31" s="1095">
        <f ca="1"/>
        <v>418.18181818181819</v>
      </c>
      <c r="G31" s="1095">
        <f ca="1"/>
        <v>490.90909090909093</v>
      </c>
      <c r="H31" s="1095">
        <f ca="1"/>
        <v>563.63636363636363</v>
      </c>
      <c r="I31" s="1095">
        <f ca="1"/>
        <v>636.36363636363637</v>
      </c>
      <c r="J31" s="1095">
        <f ca="1"/>
        <v>709.09090909090901</v>
      </c>
      <c r="K31" s="1095">
        <f ca="1"/>
        <v>781.81818181818187</v>
      </c>
      <c r="L31" s="1095">
        <f ca="1"/>
        <v>854.5454545454545</v>
      </c>
      <c r="M31" s="1095">
        <f ca="1"/>
        <v>927.27272727272725</v>
      </c>
      <c r="N31" s="1095">
        <f ca="1"/>
        <v>1000</v>
      </c>
      <c r="O31" s="1123">
        <f t="shared" ref="O31:O41" ca="1" si="2">SUM(C31:N31)</f>
        <v>7199.9999999999991</v>
      </c>
    </row>
    <row r="32" spans="1:15">
      <c r="A32" s="1489"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89"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89"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89"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89"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89"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5"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"Sales subjetc to "&amp;'Base Data'!$A$28</f>
        <v>Sales subjetc to VAT</v>
      </c>
      <c r="B39" s="200"/>
      <c r="C39" s="1101">
        <f t="shared" ref="C39:N39" ca="1" si="3">SUMIF($B$31:$B$38,"&lt;&gt;0",C31:C38)</f>
        <v>200</v>
      </c>
      <c r="D39" s="1102">
        <f t="shared" ca="1" si="3"/>
        <v>272.72727272727275</v>
      </c>
      <c r="E39" s="1102">
        <f t="shared" ca="1" si="3"/>
        <v>345.4545454545455</v>
      </c>
      <c r="F39" s="1102">
        <f t="shared" ca="1" si="3"/>
        <v>418.18181818181819</v>
      </c>
      <c r="G39" s="1102">
        <f t="shared" ca="1" si="3"/>
        <v>490.90909090909093</v>
      </c>
      <c r="H39" s="1102">
        <f t="shared" ca="1" si="3"/>
        <v>563.63636363636363</v>
      </c>
      <c r="I39" s="1102">
        <f t="shared" ca="1" si="3"/>
        <v>636.36363636363637</v>
      </c>
      <c r="J39" s="1102">
        <f t="shared" ca="1" si="3"/>
        <v>709.09090909090901</v>
      </c>
      <c r="K39" s="1102">
        <f t="shared" ca="1" si="3"/>
        <v>781.81818181818187</v>
      </c>
      <c r="L39" s="1102">
        <f t="shared" ca="1" si="3"/>
        <v>854.5454545454545</v>
      </c>
      <c r="M39" s="1102">
        <f t="shared" ca="1" si="3"/>
        <v>927.27272727272725</v>
      </c>
      <c r="N39" s="1103">
        <f t="shared" ca="1" si="3"/>
        <v>1000</v>
      </c>
      <c r="O39" s="1123">
        <f ca="1">SUM(C39:N39)</f>
        <v>7199.9999999999991</v>
      </c>
    </row>
    <row r="40" spans="1:15" ht="18" customHeight="1">
      <c r="A40" s="1127" t="str">
        <f>"Exempted "&amp;'Base Data'!$A$28&amp;" Sales"</f>
        <v>Exempted VAT Sales</v>
      </c>
      <c r="B40" s="205"/>
      <c r="C40" s="1104">
        <f>SUMIF($B$31:$B$38,"=0",C31:C38)</f>
        <v>0</v>
      </c>
      <c r="D40" s="1105">
        <f>SUMIF($B$31:$B$38,"=0",D31:D38)</f>
        <v>0</v>
      </c>
      <c r="E40" s="1105">
        <f>SUMIF($B$31:$B$38,"=0",E31:E38)</f>
        <v>0</v>
      </c>
      <c r="F40" s="1105">
        <f>SUMIF($B$31:$B$38,"=0",F31:F38)</f>
        <v>0</v>
      </c>
      <c r="G40" s="1105">
        <f t="shared" ref="G40:N40" si="4">SUMIF($B$31:$B$38,"=0",G31:G38)</f>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
        <v>714</v>
      </c>
      <c r="B41" s="205"/>
      <c r="C41" s="1104">
        <f t="array" aca="1" ref="C41:N41" ca="1">C40:N40+C39:N39</f>
        <v>200</v>
      </c>
      <c r="D41" s="1105">
        <f ca="1"/>
        <v>272.72727272727275</v>
      </c>
      <c r="E41" s="1105">
        <f ca="1"/>
        <v>345.4545454545455</v>
      </c>
      <c r="F41" s="1105">
        <f ca="1"/>
        <v>418.18181818181819</v>
      </c>
      <c r="G41" s="1105">
        <f ca="1"/>
        <v>490.90909090909093</v>
      </c>
      <c r="H41" s="1105">
        <f ca="1"/>
        <v>563.63636363636363</v>
      </c>
      <c r="I41" s="1105">
        <f ca="1"/>
        <v>636.36363636363637</v>
      </c>
      <c r="J41" s="1105">
        <f ca="1"/>
        <v>709.09090909090901</v>
      </c>
      <c r="K41" s="1105">
        <f ca="1"/>
        <v>781.81818181818187</v>
      </c>
      <c r="L41" s="1105">
        <f ca="1"/>
        <v>854.5454545454545</v>
      </c>
      <c r="M41" s="1105">
        <f ca="1"/>
        <v>927.27272727272725</v>
      </c>
      <c r="N41" s="1106">
        <f ca="1"/>
        <v>1000</v>
      </c>
      <c r="O41" s="1124">
        <f t="shared" ca="1" si="2"/>
        <v>7199.9999999999991</v>
      </c>
    </row>
    <row r="42" spans="1:15" ht="18" customHeight="1" thickBot="1">
      <c r="A42" s="1128" t="s">
        <v>715</v>
      </c>
      <c r="B42" s="206"/>
      <c r="C42" s="2515">
        <v>1</v>
      </c>
      <c r="D42" s="3195">
        <f ca="1">IF(IVAmensual=1,    IF(OR(IVAcc,D41&lt;0.1),1,D39/D41), 0)*0</f>
        <v>0</v>
      </c>
      <c r="E42" s="3195">
        <f ca="1">IF(IVAmensual=1,    IF(OR(IVAcc,E41&lt;0.1),1,E39/E41),     IF(OR(IVAcc,SUM(C41:E41)&lt;0.4),1,SUM(C39:E39)/SUM(C41:E41)))*0</f>
        <v>0</v>
      </c>
      <c r="F42" s="3195">
        <f ca="1">IF(IVAmensual=1,    IF(OR(IVAcc,F41&lt;0.1),1,F39/F41), 0)*0</f>
        <v>0</v>
      </c>
      <c r="G42" s="3195">
        <f ca="1">IF(IVAmensual=1,    IF(OR(IVAcc,G41&lt;0.1),1,G39/G41), 0)*0</f>
        <v>0</v>
      </c>
      <c r="H42" s="3195">
        <f ca="1">IF(IVAmensual=1,    IF(OR(IVAcc,H41&lt;0.1),1,H39/H41),     IF(OR(IVAcc,SUM(F41:H41)&lt;0.4),1,SUM(F39:H39)/SUM(F41:H41)))*0</f>
        <v>0</v>
      </c>
      <c r="I42" s="3195">
        <f ca="1">IF(IVAmensual=1,    IF(OR(IVAcc,I41&lt;0.1),1,I39/I41), 0)*0</f>
        <v>0</v>
      </c>
      <c r="J42" s="3195">
        <f ca="1">IF(IVAmensual=1,    IF(OR(IVAcc,J41&lt;0.1),1,J39/J41), 0)*0</f>
        <v>0</v>
      </c>
      <c r="K42" s="3195">
        <f ca="1">IF(IVAmensual=1,    IF(OR(IVAcc,K41&lt;0.1),1,K39/K41),     IF(OR(IVAcc,SUM(I41:K41)&lt;0.4),1,SUM(I39:K39)/SUM(I41:K41)))*0</f>
        <v>0</v>
      </c>
      <c r="L42" s="3195">
        <f ca="1">IF(IVAmensual=1,    IF(OR(IVAcc,L41&lt;0.1),1,L39/L41), 0)*0</f>
        <v>0</v>
      </c>
      <c r="M42" s="3195">
        <f ca="1">IF(IVAmensual=1,    IF(OR(IVAcc,M41&lt;0.1),1,M39/M41), 0)*0</f>
        <v>0</v>
      </c>
      <c r="N42" s="3195">
        <f ca="1">IF(IVAmensual=1,    IF(OR(IVAcc,N41&lt;0.1),1,N39/N41),     IF(OR(IVAcc,SUM(L41:N41)&lt;0.4),1,SUM(L39:N39)/SUM(L41:N41)))*0</f>
        <v>0</v>
      </c>
      <c r="O42" s="3196">
        <f ca="1" xml:space="preserve"> IF(OR(IVAcc, O41&lt;0.4), 1, O39/O41   )</f>
        <v>1</v>
      </c>
    </row>
    <row r="46" spans="1:15">
      <c r="A46" s="1100"/>
      <c r="C46" s="977"/>
    </row>
  </sheetData>
  <sheetProtection sheet="1" objects="1" scenarios="1"/>
  <phoneticPr fontId="7" type="noConversion"/>
  <conditionalFormatting sqref="C31:N38">
    <cfRule type="expression" dxfId="12" priority="1" stopIfTrue="1">
      <formula>C31=""</formula>
    </cfRule>
  </conditionalFormatting>
  <printOptions horizontalCentered="1"/>
  <pageMargins left="0.57999999999999996" right="0.75" top="0.43" bottom="0.72" header="0" footer="0.37"/>
  <pageSetup paperSize="9" scale="68" orientation="landscape" horizontalDpi="300"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7">
    <tabColor indexed="41"/>
    <pageSetUpPr fitToPage="1"/>
  </sheetPr>
  <dimension ref="A1:P42"/>
  <sheetViews>
    <sheetView zoomScale="85" zoomScaleNormal="100" workbookViewId="0">
      <selection activeCell="E22" sqref="E22"/>
    </sheetView>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'VAT 0'!A1</f>
        <v>VAT Periodical Settlements Calculations</v>
      </c>
      <c r="B1" s="250"/>
      <c r="F1" s="2435" t="str">
        <f>Parameters!C$77</f>
        <v>Year 1:   2027</v>
      </c>
      <c r="G1" s="250"/>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 t="array" ref="A4:A8">'VAT 0'!A4:A8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tr">
        <f>'VAT 0'!$O$4</f>
        <v>Totals</v>
      </c>
    </row>
    <row r="5" spans="1:16">
      <c r="A5" s="1241" t="str">
        <v>Input VAT due Purchases &amp; D C</v>
      </c>
      <c r="B5" s="1081"/>
      <c r="C5" s="1082">
        <f t="array" aca="1" ref="C5:N5" ca="1">'DC Distr 1'!B67:M67</f>
        <v>21.630000000000003</v>
      </c>
      <c r="D5" s="1083">
        <f ca="1"/>
        <v>21.630000000000003</v>
      </c>
      <c r="E5" s="1083">
        <f ca="1"/>
        <v>21.630000000000003</v>
      </c>
      <c r="F5" s="1083">
        <f ca="1"/>
        <v>21.630000000000003</v>
      </c>
      <c r="G5" s="1083">
        <f ca="1"/>
        <v>21.630000000000003</v>
      </c>
      <c r="H5" s="1083">
        <f ca="1"/>
        <v>21.630000000000003</v>
      </c>
      <c r="I5" s="1083">
        <f ca="1"/>
        <v>21.630000000000003</v>
      </c>
      <c r="J5" s="1083">
        <f ca="1"/>
        <v>21.630000000000003</v>
      </c>
      <c r="K5" s="1083">
        <f ca="1"/>
        <v>21.630000000000003</v>
      </c>
      <c r="L5" s="1083">
        <f ca="1"/>
        <v>21.630000000000003</v>
      </c>
      <c r="M5" s="1083">
        <f ca="1"/>
        <v>21.630000000000003</v>
      </c>
      <c r="N5" s="1084">
        <f ca="1"/>
        <v>21.630000000000003</v>
      </c>
      <c r="O5" s="1119"/>
    </row>
    <row r="6" spans="1:16">
      <c r="A6" s="2429" t="str">
        <v>Input VAT due to Fixed Expenses</v>
      </c>
      <c r="B6" s="1085"/>
      <c r="C6" s="1083">
        <f t="array" aca="1" ref="C6:N6" ca="1">'Fixed Expenses 1'!B60:M60</f>
        <v>6.8821200000000013</v>
      </c>
      <c r="D6" s="1083">
        <f ca="1"/>
        <v>6.8821200000000013</v>
      </c>
      <c r="E6" s="1083">
        <f ca="1"/>
        <v>6.8821200000000013</v>
      </c>
      <c r="F6" s="1083">
        <f ca="1"/>
        <v>6.8821200000000013</v>
      </c>
      <c r="G6" s="1083">
        <f ca="1"/>
        <v>6.8821200000000013</v>
      </c>
      <c r="H6" s="1083">
        <f ca="1"/>
        <v>6.8821200000000013</v>
      </c>
      <c r="I6" s="1083">
        <f ca="1"/>
        <v>6.8821200000000013</v>
      </c>
      <c r="J6" s="1083">
        <f ca="1"/>
        <v>6.8821200000000013</v>
      </c>
      <c r="K6" s="1083">
        <f ca="1"/>
        <v>6.8821200000000013</v>
      </c>
      <c r="L6" s="1083">
        <f ca="1"/>
        <v>6.8821200000000013</v>
      </c>
      <c r="M6" s="1083">
        <f ca="1"/>
        <v>6.8821200000000013</v>
      </c>
      <c r="N6" s="1084">
        <f ca="1"/>
        <v>6.8821200000000013</v>
      </c>
      <c r="O6" s="1119">
        <f ca="1">SUM(C6:N6)</f>
        <v>82.58544000000002</v>
      </c>
    </row>
    <row r="7" spans="1:16">
      <c r="A7" s="2429" t="str">
        <v>Input VAT due to Investments</v>
      </c>
      <c r="B7" s="1086"/>
      <c r="C7" s="1083">
        <f t="array" ref="C7:N7">+'Current Asset Invest.'!$C$44/12+'Current Asset Invest.'!$C$43/12</f>
        <v>0</v>
      </c>
      <c r="D7" s="1083">
        <v>0</v>
      </c>
      <c r="E7" s="1083">
        <v>0</v>
      </c>
      <c r="F7" s="1083">
        <v>0</v>
      </c>
      <c r="G7" s="1083">
        <v>0</v>
      </c>
      <c r="H7" s="1083">
        <v>0</v>
      </c>
      <c r="I7" s="1083">
        <v>0</v>
      </c>
      <c r="J7" s="1083">
        <v>0</v>
      </c>
      <c r="K7" s="1083">
        <v>0</v>
      </c>
      <c r="L7" s="1083">
        <v>0</v>
      </c>
      <c r="M7" s="1083">
        <v>0</v>
      </c>
      <c r="N7" s="1084">
        <v>0</v>
      </c>
      <c r="O7" s="1119">
        <f>SUM(C7:N7)</f>
        <v>0</v>
      </c>
    </row>
    <row r="8" spans="1:16" ht="15.75" thickBot="1">
      <c r="A8" s="1240" t="str">
        <v>Input VAT from Leasing/Renting</v>
      </c>
      <c r="B8" s="1087"/>
      <c r="C8" s="1088">
        <f t="array" ref="C8:N8">Leasing!B32:M32+Renting!B31:M31</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5" t="str">
        <f>'VAT 0'!B9</f>
        <v>Total Input VAT</v>
      </c>
      <c r="C9" s="1136">
        <f t="shared" ref="C9:O9" ca="1" si="0">SUM(C5:C8)</f>
        <v>28.512120000000003</v>
      </c>
      <c r="D9" s="1137">
        <f t="shared" ca="1" si="0"/>
        <v>28.512120000000003</v>
      </c>
      <c r="E9" s="1137">
        <f t="shared" ca="1" si="0"/>
        <v>28.512120000000003</v>
      </c>
      <c r="F9" s="1137">
        <f t="shared" ca="1" si="0"/>
        <v>28.512120000000003</v>
      </c>
      <c r="G9" s="1137">
        <f t="shared" ca="1" si="0"/>
        <v>28.512120000000003</v>
      </c>
      <c r="H9" s="1137">
        <f t="shared" ca="1" si="0"/>
        <v>28.512120000000003</v>
      </c>
      <c r="I9" s="1137">
        <f t="shared" ca="1" si="0"/>
        <v>28.512120000000003</v>
      </c>
      <c r="J9" s="1137">
        <f t="shared" ca="1" si="0"/>
        <v>28.512120000000003</v>
      </c>
      <c r="K9" s="1137">
        <f t="shared" ca="1" si="0"/>
        <v>28.512120000000003</v>
      </c>
      <c r="L9" s="1137">
        <f t="shared" ca="1" si="0"/>
        <v>28.512120000000003</v>
      </c>
      <c r="M9" s="1137">
        <f t="shared" ca="1" si="0"/>
        <v>28.512120000000003</v>
      </c>
      <c r="N9" s="1138">
        <f t="shared" ca="1" si="0"/>
        <v>28.512120000000003</v>
      </c>
      <c r="O9" s="1139">
        <f t="shared" ca="1" si="0"/>
        <v>82.58544000000002</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 t="array" ref="A11:A13">'VAT 0'!A11:A13</f>
        <v>Monthly Prorated coefficients</v>
      </c>
      <c r="B11" s="1115"/>
      <c r="C11" s="2516">
        <f t="array" aca="1" ref="C11:O11" ca="1">C42:O42</f>
        <v>1</v>
      </c>
      <c r="D11" s="2516">
        <f ca="1"/>
        <v>0</v>
      </c>
      <c r="E11" s="2517">
        <f ca="1"/>
        <v>0</v>
      </c>
      <c r="F11" s="2516">
        <f ca="1"/>
        <v>0</v>
      </c>
      <c r="G11" s="2516">
        <f ca="1"/>
        <v>0</v>
      </c>
      <c r="H11" s="2517">
        <f ca="1"/>
        <v>0</v>
      </c>
      <c r="I11" s="2516">
        <f ca="1"/>
        <v>0</v>
      </c>
      <c r="J11" s="2516">
        <f ca="1"/>
        <v>0</v>
      </c>
      <c r="K11" s="2517">
        <f ca="1"/>
        <v>0</v>
      </c>
      <c r="L11" s="2516">
        <f ca="1"/>
        <v>0</v>
      </c>
      <c r="M11" s="2516">
        <f ca="1"/>
        <v>0</v>
      </c>
      <c r="N11" s="2517">
        <f ca="1"/>
        <v>0</v>
      </c>
      <c r="O11" s="3081">
        <f ca="1"/>
        <v>1</v>
      </c>
    </row>
    <row r="12" spans="1:16">
      <c r="A12" s="1116" t="str">
        <v>Deductible Input VAT amount</v>
      </c>
      <c r="B12" s="1093"/>
      <c r="C12" s="3200">
        <f t="array" aca="1" ref="C12:N12" ca="1">$C$11*C9:N9</f>
        <v>28.512120000000003</v>
      </c>
      <c r="D12" s="3200">
        <f ca="1"/>
        <v>28.512120000000003</v>
      </c>
      <c r="E12" s="3200">
        <f ca="1"/>
        <v>28.512120000000003</v>
      </c>
      <c r="F12" s="3200">
        <f ca="1"/>
        <v>28.512120000000003</v>
      </c>
      <c r="G12" s="3200">
        <f ca="1"/>
        <v>28.512120000000003</v>
      </c>
      <c r="H12" s="3200">
        <f ca="1"/>
        <v>28.512120000000003</v>
      </c>
      <c r="I12" s="3200">
        <f ca="1"/>
        <v>28.512120000000003</v>
      </c>
      <c r="J12" s="3200">
        <f ca="1"/>
        <v>28.512120000000003</v>
      </c>
      <c r="K12" s="3200">
        <f ca="1"/>
        <v>28.512120000000003</v>
      </c>
      <c r="L12" s="3200">
        <f ca="1"/>
        <v>28.512120000000003</v>
      </c>
      <c r="M12" s="3200">
        <f ca="1"/>
        <v>28.512120000000003</v>
      </c>
      <c r="N12" s="3200">
        <f ca="1"/>
        <v>28.512120000000003</v>
      </c>
      <c r="O12" s="1133">
        <f ca="1">SUM(C12:N12)</f>
        <v>342.14544000000001</v>
      </c>
    </row>
    <row r="13" spans="1:16" ht="16.5" customHeight="1" thickBot="1">
      <c r="A13" s="1117" t="str">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'VAT 0'!B15</f>
        <v>VAT Taxation current Account</v>
      </c>
      <c r="C15" s="1129" t="str">
        <f>'Base Data'!$B$32</f>
        <v>No</v>
      </c>
      <c r="D15" s="2370">
        <f>IVAcc</f>
        <v>0</v>
      </c>
      <c r="F15" s="1131"/>
      <c r="G15" s="674"/>
      <c r="L15" s="64"/>
      <c r="M15" s="359"/>
      <c r="N15" s="3198" t="s">
        <v>1208</v>
      </c>
      <c r="O15" s="3199">
        <f ca="1">-O9*($O$11-$C$11)</f>
        <v>0</v>
      </c>
    </row>
    <row r="17" spans="1:15" s="97" customFormat="1" ht="23.25" thickBot="1">
      <c r="A17" s="66" t="str">
        <f>'VAT 0'!A17</f>
        <v>Periodical VAT Settlements</v>
      </c>
      <c r="B17" s="250"/>
      <c r="C17" s="66"/>
      <c r="D17" s="66"/>
      <c r="F17" s="250"/>
    </row>
    <row r="18" spans="1:15" ht="15.75" thickBot="1">
      <c r="A18" s="2433"/>
      <c r="B18" s="2434"/>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'VAT 0'!$O$4</f>
        <v>Totals</v>
      </c>
    </row>
    <row r="19" spans="1:15">
      <c r="A19" s="2388" t="str">
        <f t="array" ref="A19:A22">'VAT 0'!A19:A22</f>
        <v>Total Output VAT</v>
      </c>
      <c r="B19" s="2430"/>
      <c r="C19" s="1082">
        <f t="array" aca="1" ref="C19" ca="1">SUM(Parameters!$E$24:$E$31*C31:C38)</f>
        <v>216.29999999999998</v>
      </c>
      <c r="D19" s="1082">
        <f t="array" aca="1" ref="D19" ca="1">SUM(Parameters!$E$24:$E$31*D31:D38)</f>
        <v>216.29999999999998</v>
      </c>
      <c r="E19" s="1082">
        <f t="array" aca="1" ref="E19" ca="1">SUM(Parameters!$E$24:$E$31*E31:E38)</f>
        <v>216.29999999999998</v>
      </c>
      <c r="F19" s="1082">
        <f t="array" aca="1" ref="F19" ca="1">SUM(Parameters!$E$24:$E$31*F31:F38)</f>
        <v>216.29999999999998</v>
      </c>
      <c r="G19" s="1082">
        <f t="array" aca="1" ref="G19" ca="1">SUM(Parameters!$E$24:$E$31*G31:G38)</f>
        <v>216.29999999999998</v>
      </c>
      <c r="H19" s="1082">
        <f t="array" aca="1" ref="H19" ca="1">SUM(Parameters!$E$24:$E$31*H31:H38)</f>
        <v>216.29999999999998</v>
      </c>
      <c r="I19" s="1082">
        <f t="array" aca="1" ref="I19" ca="1">SUM(Parameters!$E$24:$E$31*I31:I38)</f>
        <v>216.29999999999998</v>
      </c>
      <c r="J19" s="1082">
        <f t="array" aca="1" ref="J19" ca="1">SUM(Parameters!$E$24:$E$31*J31:J38)</f>
        <v>216.29999999999998</v>
      </c>
      <c r="K19" s="1082">
        <f t="array" aca="1" ref="K19" ca="1">SUM(Parameters!$E$24:$E$31*K31:K38)</f>
        <v>216.29999999999998</v>
      </c>
      <c r="L19" s="1082">
        <f t="array" aca="1" ref="L19" ca="1">SUM(Parameters!$E$24:$E$31*L31:L38)</f>
        <v>216.29999999999998</v>
      </c>
      <c r="M19" s="1082">
        <f t="array" aca="1" ref="M19" ca="1">SUM(Parameters!$E$24:$E$31*M31:M38)</f>
        <v>216.29999999999998</v>
      </c>
      <c r="N19" s="1082">
        <f t="array" aca="1" ref="N19" ca="1">SUM(Parameters!$E$24:$E$31*N31:N38)</f>
        <v>216.29999999999998</v>
      </c>
      <c r="O19" s="1112">
        <f ca="1">SUM(C19:N19)</f>
        <v>2595.6000000000004</v>
      </c>
    </row>
    <row r="20" spans="1:15">
      <c r="A20" s="2429" t="str">
        <v>Total Deductible Input VAT</v>
      </c>
      <c r="B20" s="2431"/>
      <c r="C20" s="1083">
        <f t="array" aca="1" ref="C20:N20" ca="1">C12:N12</f>
        <v>28.512120000000003</v>
      </c>
      <c r="D20" s="1083">
        <f ca="1"/>
        <v>28.512120000000003</v>
      </c>
      <c r="E20" s="1083">
        <f ca="1"/>
        <v>28.512120000000003</v>
      </c>
      <c r="F20" s="1083">
        <f ca="1"/>
        <v>28.512120000000003</v>
      </c>
      <c r="G20" s="1083">
        <f ca="1"/>
        <v>28.512120000000003</v>
      </c>
      <c r="H20" s="1083">
        <f ca="1"/>
        <v>28.512120000000003</v>
      </c>
      <c r="I20" s="1083">
        <f ca="1"/>
        <v>28.512120000000003</v>
      </c>
      <c r="J20" s="1083">
        <f ca="1"/>
        <v>28.512120000000003</v>
      </c>
      <c r="K20" s="1083">
        <f ca="1"/>
        <v>28.512120000000003</v>
      </c>
      <c r="L20" s="1083">
        <f ca="1"/>
        <v>28.512120000000003</v>
      </c>
      <c r="M20" s="1083">
        <f ca="1"/>
        <v>28.512120000000003</v>
      </c>
      <c r="N20" s="1083">
        <f ca="1"/>
        <v>28.512120000000003</v>
      </c>
      <c r="O20" s="1107">
        <f ca="1">SUM(C20:N20)</f>
        <v>342.14544000000001</v>
      </c>
    </row>
    <row r="21" spans="1:15" ht="15.75" thickBot="1">
      <c r="A21" s="2389" t="str">
        <v>VAT differential</v>
      </c>
      <c r="B21" s="2432"/>
      <c r="C21" s="1132">
        <f t="array" aca="1" ref="C21:N21" ca="1">C19:N19-C20:N20</f>
        <v>187.78787999999997</v>
      </c>
      <c r="D21" s="1132">
        <f ca="1"/>
        <v>187.78787999999997</v>
      </c>
      <c r="E21" s="1132">
        <f ca="1"/>
        <v>187.78787999999997</v>
      </c>
      <c r="F21" s="1132">
        <f ca="1"/>
        <v>187.78787999999997</v>
      </c>
      <c r="G21" s="1132">
        <f ca="1"/>
        <v>187.78787999999997</v>
      </c>
      <c r="H21" s="1132">
        <f ca="1"/>
        <v>187.78787999999997</v>
      </c>
      <c r="I21" s="1132">
        <f ca="1"/>
        <v>187.78787999999997</v>
      </c>
      <c r="J21" s="1132">
        <f ca="1"/>
        <v>187.78787999999997</v>
      </c>
      <c r="K21" s="1132">
        <f ca="1"/>
        <v>187.78787999999997</v>
      </c>
      <c r="L21" s="1132">
        <f ca="1"/>
        <v>187.78787999999997</v>
      </c>
      <c r="M21" s="1132">
        <f ca="1"/>
        <v>187.78787999999997</v>
      </c>
      <c r="N21" s="1132">
        <f ca="1"/>
        <v>187.78787999999997</v>
      </c>
      <c r="O21" s="1108">
        <f ca="1">SUM(C21:N21)</f>
        <v>2253.4545599999992</v>
      </c>
    </row>
    <row r="22" spans="1:15" s="48" customFormat="1" ht="19.5" customHeight="1">
      <c r="A22" s="2543" t="str">
        <v>VAT quotes</v>
      </c>
      <c r="B22" s="2557"/>
      <c r="C22" s="2545">
        <f ca="1">'VAT 0'!O22</f>
        <v>184.84199999999998</v>
      </c>
      <c r="D22" s="2560">
        <f ca="1">+IF(IVAmensual=1,  IF(AND(IVAdev=1,C22&lt;0),0,MIN(C22,0))  +C21,0)</f>
        <v>187.78787999999997</v>
      </c>
      <c r="E22" s="2546">
        <f ca="1">+IF(IVAmensual=1,    MIN(D22,0)+D21,0)</f>
        <v>187.78787999999997</v>
      </c>
      <c r="F22" s="2560">
        <f ca="1">IF(IVAmensual=0,    IF(AND(IVAdev=1,C22&lt;0),0,MIN(C22,0))+SUM(C21:E21),0)
+IF(IVAmensual=1,    MIN(E22,0)+E21,0)</f>
        <v>187.78787999999997</v>
      </c>
      <c r="G22" s="2546">
        <f ca="1">+IF(IVAmensual=1,    MIN(F22,0)+F21,0)</f>
        <v>187.78787999999997</v>
      </c>
      <c r="H22" s="2546">
        <f ca="1">+IF(IVAmensual=1,    MIN(G22,0)+G21,0)</f>
        <v>187.78787999999997</v>
      </c>
      <c r="I22" s="2546">
        <f ca="1">IF(IVAmensual=0,    MIN(F22,0)+SUM(F21:H21),0)
+IF(IVAmensual=1,    MIN(H22,0)+H21,0)</f>
        <v>187.78787999999997</v>
      </c>
      <c r="J22" s="2546">
        <f ca="1">+IF(IVAmensual=1,    MIN(I22,0)+I21,0)</f>
        <v>187.78787999999997</v>
      </c>
      <c r="K22" s="2546">
        <f ca="1">+IF(IVAmensual=1,    MIN(J22,0)+J21,0)</f>
        <v>187.78787999999997</v>
      </c>
      <c r="L22" s="2546">
        <f ca="1">IF(IVAmensual=0,    MIN(I22,0)+SUM(I21:K21),0)
+IF(IVAmensual=1,    MIN(K22,0)+K21,0)</f>
        <v>187.78787999999997</v>
      </c>
      <c r="M22" s="2546">
        <f ca="1">+IF(IVAmensual=1,    MIN(L22,0)+L21,0)</f>
        <v>187.78787999999997</v>
      </c>
      <c r="N22" s="2546">
        <f ca="1">+IF(IVAmensual=1,    MIN(M22,0)+M21,0)</f>
        <v>187.78787999999997</v>
      </c>
      <c r="O22" s="3197">
        <f ca="1">IF(IVAmensual=0,    MIN(L22,0)+SUM(L21:N21)+O15,0)
+IF(IVAmensual=1,    MIN(N22,0)+N21+O15,0)</f>
        <v>187.78787999999997</v>
      </c>
    </row>
    <row r="23" spans="1:15" ht="10.5" customHeight="1">
      <c r="A23" s="372"/>
      <c r="B23" s="2431"/>
      <c r="C23" s="882"/>
      <c r="D23" s="882"/>
      <c r="E23" s="882"/>
      <c r="F23" s="882"/>
      <c r="G23" s="882"/>
      <c r="H23" s="882"/>
      <c r="I23" s="882"/>
      <c r="J23" s="882"/>
      <c r="K23" s="882"/>
      <c r="L23" s="882"/>
      <c r="M23" s="882"/>
      <c r="N23" s="882"/>
      <c r="O23" s="1113"/>
    </row>
    <row r="24" spans="1:15" s="48" customFormat="1" ht="19.5" customHeight="1" thickBot="1">
      <c r="A24" s="2547" t="str">
        <f>'VAT 0'!A24</f>
        <v>VAT settlements quotas</v>
      </c>
      <c r="B24" s="2548"/>
      <c r="C24" s="2549">
        <f t="shared" ref="C24:O24" ca="1" si="1">IF(AND(IVAcc=0,C22&gt;0),C22,0)</f>
        <v>184.84199999999998</v>
      </c>
      <c r="D24" s="2550">
        <f t="shared" ca="1" si="1"/>
        <v>187.78787999999997</v>
      </c>
      <c r="E24" s="2550">
        <f t="shared" ca="1" si="1"/>
        <v>187.78787999999997</v>
      </c>
      <c r="F24" s="2550">
        <f t="shared" ca="1" si="1"/>
        <v>187.78787999999997</v>
      </c>
      <c r="G24" s="2550">
        <f t="shared" ca="1" si="1"/>
        <v>187.78787999999997</v>
      </c>
      <c r="H24" s="2550">
        <f t="shared" ca="1" si="1"/>
        <v>187.78787999999997</v>
      </c>
      <c r="I24" s="2550">
        <f t="shared" ca="1" si="1"/>
        <v>187.78787999999997</v>
      </c>
      <c r="J24" s="2550">
        <f t="shared" ca="1" si="1"/>
        <v>187.78787999999997</v>
      </c>
      <c r="K24" s="2550">
        <f t="shared" ca="1" si="1"/>
        <v>187.78787999999997</v>
      </c>
      <c r="L24" s="2550">
        <f t="shared" ca="1" si="1"/>
        <v>187.78787999999997</v>
      </c>
      <c r="M24" s="2550">
        <f t="shared" ca="1" si="1"/>
        <v>187.78787999999997</v>
      </c>
      <c r="N24" s="2550">
        <f t="shared" ca="1" si="1"/>
        <v>187.78787999999997</v>
      </c>
      <c r="O24" s="2551">
        <f t="shared" ca="1" si="1"/>
        <v>187.78787999999997</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2" t="str">
        <f>'VAT 0'!A26</f>
        <v>VAT Refundings</v>
      </c>
      <c r="B26" s="2553"/>
      <c r="C26" s="2554">
        <f>'VAT 0'!O26</f>
        <v>0</v>
      </c>
      <c r="D26" s="2555">
        <f>-IF(AND(IVAcc,IVAmensual=1),C21,0)</f>
        <v>0</v>
      </c>
      <c r="E26" s="2555">
        <f>-IF(AND(IVAcc,IVAmensual=1),D21,0)</f>
        <v>0</v>
      </c>
      <c r="F26" s="2555">
        <f>-IF(AND(IVAcc,IVAmensual=0),SUM(C21:E21),0)
-IF(AND(IVAcc,IVAmensual=1),E21,0)</f>
        <v>0</v>
      </c>
      <c r="G26" s="2555">
        <f>-IF(AND(IVAcc,IVAmensual=1),F21,0)</f>
        <v>0</v>
      </c>
      <c r="H26" s="2559">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58">
        <f>-IF(AND(IVAcc,IVAmensual=0),SUM(L21:N21),0)
-IF(AND(IVAcc,IVAmensual=1),N21,0)</f>
        <v>0</v>
      </c>
    </row>
    <row r="29" spans="1:15" s="97" customFormat="1" ht="23.25" thickBot="1">
      <c r="A29" s="66" t="str">
        <f>'VAT 0'!A29</f>
        <v>Pro-rata Rule rates</v>
      </c>
      <c r="D29" s="250"/>
      <c r="E29" s="250"/>
    </row>
    <row r="30" spans="1:15" ht="15.75" thickBot="1">
      <c r="A30" s="1122" t="str">
        <f>'VAT 0'!A30</f>
        <v>Charged VAT</v>
      </c>
      <c r="B30" s="102" t="str">
        <f>'VAT 0'!B30</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'VAT 0'!$O$4</f>
        <v>Totals</v>
      </c>
    </row>
    <row r="31" spans="1:15">
      <c r="A31" s="1704" t="str">
        <f t="array" ref="A31:A38">productos</f>
        <v>product 1</v>
      </c>
      <c r="B31" s="1094">
        <f t="array" ref="B31:B38">Parameters!E24:E31</f>
        <v>0.21</v>
      </c>
      <c r="C31" s="1095">
        <f t="array" aca="1" ref="C31:N38" ca="1">'Sales Forecast 1'!B17:M24</f>
        <v>1030</v>
      </c>
      <c r="D31" s="1095">
        <f ca="1"/>
        <v>1030</v>
      </c>
      <c r="E31" s="1095">
        <f ca="1"/>
        <v>1030</v>
      </c>
      <c r="F31" s="1095">
        <f ca="1"/>
        <v>1030</v>
      </c>
      <c r="G31" s="1095">
        <f ca="1"/>
        <v>1030</v>
      </c>
      <c r="H31" s="1095">
        <f ca="1"/>
        <v>1030</v>
      </c>
      <c r="I31" s="1095">
        <f ca="1"/>
        <v>1030</v>
      </c>
      <c r="J31" s="1095">
        <f ca="1"/>
        <v>1030</v>
      </c>
      <c r="K31" s="1095">
        <f ca="1"/>
        <v>1030</v>
      </c>
      <c r="L31" s="1095">
        <f ca="1"/>
        <v>1030</v>
      </c>
      <c r="M31" s="1095">
        <f ca="1"/>
        <v>1030</v>
      </c>
      <c r="N31" s="1095">
        <f ca="1"/>
        <v>1030</v>
      </c>
      <c r="O31" s="1123">
        <f t="shared" ref="O31:O41" ca="1" si="2">SUM(C31:N31)</f>
        <v>12360</v>
      </c>
    </row>
    <row r="32" spans="1:15">
      <c r="A32" s="1489"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89"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89"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89"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89"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89"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5"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 t="array" ref="A39:A42">'VAT 0'!A39:A42</f>
        <v>Sales subjetc to VAT</v>
      </c>
      <c r="B39" s="200"/>
      <c r="C39" s="1101">
        <f ca="1">SUMIF($B$31:$B$38,"&lt;&gt;0",C31:C38)</f>
        <v>1030</v>
      </c>
      <c r="D39" s="1102">
        <f t="shared" ref="D39:N39" ca="1" si="3">SUMIF($B$31:$B$38,"&lt;&gt;0",D31:D38)</f>
        <v>1030</v>
      </c>
      <c r="E39" s="1102">
        <f t="shared" ca="1" si="3"/>
        <v>1030</v>
      </c>
      <c r="F39" s="1102">
        <f t="shared" ca="1" si="3"/>
        <v>1030</v>
      </c>
      <c r="G39" s="1102">
        <f t="shared" ca="1" si="3"/>
        <v>1030</v>
      </c>
      <c r="H39" s="1102">
        <f t="shared" ca="1" si="3"/>
        <v>1030</v>
      </c>
      <c r="I39" s="1102">
        <f t="shared" ca="1" si="3"/>
        <v>1030</v>
      </c>
      <c r="J39" s="1102">
        <f t="shared" ca="1" si="3"/>
        <v>1030</v>
      </c>
      <c r="K39" s="1102">
        <f t="shared" ca="1" si="3"/>
        <v>1030</v>
      </c>
      <c r="L39" s="1102">
        <f t="shared" ca="1" si="3"/>
        <v>1030</v>
      </c>
      <c r="M39" s="1102">
        <f t="shared" ca="1" si="3"/>
        <v>1030</v>
      </c>
      <c r="N39" s="1103">
        <f t="shared" ca="1" si="3"/>
        <v>1030</v>
      </c>
      <c r="O39" s="1123">
        <f ca="1">SUM(C39:N39)</f>
        <v>12360</v>
      </c>
    </row>
    <row r="40" spans="1:15" ht="18" customHeight="1">
      <c r="A40" s="1127" t="str">
        <v>Exempted VAT Sales</v>
      </c>
      <c r="B40" s="205"/>
      <c r="C40" s="1104">
        <f>SUMIF($B$31:$B$38,"=0",C31:C38)</f>
        <v>0</v>
      </c>
      <c r="D40" s="1105">
        <f t="shared" ref="D40:N40" si="4">SUMIF($B$31:$B$38,"=0",D31:D38)</f>
        <v>0</v>
      </c>
      <c r="E40" s="1105">
        <f t="shared" si="4"/>
        <v>0</v>
      </c>
      <c r="F40" s="1105">
        <f t="shared" si="4"/>
        <v>0</v>
      </c>
      <c r="G40" s="1105">
        <f t="shared" si="4"/>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tr">
        <v>Total Sales</v>
      </c>
      <c r="B41" s="205"/>
      <c r="C41" s="1104">
        <f t="array" aca="1" ref="C41:N41" ca="1">C40:N40+C39:N39</f>
        <v>1030</v>
      </c>
      <c r="D41" s="1105">
        <f ca="1"/>
        <v>1030</v>
      </c>
      <c r="E41" s="1105">
        <f ca="1"/>
        <v>1030</v>
      </c>
      <c r="F41" s="1105">
        <f ca="1"/>
        <v>1030</v>
      </c>
      <c r="G41" s="1105">
        <f ca="1"/>
        <v>1030</v>
      </c>
      <c r="H41" s="1105">
        <f ca="1"/>
        <v>1030</v>
      </c>
      <c r="I41" s="1105">
        <f ca="1"/>
        <v>1030</v>
      </c>
      <c r="J41" s="1105">
        <f ca="1"/>
        <v>1030</v>
      </c>
      <c r="K41" s="1105">
        <f ca="1"/>
        <v>1030</v>
      </c>
      <c r="L41" s="1105">
        <f ca="1"/>
        <v>1030</v>
      </c>
      <c r="M41" s="1105">
        <f ca="1"/>
        <v>1030</v>
      </c>
      <c r="N41" s="1106">
        <f ca="1"/>
        <v>1030</v>
      </c>
      <c r="O41" s="1124">
        <f t="shared" ca="1" si="2"/>
        <v>12360</v>
      </c>
    </row>
    <row r="42" spans="1:15" ht="18" customHeight="1" thickBot="1">
      <c r="A42" s="1128" t="str">
        <v>Pro rata coefficients</v>
      </c>
      <c r="B42" s="206"/>
      <c r="C42" s="3082">
        <f ca="1">+'VAT 0'!O42</f>
        <v>1</v>
      </c>
      <c r="D42" s="3195">
        <f ca="1">IF(IVAmensual=1,    IF(OR(IVAcc,D41&lt;0.1),1,D39/D41), 0)*0</f>
        <v>0</v>
      </c>
      <c r="E42" s="3195">
        <f ca="1">IF(IVAmensual=1,    IF(OR(IVAcc,E41&lt;0.1),1,E39/E41),     IF(OR(IVAcc,SUM(C41:E41)&lt;0.4),1,SUM(C39:E39)/SUM(C41:E41)))*0</f>
        <v>0</v>
      </c>
      <c r="F42" s="3195">
        <f ca="1">IF(IVAmensual=1,    IF(OR(IVAcc,F41&lt;0.1),1,F39/F41), 0)*0</f>
        <v>0</v>
      </c>
      <c r="G42" s="3195">
        <f ca="1">IF(IVAmensual=1,    IF(OR(IVAcc,G41&lt;0.1),1,G39/G41), 0)*0</f>
        <v>0</v>
      </c>
      <c r="H42" s="3195">
        <f ca="1">IF(IVAmensual=1,    IF(OR(IVAcc,H41&lt;0.1),1,H39/H41),     IF(OR(IVAcc,SUM(F41:H41)&lt;0.4),1,SUM(F39:H39)/SUM(F41:H41)))*0</f>
        <v>0</v>
      </c>
      <c r="I42" s="3195">
        <f ca="1">IF(IVAmensual=1,    IF(OR(IVAcc,I41&lt;0.1),1,I39/I41), 0)*0</f>
        <v>0</v>
      </c>
      <c r="J42" s="3195">
        <f ca="1">IF(IVAmensual=1,    IF(OR(IVAcc,J41&lt;0.1),1,J39/J41), 0)*0</f>
        <v>0</v>
      </c>
      <c r="K42" s="3195">
        <f ca="1">IF(IVAmensual=1,    IF(OR(IVAcc,K41&lt;0.1),1,K39/K41),     IF(OR(IVAcc,SUM(I41:K41)&lt;0.4),1,SUM(I39:K39)/SUM(I41:K41)))*0</f>
        <v>0</v>
      </c>
      <c r="L42" s="3195">
        <f ca="1">IF(IVAmensual=1,    IF(OR(IVAcc,L41&lt;0.1),1,L39/L41), 0)*0</f>
        <v>0</v>
      </c>
      <c r="M42" s="3195">
        <f ca="1">IF(IVAmensual=1,    IF(OR(IVAcc,M41&lt;0.1),1,M39/M41), 0)*0</f>
        <v>0</v>
      </c>
      <c r="N42" s="3195">
        <f ca="1">IF(IVAmensual=1,    IF(OR(IVAcc,N41&lt;0.1),1,N39/N41),     IF(OR(IVAcc,SUM(L41:N41)&lt;0.4),1,SUM(L39:N39)/SUM(L41:N41)))*0</f>
        <v>0</v>
      </c>
      <c r="O42" s="3196">
        <f ca="1" xml:space="preserve"> IF(OR(IVAcc, O41&lt;0.4), 1, O39/O41   )</f>
        <v>1</v>
      </c>
    </row>
  </sheetData>
  <sheetProtection sheet="1" objects="1" scenarios="1"/>
  <phoneticPr fontId="7" type="noConversion"/>
  <conditionalFormatting sqref="C31:N38">
    <cfRule type="expression" dxfId="11" priority="1" stopIfTrue="1">
      <formula>C31=""</formula>
    </cfRule>
  </conditionalFormatting>
  <printOptions horizontalCentered="1"/>
  <pageMargins left="0.57999999999999996" right="0.75" top="0.46" bottom="0.89" header="0" footer="0"/>
  <pageSetup paperSize="9" scale="66"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K79"/>
  <sheetViews>
    <sheetView showGridLines="0" zoomScaleNormal="100" workbookViewId="0">
      <selection activeCell="L2" sqref="L2"/>
    </sheetView>
  </sheetViews>
  <sheetFormatPr baseColWidth="10" defaultRowHeight="15.75" outlineLevelRow="1"/>
  <cols>
    <col min="1" max="1" width="39" style="1" customWidth="1"/>
    <col min="2" max="2" width="9.375" customWidth="1"/>
    <col min="3" max="3" width="8.875" bestFit="1" customWidth="1"/>
    <col min="4" max="4" width="8.75" bestFit="1" customWidth="1"/>
    <col min="5" max="5" width="9.5" style="1" bestFit="1" customWidth="1"/>
    <col min="6" max="6" width="2.5" customWidth="1"/>
    <col min="7" max="7" width="7.875" style="1" customWidth="1"/>
    <col min="8" max="8" width="2.625" customWidth="1"/>
    <col min="9" max="9" width="10.625" bestFit="1" customWidth="1"/>
    <col min="10" max="10" width="9.125" customWidth="1"/>
  </cols>
  <sheetData>
    <row r="1" spans="1:11" ht="22.5">
      <c r="A1" s="401" t="s">
        <v>331</v>
      </c>
    </row>
    <row r="2" spans="1:11" ht="22.5">
      <c r="A2" s="401" t="str">
        <f>'Base Data'!B9</f>
        <v>WWW, Ltd.</v>
      </c>
    </row>
    <row r="3" spans="1:11" ht="16.5" thickBot="1">
      <c r="F3" s="4"/>
      <c r="G3" s="657"/>
      <c r="H3" s="4"/>
    </row>
    <row r="4" spans="1:11" ht="22.5">
      <c r="A4" s="1508" t="s">
        <v>249</v>
      </c>
      <c r="B4" s="1580" t="s">
        <v>332</v>
      </c>
      <c r="C4" s="1585" t="s">
        <v>335</v>
      </c>
      <c r="D4" s="1581" t="s">
        <v>342</v>
      </c>
      <c r="E4" s="1582" t="s">
        <v>343</v>
      </c>
      <c r="F4" s="1583"/>
      <c r="G4" s="1584" t="str">
        <f>CONCATENATE("input ",'Base Data'!$A$28)</f>
        <v>input VAT</v>
      </c>
      <c r="H4" s="1578"/>
      <c r="I4" s="1571" t="s">
        <v>336</v>
      </c>
      <c r="J4" s="1579" t="s">
        <v>339</v>
      </c>
    </row>
    <row r="5" spans="1:11">
      <c r="A5" s="1535" t="s">
        <v>362</v>
      </c>
      <c r="B5" s="1541"/>
      <c r="C5" s="1537"/>
      <c r="D5" s="1542"/>
      <c r="E5" s="1543"/>
      <c r="F5" s="4"/>
      <c r="G5" s="1544"/>
      <c r="H5" s="637"/>
      <c r="I5" s="1537"/>
      <c r="J5" s="1545"/>
    </row>
    <row r="6" spans="1:11" outlineLevel="1">
      <c r="A6" s="1512" t="s">
        <v>399</v>
      </c>
      <c r="B6" s="15">
        <v>0</v>
      </c>
      <c r="C6" s="636">
        <v>0</v>
      </c>
      <c r="D6" s="9"/>
      <c r="E6" s="11"/>
      <c r="F6" s="4"/>
      <c r="G6" s="1515">
        <f>IF(E7=0,B6-I6,0)*Parameters!$F$33</f>
        <v>0</v>
      </c>
      <c r="H6" s="638"/>
      <c r="I6" s="634">
        <v>0</v>
      </c>
      <c r="J6" s="2230">
        <f t="array" ref="J6:J10">IF(B6:B10*I6:I10&gt;0,I6:I10/B6:B10,0)</f>
        <v>0</v>
      </c>
      <c r="K6" s="29" t="str">
        <f>IF(I6&gt;B6,"ERROR EN APORTACION EN ESPECIE","")</f>
        <v/>
      </c>
    </row>
    <row r="7" spans="1:11" outlineLevel="1">
      <c r="A7" s="13" t="s">
        <v>352</v>
      </c>
      <c r="B7" s="14">
        <v>0</v>
      </c>
      <c r="C7" s="635">
        <v>0</v>
      </c>
      <c r="D7" s="6">
        <v>30</v>
      </c>
      <c r="E7" s="656">
        <f>IF(C7&gt;D7,B7,B7*C7/D7)</f>
        <v>0</v>
      </c>
      <c r="F7" s="7"/>
      <c r="G7" s="1515">
        <f t="array" ref="G7:G8">IF(E7:E8=0,B7:B8-I7:I8,0)*Parameters!$F$33</f>
        <v>0</v>
      </c>
      <c r="H7" s="638"/>
      <c r="I7" s="634">
        <v>0</v>
      </c>
      <c r="J7" s="2230">
        <v>0</v>
      </c>
      <c r="K7" s="29" t="str">
        <f>IF(I7&gt;B7,"ERROR EN APORTACION EN ESPECIE","")</f>
        <v/>
      </c>
    </row>
    <row r="8" spans="1:11" outlineLevel="1">
      <c r="A8" s="13" t="s">
        <v>400</v>
      </c>
      <c r="B8" s="14">
        <v>0</v>
      </c>
      <c r="C8" s="635">
        <v>0</v>
      </c>
      <c r="D8" s="6">
        <v>20</v>
      </c>
      <c r="E8" s="656">
        <f>IF(C8&gt;D8,B8,B8*C8/D8)</f>
        <v>0</v>
      </c>
      <c r="F8" s="7"/>
      <c r="G8" s="1517">
        <v>0</v>
      </c>
      <c r="H8" s="638"/>
      <c r="I8" s="633">
        <v>0</v>
      </c>
      <c r="J8" s="2231">
        <v>0</v>
      </c>
      <c r="K8" s="29" t="str">
        <f>IF(I8&gt;B8,"ERROR EN APORTACION EN ESPECIE","")</f>
        <v/>
      </c>
    </row>
    <row r="9" spans="1:11" outlineLevel="1">
      <c r="A9" s="2229" t="s">
        <v>363</v>
      </c>
      <c r="B9" s="2321">
        <f>+'Prev. Initial Balance'!D14</f>
        <v>0</v>
      </c>
      <c r="C9" s="2241"/>
      <c r="D9" s="9"/>
      <c r="E9" s="11"/>
      <c r="F9" s="7"/>
      <c r="G9" s="2238">
        <v>0</v>
      </c>
      <c r="H9" s="638"/>
      <c r="I9" s="2241"/>
      <c r="J9" s="2231">
        <v>0</v>
      </c>
      <c r="K9" s="29"/>
    </row>
    <row r="10" spans="1:11" ht="16.5" thickBot="1">
      <c r="A10" s="1509" t="str">
        <f>"Total "&amp;A5</f>
        <v>Total Buldings &amp; Lands</v>
      </c>
      <c r="B10" s="667">
        <f>SUM(B6:B9)</f>
        <v>0</v>
      </c>
      <c r="C10" s="670">
        <f t="array" ref="C10">IF($B10-B6=0,0,SUM($B7:$B9*C7:C9)/($B10-B6))</f>
        <v>0</v>
      </c>
      <c r="D10" s="669">
        <f t="array" ref="D10">IF(B7+B8=0,AVERAGE(D7:D9),SUM($B7:$B9*D7:D9)/(B7+B8+B9))</f>
        <v>25</v>
      </c>
      <c r="E10" s="668">
        <f>SUM(E7:E8)</f>
        <v>0</v>
      </c>
      <c r="F10" s="8"/>
      <c r="G10" s="1518">
        <f>SUM(G6:G9)</f>
        <v>0</v>
      </c>
      <c r="H10" s="640"/>
      <c r="I10" s="631">
        <f>SUM(I6:I8)</f>
        <v>0</v>
      </c>
      <c r="J10" s="2232">
        <v>0</v>
      </c>
    </row>
    <row r="11" spans="1:11" ht="16.5" thickBot="1">
      <c r="A11" s="1514"/>
      <c r="B11" s="12"/>
      <c r="C11" s="4"/>
      <c r="D11" s="5"/>
      <c r="E11" s="657"/>
      <c r="F11" s="4"/>
      <c r="G11" s="657"/>
      <c r="H11" s="4"/>
      <c r="I11" s="4"/>
      <c r="J11" s="4"/>
    </row>
    <row r="12" spans="1:11">
      <c r="A12" s="1511" t="s">
        <v>401</v>
      </c>
      <c r="B12" s="1339" t="s">
        <v>332</v>
      </c>
      <c r="C12" s="1340" t="s">
        <v>333</v>
      </c>
      <c r="D12" s="1341" t="s">
        <v>344</v>
      </c>
      <c r="E12" s="1342" t="s">
        <v>334</v>
      </c>
      <c r="F12" s="4"/>
      <c r="G12" s="2373" t="str">
        <f>G$4</f>
        <v>input VAT</v>
      </c>
      <c r="H12" s="639"/>
      <c r="I12" s="2372" t="s">
        <v>337</v>
      </c>
      <c r="J12" s="2153" t="s">
        <v>338</v>
      </c>
    </row>
    <row r="13" spans="1:11" outlineLevel="1">
      <c r="A13" s="13" t="s">
        <v>402</v>
      </c>
      <c r="B13" s="15">
        <v>0</v>
      </c>
      <c r="C13" s="1336">
        <v>0</v>
      </c>
      <c r="D13" s="1337">
        <v>10</v>
      </c>
      <c r="E13" s="1338">
        <f t="shared" ref="E13:E18" si="0">IF(C13&gt;D13,B13,B13*C13/D13)</f>
        <v>0</v>
      </c>
      <c r="F13" s="7"/>
      <c r="G13" s="1519">
        <f t="array" ref="G13:G18">IF(E13:E18=0,B13:B18-I13:I18,0)*Parameters!$F$33</f>
        <v>0</v>
      </c>
      <c r="H13" s="641"/>
      <c r="I13" s="1343">
        <v>0</v>
      </c>
      <c r="J13" s="629">
        <f t="array" ref="J13:J20">IF(B13:B20&gt;0,I13:I20/B13:B20,0)</f>
        <v>0</v>
      </c>
      <c r="K13" s="29" t="str">
        <f t="shared" ref="K13:K18" si="1">IF(I13&gt;B13,"ERROR EN APORTACION EN ESPECIE","")</f>
        <v/>
      </c>
    </row>
    <row r="14" spans="1:11" outlineLevel="1">
      <c r="A14" s="13" t="s">
        <v>347</v>
      </c>
      <c r="B14" s="14">
        <v>0</v>
      </c>
      <c r="C14" s="635">
        <v>0</v>
      </c>
      <c r="D14" s="6">
        <v>10</v>
      </c>
      <c r="E14" s="656">
        <f t="shared" si="0"/>
        <v>0</v>
      </c>
      <c r="F14" s="7"/>
      <c r="G14" s="1520">
        <v>0</v>
      </c>
      <c r="H14" s="641"/>
      <c r="I14" s="632">
        <v>0</v>
      </c>
      <c r="J14" s="628">
        <v>0</v>
      </c>
      <c r="K14" s="29" t="str">
        <f t="shared" si="1"/>
        <v/>
      </c>
    </row>
    <row r="15" spans="1:11" outlineLevel="1">
      <c r="A15" s="13" t="s">
        <v>360</v>
      </c>
      <c r="B15" s="14">
        <v>0</v>
      </c>
      <c r="C15" s="635">
        <v>0</v>
      </c>
      <c r="D15" s="6">
        <v>10</v>
      </c>
      <c r="E15" s="656">
        <f t="shared" si="0"/>
        <v>0</v>
      </c>
      <c r="F15" s="7"/>
      <c r="G15" s="1520">
        <v>0</v>
      </c>
      <c r="H15" s="641"/>
      <c r="I15" s="632">
        <v>0</v>
      </c>
      <c r="J15" s="628">
        <v>0</v>
      </c>
      <c r="K15" s="29" t="str">
        <f t="shared" si="1"/>
        <v/>
      </c>
    </row>
    <row r="16" spans="1:11" outlineLevel="1">
      <c r="A16" s="13" t="s">
        <v>345</v>
      </c>
      <c r="B16" s="14">
        <v>0</v>
      </c>
      <c r="C16" s="635">
        <v>0</v>
      </c>
      <c r="D16" s="6">
        <v>10</v>
      </c>
      <c r="E16" s="656">
        <f t="shared" si="0"/>
        <v>0</v>
      </c>
      <c r="F16" s="7"/>
      <c r="G16" s="1520">
        <v>0</v>
      </c>
      <c r="H16" s="641"/>
      <c r="I16" s="632">
        <v>0</v>
      </c>
      <c r="J16" s="628">
        <v>0</v>
      </c>
      <c r="K16" s="29" t="str">
        <f t="shared" si="1"/>
        <v/>
      </c>
    </row>
    <row r="17" spans="1:11" outlineLevel="1">
      <c r="A17" s="13" t="s">
        <v>359</v>
      </c>
      <c r="B17" s="14">
        <v>0</v>
      </c>
      <c r="C17" s="635">
        <v>0</v>
      </c>
      <c r="D17" s="6">
        <v>10</v>
      </c>
      <c r="E17" s="656">
        <f t="shared" si="0"/>
        <v>0</v>
      </c>
      <c r="F17" s="7"/>
      <c r="G17" s="1520">
        <v>0</v>
      </c>
      <c r="H17" s="641"/>
      <c r="I17" s="632">
        <v>0</v>
      </c>
      <c r="J17" s="628">
        <v>0</v>
      </c>
      <c r="K17" s="29" t="str">
        <f t="shared" si="1"/>
        <v/>
      </c>
    </row>
    <row r="18" spans="1:11" outlineLevel="1">
      <c r="A18" s="13" t="s">
        <v>346</v>
      </c>
      <c r="B18" s="14">
        <v>0</v>
      </c>
      <c r="C18" s="635">
        <v>0</v>
      </c>
      <c r="D18" s="6">
        <v>10</v>
      </c>
      <c r="E18" s="656">
        <f t="shared" si="0"/>
        <v>0</v>
      </c>
      <c r="F18" s="7"/>
      <c r="G18" s="1520">
        <v>0</v>
      </c>
      <c r="H18" s="641"/>
      <c r="I18" s="632">
        <v>0</v>
      </c>
      <c r="J18" s="628">
        <v>0</v>
      </c>
      <c r="K18" s="29" t="str">
        <f t="shared" si="1"/>
        <v/>
      </c>
    </row>
    <row r="19" spans="1:11" outlineLevel="1">
      <c r="A19" s="2229" t="s">
        <v>348</v>
      </c>
      <c r="B19" s="2321">
        <f>+'Prev. Initial Balance'!D12</f>
        <v>0</v>
      </c>
      <c r="C19" s="2241"/>
      <c r="D19" s="2237">
        <f>'Prev. Initial Balance'!$D$38</f>
        <v>15</v>
      </c>
      <c r="E19" s="2236">
        <f>-'Prev. Initial Balance'!D13</f>
        <v>0</v>
      </c>
      <c r="F19" s="7"/>
      <c r="G19" s="2238">
        <v>0</v>
      </c>
      <c r="H19" s="641"/>
      <c r="I19" s="2241"/>
      <c r="J19" s="628">
        <v>0</v>
      </c>
      <c r="K19" s="29"/>
    </row>
    <row r="20" spans="1:11" ht="16.5" thickBot="1">
      <c r="A20" s="1513" t="str">
        <f>"Total "&amp;A12</f>
        <v>Total Plant Facilities &amp; Services</v>
      </c>
      <c r="B20" s="667">
        <f>SUM(B12:B19)</f>
        <v>0</v>
      </c>
      <c r="C20" s="1363">
        <f t="array" ref="C20">IF($B20=0,0,SUM($B13:$B19*C13:C19)/$B20)</f>
        <v>0</v>
      </c>
      <c r="D20" s="2329">
        <f t="array" ref="D20">IF($B20=0,AVERAGE(D13:D19),SUM($B13:$B19*D13:D19)/$B20)</f>
        <v>10.714285714285714</v>
      </c>
      <c r="E20" s="668">
        <f>SUM(E12:E19)</f>
        <v>0</v>
      </c>
      <c r="F20" s="8"/>
      <c r="G20" s="1521">
        <f>SUM(G13:G19)</f>
        <v>0</v>
      </c>
      <c r="H20" s="642"/>
      <c r="I20" s="630">
        <f>SUM(I13:I19)</f>
        <v>0</v>
      </c>
      <c r="J20" s="10">
        <v>0</v>
      </c>
    </row>
    <row r="21" spans="1:11" ht="16.5" thickBot="1">
      <c r="A21" s="1514"/>
      <c r="B21" s="12"/>
      <c r="C21" s="4"/>
      <c r="D21" s="5"/>
      <c r="E21" s="657"/>
      <c r="F21" s="4"/>
      <c r="G21" s="657"/>
      <c r="H21" s="4"/>
      <c r="I21" s="4"/>
      <c r="J21" s="4"/>
    </row>
    <row r="22" spans="1:11">
      <c r="A22" s="1511" t="s">
        <v>340</v>
      </c>
      <c r="B22" s="1339" t="str">
        <f t="array" ref="B22:E22">B$12:E$12</f>
        <v>Amount</v>
      </c>
      <c r="C22" s="1340" t="str">
        <v>age</v>
      </c>
      <c r="D22" s="1341" t="str">
        <v>dep. term</v>
      </c>
      <c r="E22" s="1342" t="str">
        <v>prev. Amort.</v>
      </c>
      <c r="F22" s="4"/>
      <c r="G22" s="1516" t="str">
        <f>G$4</f>
        <v>input VAT</v>
      </c>
      <c r="H22" s="639"/>
      <c r="I22" s="2372" t="str">
        <f t="array" ref="I22:J22">I$12:J$12</f>
        <v>In kind contr.</v>
      </c>
      <c r="J22" s="2153" t="str">
        <v>in kind %</v>
      </c>
    </row>
    <row r="23" spans="1:11" outlineLevel="1">
      <c r="A23" s="13" t="s">
        <v>341</v>
      </c>
      <c r="B23" s="15">
        <v>0</v>
      </c>
      <c r="C23" s="1336">
        <v>0</v>
      </c>
      <c r="D23" s="1337">
        <v>10</v>
      </c>
      <c r="E23" s="1338">
        <f>IF(C23&gt;D23,B23,B23*C23/D23)</f>
        <v>0</v>
      </c>
      <c r="F23" s="7"/>
      <c r="G23" s="1522">
        <f t="array" ref="G23:G25">IF(E23:E25=0,B23:B25-I23:I25,0)*Parameters!$F$33</f>
        <v>0</v>
      </c>
      <c r="H23" s="643"/>
      <c r="I23" s="1343">
        <v>0</v>
      </c>
      <c r="J23" s="629">
        <f t="array" ref="J23:J26">IF(B23:B26*I23:I26&gt;0,I23:I26/B23:B26,0)</f>
        <v>0</v>
      </c>
      <c r="K23" s="29" t="str">
        <f>IF(I23&gt;B23,"ERROR EN APORTACION EN ESPECIE","")</f>
        <v/>
      </c>
    </row>
    <row r="24" spans="1:11" outlineLevel="1">
      <c r="A24" s="13" t="s">
        <v>341</v>
      </c>
      <c r="B24" s="14">
        <v>0</v>
      </c>
      <c r="C24" s="635">
        <v>0</v>
      </c>
      <c r="D24" s="6">
        <v>10</v>
      </c>
      <c r="E24" s="656">
        <f>IF(C24&gt;D24,B24,B24*C24/D24)</f>
        <v>0</v>
      </c>
      <c r="F24" s="7"/>
      <c r="G24" s="1523">
        <v>0</v>
      </c>
      <c r="H24" s="643"/>
      <c r="I24" s="632">
        <v>0</v>
      </c>
      <c r="J24" s="628">
        <v>0</v>
      </c>
      <c r="K24" s="29" t="str">
        <f>IF(I24&gt;B24,"ERROR EN APORTACION EN ESPECIE","")</f>
        <v/>
      </c>
    </row>
    <row r="25" spans="1:11" outlineLevel="1">
      <c r="A25" s="13" t="s">
        <v>341</v>
      </c>
      <c r="B25" s="14">
        <v>0</v>
      </c>
      <c r="C25" s="635">
        <v>0</v>
      </c>
      <c r="D25" s="6">
        <v>10</v>
      </c>
      <c r="E25" s="656">
        <f>IF(C25&gt;D25,B25,B25*C25/D25)</f>
        <v>0</v>
      </c>
      <c r="F25" s="7"/>
      <c r="G25" s="1523">
        <v>0</v>
      </c>
      <c r="H25" s="643"/>
      <c r="I25" s="632">
        <v>0</v>
      </c>
      <c r="J25" s="628">
        <v>0</v>
      </c>
      <c r="K25" s="29" t="str">
        <f>IF(I25&gt;B25,"ERROR EN APORTACION EN ESPECIE","")</f>
        <v/>
      </c>
    </row>
    <row r="26" spans="1:11" ht="16.5" thickBot="1">
      <c r="A26" s="1509" t="str">
        <f>"Total "&amp;A22</f>
        <v>Total Machinery</v>
      </c>
      <c r="B26" s="667">
        <f>SUM(B22:B25)</f>
        <v>0</v>
      </c>
      <c r="C26" s="1363">
        <f t="array" ref="C26">IF($B26=0,0,SUM($B23:$B25*C23:C25)/$B26)</f>
        <v>0</v>
      </c>
      <c r="D26" s="669">
        <f t="array" ref="D26">IF($B26=0,AVERAGE(D23:D25),SUM($B23:$B25*D23:D25)/$B26)</f>
        <v>10</v>
      </c>
      <c r="E26" s="668">
        <f>SUM(E22:E25)</f>
        <v>0</v>
      </c>
      <c r="F26" s="8"/>
      <c r="G26" s="1521">
        <f>SUM(G22:G25)</f>
        <v>0</v>
      </c>
      <c r="H26" s="642"/>
      <c r="I26" s="630">
        <f>SUM(I22:I25)</f>
        <v>0</v>
      </c>
      <c r="J26" s="10">
        <v>0</v>
      </c>
    </row>
    <row r="27" spans="1:11" ht="16.5" thickBot="1">
      <c r="A27" s="1514"/>
      <c r="B27" s="12"/>
      <c r="C27" s="4"/>
      <c r="D27" s="5"/>
      <c r="E27" s="657"/>
      <c r="F27" s="4"/>
      <c r="G27" s="657"/>
      <c r="H27" s="4"/>
      <c r="I27" s="4"/>
      <c r="J27" s="4"/>
    </row>
    <row r="28" spans="1:11">
      <c r="A28" s="1511" t="s">
        <v>349</v>
      </c>
      <c r="B28" s="1339" t="str">
        <f t="array" ref="B28:E28">B$12:E$12</f>
        <v>Amount</v>
      </c>
      <c r="C28" s="1340" t="str">
        <v>age</v>
      </c>
      <c r="D28" s="1341" t="str">
        <v>dep. term</v>
      </c>
      <c r="E28" s="1342" t="str">
        <v>prev. Amort.</v>
      </c>
      <c r="F28" s="4"/>
      <c r="G28" s="1516" t="str">
        <f>G$4</f>
        <v>input VAT</v>
      </c>
      <c r="H28" s="639"/>
      <c r="I28" s="2372" t="str">
        <f t="array" ref="I28:J28">I$12:J$12</f>
        <v>In kind contr.</v>
      </c>
      <c r="J28" s="2153" t="str">
        <v>in kind %</v>
      </c>
    </row>
    <row r="29" spans="1:11" outlineLevel="1">
      <c r="A29" s="13" t="s">
        <v>350</v>
      </c>
      <c r="B29" s="15">
        <v>0</v>
      </c>
      <c r="C29" s="1336">
        <v>0</v>
      </c>
      <c r="D29" s="1337">
        <v>5</v>
      </c>
      <c r="E29" s="1338">
        <f>IF(C29&gt;D29,B29,B29*C29/D29)</f>
        <v>0</v>
      </c>
      <c r="F29" s="7"/>
      <c r="G29" s="1523">
        <f t="array" ref="G29:G30">IF(E29:E30=0,B29:B30-I29:I30,0)*Parameters!$F$33</f>
        <v>0</v>
      </c>
      <c r="H29" s="643"/>
      <c r="I29" s="632">
        <v>0</v>
      </c>
      <c r="J29" s="628">
        <f t="array" ref="J29:J31">IF(B29:B31*I29:I31&gt;0,I29:I31/B29:B31,0)</f>
        <v>0</v>
      </c>
      <c r="K29" s="29" t="str">
        <f>IF(I29&gt;B29,"ERROR EN APORTACION EN ESPECIE","")</f>
        <v/>
      </c>
    </row>
    <row r="30" spans="1:11" outlineLevel="1">
      <c r="A30" s="13" t="s">
        <v>351</v>
      </c>
      <c r="B30" s="14">
        <v>0</v>
      </c>
      <c r="C30" s="635">
        <v>0</v>
      </c>
      <c r="D30" s="6">
        <v>5</v>
      </c>
      <c r="E30" s="656">
        <f>IF(C30&gt;D30,B30,B30*C30/D30)</f>
        <v>0</v>
      </c>
      <c r="F30" s="7"/>
      <c r="G30" s="1523">
        <v>0</v>
      </c>
      <c r="H30" s="643"/>
      <c r="I30" s="632">
        <v>0</v>
      </c>
      <c r="J30" s="628">
        <v>0</v>
      </c>
      <c r="K30" s="29" t="str">
        <f>IF(I30&gt;B30,"ERROR EN APORTACION EN ESPECIE","")</f>
        <v/>
      </c>
    </row>
    <row r="31" spans="1:11" ht="16.5" thickBot="1">
      <c r="A31" s="1513" t="str">
        <f>"Total "&amp;A28</f>
        <v>Total Tools &amp; Utilities</v>
      </c>
      <c r="B31" s="667">
        <f>SUM(B28:B30)</f>
        <v>0</v>
      </c>
      <c r="C31" s="1363">
        <f t="array" ref="C31">IF($B31=0,0,SUM($B29:$B30*C29:C30)/$B31)</f>
        <v>0</v>
      </c>
      <c r="D31" s="669">
        <f t="array" ref="D31">IF($B31=0,AVERAGE(D29:D30),SUM($B29:$B30*D29:D30)/$B31)</f>
        <v>5</v>
      </c>
      <c r="E31" s="668">
        <f>SUM(E28:E30)</f>
        <v>0</v>
      </c>
      <c r="F31" s="8"/>
      <c r="G31" s="1521">
        <f>SUM(G28:G30)</f>
        <v>0</v>
      </c>
      <c r="H31" s="642"/>
      <c r="I31" s="630">
        <f>SUM(I28:I30)</f>
        <v>0</v>
      </c>
      <c r="J31" s="10">
        <v>0</v>
      </c>
    </row>
    <row r="32" spans="1:11" ht="16.5" thickBot="1">
      <c r="A32" s="1514"/>
      <c r="B32" s="12"/>
      <c r="C32" s="4"/>
      <c r="D32" s="5"/>
      <c r="E32" s="657"/>
      <c r="F32" s="4"/>
      <c r="G32" s="657"/>
      <c r="H32" s="4"/>
      <c r="I32" s="4"/>
      <c r="J32" s="4"/>
    </row>
    <row r="33" spans="1:11">
      <c r="A33" s="1511" t="s">
        <v>369</v>
      </c>
      <c r="B33" s="1339" t="str">
        <f t="array" ref="B33:E33">B$12:E$12</f>
        <v>Amount</v>
      </c>
      <c r="C33" s="1340" t="str">
        <v>age</v>
      </c>
      <c r="D33" s="1341" t="str">
        <v>dep. term</v>
      </c>
      <c r="E33" s="1342" t="str">
        <v>prev. Amort.</v>
      </c>
      <c r="F33" s="4"/>
      <c r="G33" s="1516" t="str">
        <f>G$4</f>
        <v>input VAT</v>
      </c>
      <c r="H33" s="639"/>
      <c r="I33" s="2372" t="str">
        <f t="array" ref="I33:J33">I$12:J$12</f>
        <v>In kind contr.</v>
      </c>
      <c r="J33" s="2153" t="str">
        <v>in kind %</v>
      </c>
    </row>
    <row r="34" spans="1:11" outlineLevel="1">
      <c r="A34" s="13" t="s">
        <v>361</v>
      </c>
      <c r="B34" s="15">
        <v>0</v>
      </c>
      <c r="C34" s="1336">
        <v>0</v>
      </c>
      <c r="D34" s="1337">
        <v>5</v>
      </c>
      <c r="E34" s="1338">
        <f>IF(C34&gt;D34,B34,B34*C34/D34)</f>
        <v>0</v>
      </c>
      <c r="F34" s="7"/>
      <c r="G34" s="1522">
        <f t="array" ref="G34:G36">IF(E34:E36=0,B34:B36-I34:I36,0)*Parameters!$F$33</f>
        <v>0</v>
      </c>
      <c r="H34" s="643"/>
      <c r="I34" s="632">
        <v>0</v>
      </c>
      <c r="J34" s="628">
        <f t="array" ref="J34:J37">IF(B34:B37*I34:I37&gt;0,I37:I37/B34:B37,0)</f>
        <v>0</v>
      </c>
      <c r="K34" s="29" t="str">
        <f>IF(I34&gt;B34,"ERROR EN APORTACION EN ESPECIE","")</f>
        <v/>
      </c>
    </row>
    <row r="35" spans="1:11" outlineLevel="1">
      <c r="A35" s="13" t="s">
        <v>368</v>
      </c>
      <c r="B35" s="14">
        <v>0</v>
      </c>
      <c r="C35" s="635">
        <v>0</v>
      </c>
      <c r="D35" s="6">
        <v>5</v>
      </c>
      <c r="E35" s="656">
        <f>IF(C35&gt;D35,B35,B35*C35/D35)</f>
        <v>0</v>
      </c>
      <c r="F35" s="7"/>
      <c r="G35" s="1523">
        <v>0</v>
      </c>
      <c r="H35" s="643"/>
      <c r="I35" s="632">
        <v>0</v>
      </c>
      <c r="J35" s="628">
        <v>0</v>
      </c>
      <c r="K35" s="29" t="str">
        <f>IF(I35&gt;B35,"ERROR EN APORTACION EN ESPECIE","")</f>
        <v/>
      </c>
    </row>
    <row r="36" spans="1:11" outlineLevel="1">
      <c r="A36" s="13" t="s">
        <v>367</v>
      </c>
      <c r="B36" s="14">
        <v>0</v>
      </c>
      <c r="C36" s="635">
        <v>0</v>
      </c>
      <c r="D36" s="6">
        <v>5</v>
      </c>
      <c r="E36" s="656">
        <f>IF(C36&gt;D36,B36,B36*C36/D36)</f>
        <v>0</v>
      </c>
      <c r="F36" s="7"/>
      <c r="G36" s="1523">
        <v>0</v>
      </c>
      <c r="H36" s="643"/>
      <c r="I36" s="632">
        <v>0</v>
      </c>
      <c r="J36" s="628">
        <v>0</v>
      </c>
      <c r="K36" s="29" t="str">
        <f>IF(I36&gt;B36,"ERROR EN APORTACION EN ESPECIE","")</f>
        <v/>
      </c>
    </row>
    <row r="37" spans="1:11" ht="16.5" thickBot="1">
      <c r="A37" s="1509" t="str">
        <f>"Total "&amp;A33</f>
        <v>Total Furniture &amp; Warehouse equipment</v>
      </c>
      <c r="B37" s="667">
        <f>SUM(B33:B36)</f>
        <v>0</v>
      </c>
      <c r="C37" s="1363">
        <f t="array" ref="C37">IF($B37=0,0,SUM($B34:$B36*C34:C36)/$B37)</f>
        <v>0</v>
      </c>
      <c r="D37" s="669">
        <f t="array" ref="D37">IF($B37=0,AVERAGE(D34:D36),SUM($B34:$B36*D34:D36)/$B37)</f>
        <v>5</v>
      </c>
      <c r="E37" s="668">
        <f>SUM(E33:E36)</f>
        <v>0</v>
      </c>
      <c r="F37" s="8"/>
      <c r="G37" s="1521">
        <f>SUM(G33:G36)</f>
        <v>0</v>
      </c>
      <c r="H37" s="642"/>
      <c r="I37" s="630">
        <f>SUM(I33:I36)</f>
        <v>0</v>
      </c>
      <c r="J37" s="10">
        <v>0</v>
      </c>
    </row>
    <row r="38" spans="1:11" ht="16.5" thickBot="1">
      <c r="A38" s="1514"/>
      <c r="B38" s="12"/>
      <c r="C38" s="4"/>
      <c r="D38" s="5"/>
      <c r="E38" s="657"/>
      <c r="F38" s="4"/>
      <c r="G38" s="657"/>
      <c r="H38" s="4"/>
      <c r="I38" s="4"/>
      <c r="J38" s="4"/>
    </row>
    <row r="39" spans="1:11">
      <c r="A39" s="1511" t="s">
        <v>380</v>
      </c>
      <c r="B39" s="1339" t="str">
        <f t="array" ref="B39:E39">B$12:E$12</f>
        <v>Amount</v>
      </c>
      <c r="C39" s="1340" t="str">
        <v>age</v>
      </c>
      <c r="D39" s="1341" t="str">
        <v>dep. term</v>
      </c>
      <c r="E39" s="1342" t="str">
        <v>prev. Amort.</v>
      </c>
      <c r="F39" s="4"/>
      <c r="G39" s="1516" t="str">
        <f>G$4</f>
        <v>input VAT</v>
      </c>
      <c r="H39" s="639"/>
      <c r="I39" s="2372" t="str">
        <f t="array" ref="I39:J39">I$12:J$12</f>
        <v>In kind contr.</v>
      </c>
      <c r="J39" s="2153" t="str">
        <v>in kind %</v>
      </c>
    </row>
    <row r="40" spans="1:11" outlineLevel="1">
      <c r="A40" s="13" t="s">
        <v>353</v>
      </c>
      <c r="B40" s="15">
        <v>0</v>
      </c>
      <c r="C40" s="1336">
        <v>0</v>
      </c>
      <c r="D40" s="1337">
        <v>5</v>
      </c>
      <c r="E40" s="1338">
        <f>IF(C40&gt;D40,B40,B40*C40/D40)</f>
        <v>0</v>
      </c>
      <c r="F40" s="7"/>
      <c r="G40" s="1522">
        <f t="array" ref="G40:G42">IF(E40:E42=0,B40:B42-I40:I42,0)*Parameters!$F$33</f>
        <v>0</v>
      </c>
      <c r="H40" s="643"/>
      <c r="I40" s="632">
        <v>0</v>
      </c>
      <c r="J40" s="628">
        <f t="array" ref="J40:J43">IF(B40:B43*I40:I43&gt;0,I43:I43/B40:B43,0)</f>
        <v>0</v>
      </c>
      <c r="K40" s="29" t="str">
        <f>IF(I40&gt;B40,"ERROR EN APORTACION EN ESPECIE","")</f>
        <v/>
      </c>
    </row>
    <row r="41" spans="1:11" outlineLevel="1">
      <c r="A41" s="13" t="s">
        <v>354</v>
      </c>
      <c r="B41" s="14">
        <v>0</v>
      </c>
      <c r="C41" s="635">
        <v>0</v>
      </c>
      <c r="D41" s="6">
        <v>5</v>
      </c>
      <c r="E41" s="656">
        <f>IF(C41&gt;D41,B41,B41*C41/D41)</f>
        <v>0</v>
      </c>
      <c r="F41" s="7"/>
      <c r="G41" s="1523">
        <v>0</v>
      </c>
      <c r="H41" s="643"/>
      <c r="I41" s="632">
        <v>0</v>
      </c>
      <c r="J41" s="628">
        <v>0</v>
      </c>
      <c r="K41" s="29" t="str">
        <f>IF(I41&gt;B41,"ERROR EN APORTACION EN ESPECIE","")</f>
        <v/>
      </c>
    </row>
    <row r="42" spans="1:11" outlineLevel="1">
      <c r="A42" s="13" t="s">
        <v>355</v>
      </c>
      <c r="B42" s="14">
        <v>0</v>
      </c>
      <c r="C42" s="635">
        <v>0</v>
      </c>
      <c r="D42" s="6">
        <v>5</v>
      </c>
      <c r="E42" s="656">
        <f>IF(C42&gt;D42,B42,B42*C42/D42)</f>
        <v>0</v>
      </c>
      <c r="F42" s="7"/>
      <c r="G42" s="1523">
        <v>0</v>
      </c>
      <c r="H42" s="643"/>
      <c r="I42" s="632">
        <v>0</v>
      </c>
      <c r="J42" s="628">
        <v>0</v>
      </c>
      <c r="K42" s="29" t="str">
        <f>IF(I42&gt;B42,"ERROR EN APORTACION EN ESPECIE","")</f>
        <v/>
      </c>
    </row>
    <row r="43" spans="1:11" ht="16.5" thickBot="1">
      <c r="A43" s="1509" t="str">
        <f>"Total "&amp;A39</f>
        <v>Total Vehicles &amp; Transportation elements</v>
      </c>
      <c r="B43" s="667">
        <f>SUM(B39:B42)</f>
        <v>0</v>
      </c>
      <c r="C43" s="1363">
        <f t="array" ref="C43">IF($B43=0,0,SUM($B40:$B42*C40:C42)/$B43)</f>
        <v>0</v>
      </c>
      <c r="D43" s="669">
        <f t="array" ref="D43">IF($B43=0,AVERAGE(D40:D42),SUM($B40:$B42*D40:D42)/$B43)</f>
        <v>5</v>
      </c>
      <c r="E43" s="668">
        <f>SUM(E39:E42)</f>
        <v>0</v>
      </c>
      <c r="F43" s="8"/>
      <c r="G43" s="1521">
        <f>SUM(G39:G42)</f>
        <v>0</v>
      </c>
      <c r="H43" s="642"/>
      <c r="I43" s="630">
        <f>SUM(I39:I42)</f>
        <v>0</v>
      </c>
      <c r="J43" s="10">
        <v>0</v>
      </c>
    </row>
    <row r="44" spans="1:11" ht="16.5" thickBot="1">
      <c r="A44" s="1514"/>
      <c r="B44" s="12"/>
      <c r="C44" s="4"/>
      <c r="D44" s="4"/>
      <c r="E44" s="657"/>
      <c r="F44" s="4"/>
      <c r="G44" s="657"/>
      <c r="H44" s="4"/>
      <c r="I44" s="4"/>
      <c r="J44" s="4"/>
    </row>
    <row r="45" spans="1:11">
      <c r="A45" s="1511" t="s">
        <v>356</v>
      </c>
      <c r="B45" s="1339" t="str">
        <f t="array" ref="B45:E45">B$12:E$12</f>
        <v>Amount</v>
      </c>
      <c r="C45" s="1340" t="str">
        <v>age</v>
      </c>
      <c r="D45" s="1341" t="str">
        <v>dep. term</v>
      </c>
      <c r="E45" s="1342" t="str">
        <v>prev. Amort.</v>
      </c>
      <c r="F45" s="4"/>
      <c r="G45" s="1516" t="str">
        <f>G$4</f>
        <v>input VAT</v>
      </c>
      <c r="H45" s="639"/>
      <c r="I45" s="2372" t="str">
        <f t="array" ref="I45:J45">I$12:J$12</f>
        <v>In kind contr.</v>
      </c>
      <c r="J45" s="2153" t="str">
        <v>in kind %</v>
      </c>
    </row>
    <row r="46" spans="1:11" outlineLevel="1">
      <c r="A46" s="13" t="s">
        <v>370</v>
      </c>
      <c r="B46" s="15">
        <v>0</v>
      </c>
      <c r="C46" s="1336">
        <v>0</v>
      </c>
      <c r="D46" s="1337">
        <v>5</v>
      </c>
      <c r="E46" s="1338">
        <f>IF(C46&gt;D46,B46,B46*C46/D46)</f>
        <v>0</v>
      </c>
      <c r="F46" s="7"/>
      <c r="G46" s="1523">
        <f t="array" ref="G46:G49">IF(E46:E49=0,B46:B49-I46:I49,0)*Parameters!$F$33</f>
        <v>0</v>
      </c>
      <c r="H46" s="643"/>
      <c r="I46" s="632">
        <v>0</v>
      </c>
      <c r="J46" s="628">
        <f t="array" ref="J46:J50">IF(B46:B50*I46:I50&gt;0,I46:I50/B46:B50,0)</f>
        <v>0</v>
      </c>
      <c r="K46" s="29" t="str">
        <f>IF(I46&gt;B46,"ERROR EN APORTACION EN ESPECIE","")</f>
        <v/>
      </c>
    </row>
    <row r="47" spans="1:11" outlineLevel="1">
      <c r="A47" s="13" t="s">
        <v>371</v>
      </c>
      <c r="B47" s="14">
        <v>0</v>
      </c>
      <c r="C47" s="635">
        <v>0</v>
      </c>
      <c r="D47" s="6">
        <v>5</v>
      </c>
      <c r="E47" s="656">
        <f>IF(C47&gt;D47,B47,B47*C47/D47)</f>
        <v>0</v>
      </c>
      <c r="F47" s="7"/>
      <c r="G47" s="1523">
        <v>0</v>
      </c>
      <c r="H47" s="643"/>
      <c r="I47" s="632">
        <v>0</v>
      </c>
      <c r="J47" s="628">
        <v>0</v>
      </c>
      <c r="K47" s="29" t="str">
        <f>IF(I47&gt;B47,"ERROR EN APORTACION EN ESPECIE","")</f>
        <v/>
      </c>
    </row>
    <row r="48" spans="1:11" outlineLevel="1">
      <c r="A48" s="13" t="s">
        <v>357</v>
      </c>
      <c r="B48" s="14">
        <v>0</v>
      </c>
      <c r="C48" s="635">
        <v>0</v>
      </c>
      <c r="D48" s="6">
        <v>5</v>
      </c>
      <c r="E48" s="656">
        <f>IF(C48&gt;D48,B48,B48*C48/D48)</f>
        <v>0</v>
      </c>
      <c r="F48" s="7"/>
      <c r="G48" s="1523">
        <v>0</v>
      </c>
      <c r="H48" s="643"/>
      <c r="I48" s="632">
        <v>0</v>
      </c>
      <c r="J48" s="628">
        <v>0</v>
      </c>
      <c r="K48" s="29" t="str">
        <f>IF(I48&gt;B48,"ERROR EN APORTACION EN ESPECIE","")</f>
        <v/>
      </c>
    </row>
    <row r="49" spans="1:11" outlineLevel="1">
      <c r="A49" s="13" t="s">
        <v>358</v>
      </c>
      <c r="B49" s="14">
        <v>0</v>
      </c>
      <c r="C49" s="635">
        <v>0</v>
      </c>
      <c r="D49" s="6">
        <v>5</v>
      </c>
      <c r="E49" s="656">
        <f>IF(C49&gt;D49,B49,B49*C49/D49)</f>
        <v>0</v>
      </c>
      <c r="F49" s="7"/>
      <c r="G49" s="1523">
        <v>0</v>
      </c>
      <c r="H49" s="643"/>
      <c r="I49" s="632">
        <v>0</v>
      </c>
      <c r="J49" s="628">
        <v>0</v>
      </c>
      <c r="K49" s="29" t="str">
        <f>IF(I49&gt;B49,"ERROR EN APORTACION EN ESPECIE","")</f>
        <v/>
      </c>
    </row>
    <row r="50" spans="1:11" ht="16.5" thickBot="1">
      <c r="A50" s="1509" t="str">
        <f>"Total "&amp;A45</f>
        <v>Total Information processing equipment</v>
      </c>
      <c r="B50" s="667">
        <f>SUM(B45:B49)</f>
        <v>0</v>
      </c>
      <c r="C50" s="1363">
        <f t="array" ref="C50">IF($B50=0,0,SUM($B46:$B49*C46:C49)/$B50)</f>
        <v>0</v>
      </c>
      <c r="D50" s="669">
        <f t="array" ref="D50">IF($B50=0,AVERAGE(D46:D49),SUM($B46:$B49*D46:D49)/$B50)</f>
        <v>5</v>
      </c>
      <c r="E50" s="668">
        <f>SUM(E45:E49)</f>
        <v>0</v>
      </c>
      <c r="F50" s="8"/>
      <c r="G50" s="1521">
        <f>SUM(G45:G49)</f>
        <v>0</v>
      </c>
      <c r="H50" s="642"/>
      <c r="I50" s="630">
        <f>SUM(I45:I49)</f>
        <v>0</v>
      </c>
      <c r="J50" s="10">
        <v>0</v>
      </c>
    </row>
    <row r="51" spans="1:11" ht="16.5" thickBot="1">
      <c r="A51" s="1514"/>
      <c r="B51" s="12"/>
      <c r="C51" s="4"/>
      <c r="D51" s="4"/>
      <c r="E51" s="657"/>
      <c r="F51" s="4"/>
      <c r="G51" s="657"/>
      <c r="H51" s="4"/>
      <c r="I51" s="4"/>
      <c r="J51" s="4"/>
    </row>
    <row r="52" spans="1:11">
      <c r="A52" s="1511" t="s">
        <v>373</v>
      </c>
      <c r="B52" s="1339" t="str">
        <f t="array" ref="B52:E52">B$12:E$12</f>
        <v>Amount</v>
      </c>
      <c r="C52" s="1340" t="str">
        <v>age</v>
      </c>
      <c r="D52" s="1341" t="str">
        <v>dep. term</v>
      </c>
      <c r="E52" s="1342" t="str">
        <v>prev. Amort.</v>
      </c>
      <c r="F52" s="4"/>
      <c r="G52" s="1516" t="str">
        <f>G$4</f>
        <v>input VAT</v>
      </c>
      <c r="H52" s="639"/>
      <c r="I52" s="2372" t="str">
        <f t="array" ref="I52:J52">I$12:J$12</f>
        <v>In kind contr.</v>
      </c>
      <c r="J52" s="2153" t="str">
        <v>in kind %</v>
      </c>
    </row>
    <row r="53" spans="1:11" outlineLevel="1">
      <c r="A53" s="13" t="s">
        <v>374</v>
      </c>
      <c r="B53" s="15">
        <v>0</v>
      </c>
      <c r="C53" s="1336">
        <v>0</v>
      </c>
      <c r="D53" s="1337">
        <v>5</v>
      </c>
      <c r="E53" s="1338">
        <f>IF(C53&gt;D53,B53,B53*C53/D53)</f>
        <v>0</v>
      </c>
      <c r="F53" s="4"/>
      <c r="G53" s="1523">
        <f t="array" ref="G53:G54">IF(E53:E54=0,B53:B54-I53:I54,0)*Parameters!$F$33</f>
        <v>0</v>
      </c>
      <c r="H53" s="643"/>
      <c r="I53" s="632">
        <v>0</v>
      </c>
      <c r="J53" s="628">
        <f t="array" ref="J53:J55">IF(B53:B55*I53:I55&gt;0,I53:I55/B53:B55,0)</f>
        <v>0</v>
      </c>
      <c r="K53" s="29" t="str">
        <f>IF(I53&gt;B53,"ERROR EN APORTACION EN ESPECIE","")</f>
        <v/>
      </c>
    </row>
    <row r="54" spans="1:11" outlineLevel="1">
      <c r="A54" s="13" t="s">
        <v>372</v>
      </c>
      <c r="B54" s="14">
        <v>0</v>
      </c>
      <c r="C54" s="635">
        <v>0</v>
      </c>
      <c r="D54" s="6">
        <v>5</v>
      </c>
      <c r="E54" s="656">
        <f>IF(C54&gt;D54,B54,B54*C54/D54)</f>
        <v>0</v>
      </c>
      <c r="F54" s="7"/>
      <c r="G54" s="1523">
        <v>0</v>
      </c>
      <c r="H54" s="643"/>
      <c r="I54" s="632">
        <v>0</v>
      </c>
      <c r="J54" s="628">
        <v>0</v>
      </c>
      <c r="K54" s="29" t="str">
        <f>IF(I54&gt;B54,"ERROR EN APORTACION EN ESPECIE","")</f>
        <v/>
      </c>
    </row>
    <row r="55" spans="1:11" ht="16.5" thickBot="1">
      <c r="A55" s="1509" t="str">
        <f>"Total "&amp;A52</f>
        <v>Total Other non material assets</v>
      </c>
      <c r="B55" s="667">
        <f>SUM(B52:B54)</f>
        <v>0</v>
      </c>
      <c r="C55" s="1363">
        <f t="array" ref="C55">IF($B55=0,0,SUM($B53:$B54*C53:C54)/$B55)</f>
        <v>0</v>
      </c>
      <c r="D55" s="669">
        <f t="array" ref="D55">IF($B55=0,AVERAGE(D53:D54),SUM($B53:$B54*D53:D54)/$B55)</f>
        <v>5</v>
      </c>
      <c r="E55" s="668">
        <f>SUM(E52:E54)</f>
        <v>0</v>
      </c>
      <c r="F55" s="8"/>
      <c r="G55" s="1521">
        <f>SUM(G52:G54)</f>
        <v>0</v>
      </c>
      <c r="H55" s="642"/>
      <c r="I55" s="630">
        <f>SUM(I52:I54)</f>
        <v>0</v>
      </c>
      <c r="J55" s="10">
        <v>0</v>
      </c>
    </row>
    <row r="56" spans="1:11" ht="16.5" thickBot="1">
      <c r="F56" s="4"/>
      <c r="G56" s="657"/>
      <c r="H56" s="4"/>
    </row>
    <row r="57" spans="1:11">
      <c r="A57" s="1511" t="s">
        <v>244</v>
      </c>
      <c r="B57" s="1339" t="str">
        <f t="array" ref="B57:E57">B$12:E$12</f>
        <v>Amount</v>
      </c>
      <c r="C57" s="1340" t="str">
        <v>age</v>
      </c>
      <c r="D57" s="1341" t="str">
        <v>dep. term</v>
      </c>
      <c r="E57" s="1342" t="str">
        <v>prev. Amort.</v>
      </c>
      <c r="F57" s="4"/>
      <c r="G57" s="1516" t="str">
        <f>G$4</f>
        <v>input VAT</v>
      </c>
      <c r="H57" s="639"/>
      <c r="I57" s="2372" t="str">
        <f t="array" ref="I57:J57">I$12:J$12</f>
        <v>In kind contr.</v>
      </c>
      <c r="J57" s="2153" t="str">
        <v>in kind %</v>
      </c>
    </row>
    <row r="58" spans="1:11" outlineLevel="1">
      <c r="A58" s="13" t="s">
        <v>375</v>
      </c>
      <c r="B58" s="15">
        <v>0</v>
      </c>
      <c r="C58" s="1336">
        <v>0</v>
      </c>
      <c r="D58" s="1337">
        <v>3</v>
      </c>
      <c r="E58" s="1338">
        <f>IF(C58&gt;D58,B58,B58*C58/D58)</f>
        <v>0</v>
      </c>
      <c r="F58" s="7"/>
      <c r="G58" s="1523">
        <f t="array" ref="G58:G61">IF(E58:E61=0,B58:B61-I58:I61,0)*Parameters!$F$33</f>
        <v>0</v>
      </c>
      <c r="H58" s="643"/>
      <c r="I58" s="632">
        <v>0</v>
      </c>
      <c r="J58" s="628">
        <f t="array" ref="J58:J63">IF(B58:B63*I58:I63&gt;0,I58:I63/B58:B63,0)</f>
        <v>0</v>
      </c>
      <c r="K58" s="29" t="str">
        <f>IF(I58&gt;B58,"ERROR EN APORTACION EN ESPECIE","")</f>
        <v/>
      </c>
    </row>
    <row r="59" spans="1:11" outlineLevel="1">
      <c r="A59" s="13" t="s">
        <v>376</v>
      </c>
      <c r="B59" s="14">
        <v>0</v>
      </c>
      <c r="C59" s="635">
        <v>0</v>
      </c>
      <c r="D59" s="6">
        <v>5</v>
      </c>
      <c r="E59" s="656">
        <f>IF(C59&gt;D59,B59,B59*C59/D59)</f>
        <v>0</v>
      </c>
      <c r="F59" s="7"/>
      <c r="G59" s="1523">
        <v>0</v>
      </c>
      <c r="H59" s="643"/>
      <c r="I59" s="632">
        <v>0</v>
      </c>
      <c r="J59" s="628">
        <v>0</v>
      </c>
      <c r="K59" s="29" t="str">
        <f>IF(I59&gt;B59,"ERROR EN APORTACION EN ESPECIE","")</f>
        <v/>
      </c>
    </row>
    <row r="60" spans="1:11" outlineLevel="1">
      <c r="A60" s="13" t="s">
        <v>377</v>
      </c>
      <c r="B60" s="14">
        <v>0</v>
      </c>
      <c r="C60" s="635">
        <v>0</v>
      </c>
      <c r="D60" s="6">
        <v>5</v>
      </c>
      <c r="E60" s="656">
        <f>IF(C60&gt;D60,B60,B60*C60/D60)</f>
        <v>0</v>
      </c>
      <c r="F60" s="7"/>
      <c r="G60" s="1523">
        <v>0</v>
      </c>
      <c r="H60" s="643"/>
      <c r="I60" s="632">
        <v>0</v>
      </c>
      <c r="J60" s="628">
        <v>0</v>
      </c>
      <c r="K60" s="29" t="str">
        <f>IF(I60&gt;B60,"ERROR EN APORTACION EN ESPECIE","")</f>
        <v/>
      </c>
    </row>
    <row r="61" spans="1:11" outlineLevel="1">
      <c r="A61" s="13" t="s">
        <v>378</v>
      </c>
      <c r="B61" s="14">
        <v>0</v>
      </c>
      <c r="C61" s="635">
        <v>0</v>
      </c>
      <c r="D61" s="6">
        <v>5</v>
      </c>
      <c r="E61" s="656">
        <f>IF(C61&gt;D61,B61,B61*C61/D61)</f>
        <v>0</v>
      </c>
      <c r="F61" s="7"/>
      <c r="G61" s="1523">
        <v>0</v>
      </c>
      <c r="H61" s="643"/>
      <c r="I61" s="632">
        <v>0</v>
      </c>
      <c r="J61" s="628">
        <v>0</v>
      </c>
      <c r="K61" s="29" t="str">
        <f>IF(I61&gt;B61,"ERROR EN APORTACION EN ESPECIE","")</f>
        <v/>
      </c>
    </row>
    <row r="62" spans="1:11" outlineLevel="1">
      <c r="A62" s="2229" t="s">
        <v>379</v>
      </c>
      <c r="B62" s="2321">
        <f>+'Prev. Initial Balance'!D10</f>
        <v>0</v>
      </c>
      <c r="C62" s="2241"/>
      <c r="D62" s="2237">
        <f>'Prev. Initial Balance'!$D$39</f>
        <v>5</v>
      </c>
      <c r="E62" s="2236">
        <f>-'Prev. Initial Balance'!D11</f>
        <v>0</v>
      </c>
      <c r="F62" s="7"/>
      <c r="G62" s="2240">
        <v>0</v>
      </c>
      <c r="H62" s="643"/>
      <c r="I62" s="2241"/>
      <c r="J62" s="628">
        <v>0</v>
      </c>
      <c r="K62" s="29"/>
    </row>
    <row r="63" spans="1:11" ht="16.5" thickBot="1">
      <c r="A63" s="1509" t="str">
        <f>"Total "&amp;A57</f>
        <v>Total Intangible Assets</v>
      </c>
      <c r="B63" s="667">
        <f>SUM(B57:B62)</f>
        <v>0</v>
      </c>
      <c r="C63" s="1363">
        <f t="array" ref="C63">IF($B63=0,0,SUM($B58:$B62*C58:C62)/$B63)</f>
        <v>0</v>
      </c>
      <c r="D63" s="669">
        <f t="array" ref="D63">IF($B63=0,AVERAGE(D58:D62),SUM($B58:$B62*D58:D62)/$B63)</f>
        <v>4.5999999999999996</v>
      </c>
      <c r="E63" s="668">
        <f>SUM(E57:E62)</f>
        <v>0</v>
      </c>
      <c r="F63" s="8"/>
      <c r="G63" s="1521">
        <f>SUM(G57:G61)</f>
        <v>0</v>
      </c>
      <c r="H63" s="642"/>
      <c r="I63" s="630">
        <f>SUM(I57:I61)</f>
        <v>0</v>
      </c>
      <c r="J63" s="10">
        <v>0</v>
      </c>
    </row>
    <row r="64" spans="1:11" ht="17.25" customHeight="1"/>
    <row r="65" spans="1:8">
      <c r="A65" s="2360" t="s">
        <v>156</v>
      </c>
      <c r="B65" s="1740">
        <f>+B10+B20+B26+B31+B37+B43+B50+B55+B63
-(B62+B19+B9)</f>
        <v>0</v>
      </c>
      <c r="E65" s="1740">
        <f>+E10+E20+E26+E31+E37+E43+E50+E55+E63
-(E62+E19+E9)</f>
        <v>0</v>
      </c>
      <c r="F65" s="4"/>
      <c r="G65" s="1740">
        <f>+G10+G20+G26+G31+G37+G43+G50+G55+G63</f>
        <v>0</v>
      </c>
      <c r="H65" s="4"/>
    </row>
    <row r="66" spans="1:8">
      <c r="F66" s="4"/>
      <c r="G66" s="657"/>
      <c r="H66" s="4"/>
    </row>
    <row r="67" spans="1:8">
      <c r="F67" s="7"/>
      <c r="G67" s="1524"/>
      <c r="H67" s="7"/>
    </row>
    <row r="68" spans="1:8">
      <c r="A68" s="2753" t="s">
        <v>350</v>
      </c>
      <c r="F68" s="8"/>
      <c r="G68" s="1525"/>
      <c r="H68" s="8"/>
    </row>
    <row r="69" spans="1:8">
      <c r="A69" s="2753" t="s">
        <v>365</v>
      </c>
    </row>
    <row r="70" spans="1:8">
      <c r="A70" s="2753" t="s">
        <v>366</v>
      </c>
    </row>
    <row r="71" spans="1:8">
      <c r="A71" s="2753" t="s">
        <v>1072</v>
      </c>
    </row>
    <row r="72" spans="1:8">
      <c r="A72" s="2753" t="s">
        <v>364</v>
      </c>
    </row>
    <row r="73" spans="1:8">
      <c r="E73" s="658"/>
    </row>
    <row r="76" spans="1:8" s="20" customFormat="1">
      <c r="D76"/>
      <c r="E76" s="1"/>
      <c r="F76" s="19"/>
      <c r="H76" s="19"/>
    </row>
    <row r="77" spans="1:8" s="20" customFormat="1" ht="15">
      <c r="F77" s="19"/>
      <c r="H77" s="19"/>
    </row>
    <row r="78" spans="1:8" s="20" customFormat="1" ht="15">
      <c r="F78" s="19"/>
      <c r="H78" s="19"/>
    </row>
    <row r="79" spans="1:8" s="20" customFormat="1" ht="15">
      <c r="F79" s="21"/>
      <c r="H79" s="19"/>
    </row>
  </sheetData>
  <sheetProtection sheet="1" objects="1" scenarios="1"/>
  <phoneticPr fontId="7" type="noConversion"/>
  <dataValidations count="7">
    <dataValidation type="whole" allowBlank="1" showInputMessage="1" showErrorMessage="1" error="La amortización acumulada debe ser mayor que 0 y MENOR que la inversión total" sqref="E29:F30 H36 H42 H67 H15:H19 E7:F9 E13:F19 E40:F42 E46:F49 E58:F62 E54:F54 E53 E34:F36 E23:F25 F67 H25" xr:uid="{00000000-0002-0000-0500-000000000000}">
      <formula1>0</formula1>
      <formula2>B7</formula2>
    </dataValidation>
    <dataValidation type="custom" allowBlank="1" showInputMessage="1" showErrorMessage="1" error="La aportación en especie no puede ser superior al importe." sqref="I34:I36 I29:I30 I40:I42 I46:I49 I58:I62 I53:I54 I23:I25 I13:I19" xr:uid="{00000000-0002-0000-0500-000001000000}">
      <formula1>OR(AND(E13=0,I13&lt;=B13,I13&gt;0),I13=0)</formula1>
    </dataValidation>
    <dataValidation type="whole" allowBlank="1" showInputMessage="1" showErrorMessage="1" error="El plazo mínimo de amortización es 2 años._x000a_El plazo máximo 99 años." sqref="D7:D9 D13:D19 D58:D62 D53:D54 D46:D49 D40:D42 D34:D36 D29:D30 D23:D25" xr:uid="{00000000-0002-0000-0500-000002000000}">
      <formula1>2</formula1>
      <formula2>99</formula2>
    </dataValidation>
    <dataValidation allowBlank="1" showInputMessage="1" showErrorMessage="1" error="La amortización acumulada debe ser mayor que 0 y MENOR que la inversión total" sqref="H58:H62 H53:H54 H46:H49 H40:H41 H34:H35 H29:H30 H23:H24 H13:H14 H6:H9" xr:uid="{00000000-0002-0000-0500-000003000000}"/>
    <dataValidation type="custom" allowBlank="1" showInputMessage="1" showErrorMessage="1" error="La aportación en especie no puede ser superior al importe." sqref="I6:I7" xr:uid="{00000000-0002-0000-0500-000004000000}">
      <formula1>OR(AND($E$6=0,$I$6&lt;=$B$6,$I$6&gt;0),$I$6=0)</formula1>
    </dataValidation>
    <dataValidation type="custom" allowBlank="1" showInputMessage="1" showErrorMessage="1" error="La aportación en especie no puede ser superior al importe." sqref="I8:I9" xr:uid="{00000000-0002-0000-0500-000005000000}">
      <formula1>OR(AND(E6=0,I6&lt;=B6,I6&gt;0),I6=0)</formula1>
    </dataValidation>
    <dataValidation type="list" allowBlank="1" showInputMessage="1" showErrorMessage="1" sqref="A29" xr:uid="{00000000-0002-0000-0500-000006000000}">
      <formula1>$A$68:$A$72</formula1>
    </dataValidation>
  </dataValidations>
  <printOptions horizontalCentered="1"/>
  <pageMargins left="0.78740157480314965" right="0.48" top="0.37" bottom="0.4" header="0" footer="0"/>
  <pageSetup paperSize="9" scale="76" orientation="portrait" r:id="rId1"/>
  <headerFooter alignWithMargins="0"/>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28">
    <tabColor indexed="41"/>
    <pageSetUpPr fitToPage="1"/>
  </sheetPr>
  <dimension ref="A1:P42"/>
  <sheetViews>
    <sheetView topLeftCell="A16" zoomScale="85" zoomScaleNormal="100" workbookViewId="0">
      <selection activeCell="E22" sqref="E22"/>
    </sheetView>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'VAT 0'!A1</f>
        <v>VAT Periodical Settlements Calculations</v>
      </c>
      <c r="B1" s="250"/>
      <c r="F1" s="2435" t="str">
        <f>Parameters!D$77</f>
        <v>Year 2:   2028</v>
      </c>
      <c r="G1" s="250"/>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 t="array" ref="A4:A8">'VAT 0'!A4:A8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tr">
        <f>'VAT 0'!$O$4</f>
        <v>Totals</v>
      </c>
    </row>
    <row r="5" spans="1:16">
      <c r="A5" s="2426" t="str">
        <v>Input VAT due Purchases &amp; D C</v>
      </c>
      <c r="B5" s="1081"/>
      <c r="C5" s="1082">
        <f t="array" aca="1" ref="C5:N5" ca="1">'DC Distr 2'!B67:M67</f>
        <v>23.392845000000005</v>
      </c>
      <c r="D5" s="1083">
        <f ca="1"/>
        <v>23.392845000000005</v>
      </c>
      <c r="E5" s="1083">
        <f ca="1"/>
        <v>23.392845000000005</v>
      </c>
      <c r="F5" s="1083">
        <f ca="1"/>
        <v>23.392845000000005</v>
      </c>
      <c r="G5" s="1083">
        <f ca="1"/>
        <v>23.392845000000005</v>
      </c>
      <c r="H5" s="1083">
        <f ca="1"/>
        <v>23.392845000000005</v>
      </c>
      <c r="I5" s="1083">
        <f ca="1"/>
        <v>23.392845000000005</v>
      </c>
      <c r="J5" s="1083">
        <f ca="1"/>
        <v>23.392845000000005</v>
      </c>
      <c r="K5" s="1083">
        <f ca="1"/>
        <v>23.392845000000005</v>
      </c>
      <c r="L5" s="1083">
        <f ca="1"/>
        <v>23.392845000000005</v>
      </c>
      <c r="M5" s="1083">
        <f ca="1"/>
        <v>23.392845000000005</v>
      </c>
      <c r="N5" s="1084">
        <f ca="1"/>
        <v>23.392845000000005</v>
      </c>
      <c r="O5" s="1119">
        <f ca="1">SUM(C5:N5)</f>
        <v>280.71414000000004</v>
      </c>
    </row>
    <row r="6" spans="1:16">
      <c r="A6" s="2427" t="str">
        <v>Input VAT due to Fixed Expenses</v>
      </c>
      <c r="B6" s="1085"/>
      <c r="C6" s="1083">
        <f t="array" aca="1" ref="C6:N6" ca="1">'Fixed Expenses 2'!B60:M60</f>
        <v>7.4266983000000009</v>
      </c>
      <c r="D6" s="1083">
        <f ca="1"/>
        <v>7.4266983000000009</v>
      </c>
      <c r="E6" s="1083">
        <f ca="1"/>
        <v>7.4266983000000009</v>
      </c>
      <c r="F6" s="1083">
        <f ca="1"/>
        <v>7.4266983000000009</v>
      </c>
      <c r="G6" s="1083">
        <f ca="1"/>
        <v>7.4266983000000009</v>
      </c>
      <c r="H6" s="1083">
        <f ca="1"/>
        <v>7.4266983000000009</v>
      </c>
      <c r="I6" s="1083">
        <f ca="1"/>
        <v>7.4266983000000009</v>
      </c>
      <c r="J6" s="1083">
        <f ca="1"/>
        <v>7.4266983000000009</v>
      </c>
      <c r="K6" s="1083">
        <f ca="1"/>
        <v>7.4266983000000009</v>
      </c>
      <c r="L6" s="1083">
        <f ca="1"/>
        <v>7.4266983000000009</v>
      </c>
      <c r="M6" s="1083">
        <f ca="1"/>
        <v>7.4266983000000009</v>
      </c>
      <c r="N6" s="1084">
        <f ca="1"/>
        <v>7.4266983000000009</v>
      </c>
      <c r="O6" s="1119">
        <f ca="1">SUM(C6:N6)</f>
        <v>89.120379599999993</v>
      </c>
    </row>
    <row r="7" spans="1:16">
      <c r="A7" s="2427" t="str">
        <v>Input VAT due to Investments</v>
      </c>
      <c r="B7" s="1086"/>
      <c r="C7" s="1083">
        <f t="array" ref="C7:N7">'Current Asset Invest.'!$D$44/12+'Current Asset Invest.'!$D$43/12</f>
        <v>0</v>
      </c>
      <c r="D7" s="1083">
        <v>0</v>
      </c>
      <c r="E7" s="1083">
        <v>0</v>
      </c>
      <c r="F7" s="1083">
        <v>0</v>
      </c>
      <c r="G7" s="1083">
        <v>0</v>
      </c>
      <c r="H7" s="1083">
        <v>0</v>
      </c>
      <c r="I7" s="1083">
        <v>0</v>
      </c>
      <c r="J7" s="1083">
        <v>0</v>
      </c>
      <c r="K7" s="1083">
        <v>0</v>
      </c>
      <c r="L7" s="1083">
        <v>0</v>
      </c>
      <c r="M7" s="1083">
        <v>0</v>
      </c>
      <c r="N7" s="1084">
        <v>0</v>
      </c>
      <c r="O7" s="1119">
        <f>SUM(C7:N7)</f>
        <v>0</v>
      </c>
    </row>
    <row r="8" spans="1:16" ht="15.75" thickBot="1">
      <c r="A8" s="2428" t="str">
        <v>Input VAT from Leasing/Renting</v>
      </c>
      <c r="B8" s="1087"/>
      <c r="C8" s="1088">
        <f t="array" ref="C8:N8">Leasing!B40:M40+Renting!B38:M38</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5" t="str">
        <f>'VAT 0'!B9</f>
        <v>Total Input VAT</v>
      </c>
      <c r="C9" s="1136">
        <f t="shared" ref="C9:O9" ca="1" si="0">SUM(C5:C8)</f>
        <v>30.819543300000007</v>
      </c>
      <c r="D9" s="1137">
        <f t="shared" ca="1" si="0"/>
        <v>30.819543300000007</v>
      </c>
      <c r="E9" s="1137">
        <f t="shared" ca="1" si="0"/>
        <v>30.819543300000007</v>
      </c>
      <c r="F9" s="1137">
        <f t="shared" ca="1" si="0"/>
        <v>30.819543300000007</v>
      </c>
      <c r="G9" s="1137">
        <f t="shared" ca="1" si="0"/>
        <v>30.819543300000007</v>
      </c>
      <c r="H9" s="1137">
        <f t="shared" ca="1" si="0"/>
        <v>30.819543300000007</v>
      </c>
      <c r="I9" s="1137">
        <f t="shared" ca="1" si="0"/>
        <v>30.819543300000007</v>
      </c>
      <c r="J9" s="1137">
        <f t="shared" ca="1" si="0"/>
        <v>30.819543300000007</v>
      </c>
      <c r="K9" s="1137">
        <f t="shared" ca="1" si="0"/>
        <v>30.819543300000007</v>
      </c>
      <c r="L9" s="1137">
        <f t="shared" ca="1" si="0"/>
        <v>30.819543300000007</v>
      </c>
      <c r="M9" s="1137">
        <f t="shared" ca="1" si="0"/>
        <v>30.819543300000007</v>
      </c>
      <c r="N9" s="1138">
        <f t="shared" ca="1" si="0"/>
        <v>30.819543300000007</v>
      </c>
      <c r="O9" s="1139">
        <f t="shared" ca="1" si="0"/>
        <v>369.83451960000002</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 t="array" ref="A11:A13">'VAT 0'!A11:A13</f>
        <v>Monthly Prorated coefficients</v>
      </c>
      <c r="B11" s="1115"/>
      <c r="C11" s="2516">
        <f t="array" aca="1" ref="C11:O11" ca="1">C42:O42</f>
        <v>1</v>
      </c>
      <c r="D11" s="2516">
        <f ca="1"/>
        <v>0</v>
      </c>
      <c r="E11" s="2517">
        <f ca="1"/>
        <v>0</v>
      </c>
      <c r="F11" s="2516">
        <f ca="1"/>
        <v>0</v>
      </c>
      <c r="G11" s="2516">
        <f ca="1"/>
        <v>0</v>
      </c>
      <c r="H11" s="2517">
        <f ca="1"/>
        <v>0</v>
      </c>
      <c r="I11" s="2516">
        <f ca="1"/>
        <v>0</v>
      </c>
      <c r="J11" s="2516">
        <f ca="1"/>
        <v>0</v>
      </c>
      <c r="K11" s="2517">
        <f ca="1"/>
        <v>0</v>
      </c>
      <c r="L11" s="2516">
        <f ca="1"/>
        <v>0</v>
      </c>
      <c r="M11" s="2516">
        <f ca="1"/>
        <v>0</v>
      </c>
      <c r="N11" s="2517">
        <f ca="1"/>
        <v>0</v>
      </c>
      <c r="O11" s="3081">
        <f ca="1"/>
        <v>1</v>
      </c>
    </row>
    <row r="12" spans="1:16">
      <c r="A12" s="1116" t="str">
        <v>Deductible Input VAT amount</v>
      </c>
      <c r="B12" s="1093"/>
      <c r="C12" s="3200">
        <f t="array" aca="1" ref="C12:N12" ca="1">$C$11*C9:N9</f>
        <v>30.819543300000007</v>
      </c>
      <c r="D12" s="3200">
        <f ca="1"/>
        <v>30.819543300000007</v>
      </c>
      <c r="E12" s="3200">
        <f ca="1"/>
        <v>30.819543300000007</v>
      </c>
      <c r="F12" s="3200">
        <f ca="1"/>
        <v>30.819543300000007</v>
      </c>
      <c r="G12" s="3200">
        <f ca="1"/>
        <v>30.819543300000007</v>
      </c>
      <c r="H12" s="3200">
        <f ca="1"/>
        <v>30.819543300000007</v>
      </c>
      <c r="I12" s="3200">
        <f ca="1"/>
        <v>30.819543300000007</v>
      </c>
      <c r="J12" s="3200">
        <f ca="1"/>
        <v>30.819543300000007</v>
      </c>
      <c r="K12" s="3200">
        <f ca="1"/>
        <v>30.819543300000007</v>
      </c>
      <c r="L12" s="3200">
        <f ca="1"/>
        <v>30.819543300000007</v>
      </c>
      <c r="M12" s="3200">
        <f ca="1"/>
        <v>30.819543300000007</v>
      </c>
      <c r="N12" s="3200">
        <f ca="1"/>
        <v>30.819543300000007</v>
      </c>
      <c r="O12" s="1133">
        <f ca="1">SUM(C12:N12)</f>
        <v>369.83451960000019</v>
      </c>
    </row>
    <row r="13" spans="1:16" ht="16.5" customHeight="1" thickBot="1">
      <c r="A13" s="1117" t="str">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'VAT 0'!B15</f>
        <v>VAT Taxation current Account</v>
      </c>
      <c r="C15" s="1129" t="str">
        <f>'Base Data'!$B$32</f>
        <v>No</v>
      </c>
      <c r="D15" s="2370">
        <f>IVAcc</f>
        <v>0</v>
      </c>
      <c r="F15" s="1131"/>
      <c r="G15" s="674"/>
      <c r="L15" s="64"/>
      <c r="M15" s="359"/>
      <c r="N15" s="3198" t="s">
        <v>1208</v>
      </c>
      <c r="O15" s="3199">
        <f ca="1">-O9*($O$11-$C$11)</f>
        <v>0</v>
      </c>
    </row>
    <row r="17" spans="1:15" s="97" customFormat="1" ht="23.25" thickBot="1">
      <c r="A17" s="66" t="str">
        <f>'VAT 0'!A17</f>
        <v>Periodical VAT Settlements</v>
      </c>
      <c r="B17" s="250"/>
      <c r="C17" s="66"/>
      <c r="D17" s="66"/>
      <c r="F17" s="250"/>
    </row>
    <row r="18" spans="1:15" ht="15.75" thickBot="1">
      <c r="A18" s="2433"/>
      <c r="B18" s="2434"/>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'VAT 0'!$O$4</f>
        <v>Totals</v>
      </c>
    </row>
    <row r="19" spans="1:15">
      <c r="A19" s="2388" t="str">
        <f t="array" ref="A19:A22">'VAT 0'!A19:A22</f>
        <v>Total Output VAT</v>
      </c>
      <c r="B19" s="2430"/>
      <c r="C19" s="1082">
        <f t="array" aca="1" ref="C19" ca="1">SUM(Parameters!$E$24:$E$31*C31:C38)</f>
        <v>233.92844999999997</v>
      </c>
      <c r="D19" s="1082">
        <f t="array" aca="1" ref="D19" ca="1">SUM(Parameters!$E$24:$E$31*D31:D38)</f>
        <v>233.92844999999997</v>
      </c>
      <c r="E19" s="1082">
        <f t="array" aca="1" ref="E19" ca="1">SUM(Parameters!$E$24:$E$31*E31:E38)</f>
        <v>233.92844999999997</v>
      </c>
      <c r="F19" s="1082">
        <f t="array" aca="1" ref="F19" ca="1">SUM(Parameters!$E$24:$E$31*F31:F38)</f>
        <v>233.92844999999997</v>
      </c>
      <c r="G19" s="1082">
        <f t="array" aca="1" ref="G19" ca="1">SUM(Parameters!$E$24:$E$31*G31:G38)</f>
        <v>233.92844999999997</v>
      </c>
      <c r="H19" s="1082">
        <f t="array" aca="1" ref="H19" ca="1">SUM(Parameters!$E$24:$E$31*H31:H38)</f>
        <v>233.92844999999997</v>
      </c>
      <c r="I19" s="1082">
        <f t="array" aca="1" ref="I19" ca="1">SUM(Parameters!$E$24:$E$31*I31:I38)</f>
        <v>233.92844999999997</v>
      </c>
      <c r="J19" s="1082">
        <f t="array" aca="1" ref="J19" ca="1">SUM(Parameters!$E$24:$E$31*J31:J38)</f>
        <v>233.92844999999997</v>
      </c>
      <c r="K19" s="1082">
        <f t="array" aca="1" ref="K19" ca="1">SUM(Parameters!$E$24:$E$31*K31:K38)</f>
        <v>233.92844999999997</v>
      </c>
      <c r="L19" s="1082">
        <f t="array" aca="1" ref="L19" ca="1">SUM(Parameters!$E$24:$E$31*L31:L38)</f>
        <v>233.92844999999997</v>
      </c>
      <c r="M19" s="1082">
        <f t="array" aca="1" ref="M19" ca="1">SUM(Parameters!$E$24:$E$31*M31:M38)</f>
        <v>233.92844999999997</v>
      </c>
      <c r="N19" s="1082">
        <f t="array" aca="1" ref="N19" ca="1">SUM(Parameters!$E$24:$E$31*N31:N38)</f>
        <v>233.92844999999997</v>
      </c>
      <c r="O19" s="1112">
        <f ca="1">SUM(C19:N19)</f>
        <v>2807.1413999999991</v>
      </c>
    </row>
    <row r="20" spans="1:15">
      <c r="A20" s="2429" t="str">
        <v>Total Deductible Input VAT</v>
      </c>
      <c r="B20" s="2431"/>
      <c r="C20" s="1083">
        <f t="array" aca="1" ref="C20:N20" ca="1">C12:N12</f>
        <v>30.819543300000007</v>
      </c>
      <c r="D20" s="1083">
        <f ca="1"/>
        <v>30.819543300000007</v>
      </c>
      <c r="E20" s="1083">
        <f ca="1"/>
        <v>30.819543300000007</v>
      </c>
      <c r="F20" s="1083">
        <f ca="1"/>
        <v>30.819543300000007</v>
      </c>
      <c r="G20" s="1083">
        <f ca="1"/>
        <v>30.819543300000007</v>
      </c>
      <c r="H20" s="1083">
        <f ca="1"/>
        <v>30.819543300000007</v>
      </c>
      <c r="I20" s="1083">
        <f ca="1"/>
        <v>30.819543300000007</v>
      </c>
      <c r="J20" s="1083">
        <f ca="1"/>
        <v>30.819543300000007</v>
      </c>
      <c r="K20" s="1083">
        <f ca="1"/>
        <v>30.819543300000007</v>
      </c>
      <c r="L20" s="1083">
        <f ca="1"/>
        <v>30.819543300000007</v>
      </c>
      <c r="M20" s="1083">
        <f ca="1"/>
        <v>30.819543300000007</v>
      </c>
      <c r="N20" s="1083">
        <f ca="1"/>
        <v>30.819543300000007</v>
      </c>
      <c r="O20" s="1107">
        <f ca="1">SUM(C20:N20)</f>
        <v>369.83451960000019</v>
      </c>
    </row>
    <row r="21" spans="1:15" ht="15.75" thickBot="1">
      <c r="A21" s="2389" t="str">
        <v>VAT differential</v>
      </c>
      <c r="B21" s="2432"/>
      <c r="C21" s="1132">
        <f t="array" aca="1" ref="C21:N21" ca="1">C19:N19-C20:N20</f>
        <v>203.10890669999998</v>
      </c>
      <c r="D21" s="1132">
        <f ca="1"/>
        <v>203.10890669999998</v>
      </c>
      <c r="E21" s="1132">
        <f ca="1"/>
        <v>203.10890669999998</v>
      </c>
      <c r="F21" s="1132">
        <f ca="1"/>
        <v>203.10890669999998</v>
      </c>
      <c r="G21" s="1132">
        <f ca="1"/>
        <v>203.10890669999998</v>
      </c>
      <c r="H21" s="1132">
        <f ca="1"/>
        <v>203.10890669999998</v>
      </c>
      <c r="I21" s="1132">
        <f ca="1"/>
        <v>203.10890669999998</v>
      </c>
      <c r="J21" s="1132">
        <f ca="1"/>
        <v>203.10890669999998</v>
      </c>
      <c r="K21" s="1132">
        <f ca="1"/>
        <v>203.10890669999998</v>
      </c>
      <c r="L21" s="1132">
        <f ca="1"/>
        <v>203.10890669999998</v>
      </c>
      <c r="M21" s="1132">
        <f ca="1"/>
        <v>203.10890669999998</v>
      </c>
      <c r="N21" s="1132">
        <f ca="1"/>
        <v>203.10890669999998</v>
      </c>
      <c r="O21" s="1108">
        <f ca="1">SUM(C21:N21)</f>
        <v>2437.3068804</v>
      </c>
    </row>
    <row r="22" spans="1:15" s="48" customFormat="1" ht="19.5" customHeight="1">
      <c r="A22" s="2543" t="str">
        <v>VAT quotes</v>
      </c>
      <c r="B22" s="2557"/>
      <c r="C22" s="2545">
        <f ca="1">'VAT 1'!O22</f>
        <v>187.78787999999997</v>
      </c>
      <c r="D22" s="2560">
        <f ca="1">+IF(IVAmensual=1,  IF(AND(IVAdev=1,C22&lt;0),0,MIN(C22,0))  +C21,0)</f>
        <v>203.10890669999998</v>
      </c>
      <c r="E22" s="2546">
        <f ca="1">+IF(IVAmensual=1,    MIN(D22,0)+D21,0)</f>
        <v>203.10890669999998</v>
      </c>
      <c r="F22" s="2560">
        <f ca="1">IF(IVAmensual=0,    IF(AND(IVAdev=1,C22&lt;0),0,MIN(C22,0))+SUM(C21:E21),0)
+IF(IVAmensual=1,    MIN(E22,0)+E21,0)</f>
        <v>203.10890669999998</v>
      </c>
      <c r="G22" s="2546">
        <f ca="1">+IF(IVAmensual=1,    MIN(F22,0)+F21,0)</f>
        <v>203.10890669999998</v>
      </c>
      <c r="H22" s="2546">
        <f ca="1">+IF(IVAmensual=1,    MIN(G22,0)+G21,0)</f>
        <v>203.10890669999998</v>
      </c>
      <c r="I22" s="2546">
        <f ca="1">IF(IVAmensual=0,    MIN(F22,0)+SUM(F21:H21),0)
+IF(IVAmensual=1,    MIN(H22,0)+H21,0)</f>
        <v>203.10890669999998</v>
      </c>
      <c r="J22" s="2546">
        <f ca="1">+IF(IVAmensual=1,    MIN(I22,0)+I21,0)</f>
        <v>203.10890669999998</v>
      </c>
      <c r="K22" s="2546">
        <f ca="1">+IF(IVAmensual=1,    MIN(J22,0)+J21,0)</f>
        <v>203.10890669999998</v>
      </c>
      <c r="L22" s="2546">
        <f ca="1">IF(IVAmensual=0,    MIN(I22,0)+SUM(I21:K21),0)
+IF(IVAmensual=1,    MIN(K22,0)+K21,0)</f>
        <v>203.10890669999998</v>
      </c>
      <c r="M22" s="2546">
        <f ca="1">+IF(IVAmensual=1,    MIN(L22,0)+L21,0)</f>
        <v>203.10890669999998</v>
      </c>
      <c r="N22" s="2546">
        <f ca="1">+IF(IVAmensual=1,    MIN(M22,0)+M21,0)</f>
        <v>203.10890669999998</v>
      </c>
      <c r="O22" s="3197">
        <f ca="1">IF(IVAmensual=0,    MIN(L22,0)+SUM(L21:N21)+O15,0)
+IF(IVAmensual=1,    MIN(N22,0)+N21+O15,0)</f>
        <v>203.10890669999998</v>
      </c>
    </row>
    <row r="23" spans="1:15" ht="10.5" customHeight="1">
      <c r="A23" s="372"/>
      <c r="B23" s="2431"/>
      <c r="C23" s="882"/>
      <c r="D23" s="882"/>
      <c r="E23" s="882"/>
      <c r="F23" s="882"/>
      <c r="G23" s="882"/>
      <c r="H23" s="882"/>
      <c r="I23" s="882"/>
      <c r="J23" s="882"/>
      <c r="K23" s="882"/>
      <c r="L23" s="882"/>
      <c r="M23" s="882"/>
      <c r="N23" s="882"/>
      <c r="O23" s="1113"/>
    </row>
    <row r="24" spans="1:15" s="48" customFormat="1" ht="19.5" customHeight="1" thickBot="1">
      <c r="A24" s="2547" t="str">
        <f>'VAT 0'!A24</f>
        <v>VAT settlements quotas</v>
      </c>
      <c r="B24" s="2548"/>
      <c r="C24" s="2549">
        <f t="shared" ref="C24:O24" ca="1" si="1">IF(AND(IVAcc=0,C22&gt;0),C22,0)</f>
        <v>187.78787999999997</v>
      </c>
      <c r="D24" s="2550">
        <f t="shared" ca="1" si="1"/>
        <v>203.10890669999998</v>
      </c>
      <c r="E24" s="2550">
        <f t="shared" ca="1" si="1"/>
        <v>203.10890669999998</v>
      </c>
      <c r="F24" s="2550">
        <f t="shared" ca="1" si="1"/>
        <v>203.10890669999998</v>
      </c>
      <c r="G24" s="2550">
        <f t="shared" ca="1" si="1"/>
        <v>203.10890669999998</v>
      </c>
      <c r="H24" s="2550">
        <f t="shared" ca="1" si="1"/>
        <v>203.10890669999998</v>
      </c>
      <c r="I24" s="2550">
        <f t="shared" ca="1" si="1"/>
        <v>203.10890669999998</v>
      </c>
      <c r="J24" s="2550">
        <f t="shared" ca="1" si="1"/>
        <v>203.10890669999998</v>
      </c>
      <c r="K24" s="2550">
        <f t="shared" ca="1" si="1"/>
        <v>203.10890669999998</v>
      </c>
      <c r="L24" s="2550">
        <f t="shared" ca="1" si="1"/>
        <v>203.10890669999998</v>
      </c>
      <c r="M24" s="2550">
        <f t="shared" ca="1" si="1"/>
        <v>203.10890669999998</v>
      </c>
      <c r="N24" s="2550">
        <f t="shared" ca="1" si="1"/>
        <v>203.10890669999998</v>
      </c>
      <c r="O24" s="2551">
        <f t="shared" ca="1" si="1"/>
        <v>203.10890669999998</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2" t="str">
        <f>'VAT 0'!A26</f>
        <v>VAT Refundings</v>
      </c>
      <c r="B26" s="2553"/>
      <c r="C26" s="2554">
        <f>'VAT 1'!O26</f>
        <v>0</v>
      </c>
      <c r="D26" s="2555">
        <f>-IF(AND(IVAcc,IVAmensual=1),C21,0)</f>
        <v>0</v>
      </c>
      <c r="E26" s="2555">
        <f>-IF(AND(IVAcc,IVAmensual=1),D21,0)</f>
        <v>0</v>
      </c>
      <c r="F26" s="2555">
        <f>-IF(AND(IVAcc,IVAmensual=0),SUM(C21:E21),0)
-IF(AND(IVAcc,IVAmensual=1),E21,0)</f>
        <v>0</v>
      </c>
      <c r="G26" s="2555">
        <f>-IF(AND(IVAcc,IVAmensual=1),F21,0)</f>
        <v>0</v>
      </c>
      <c r="H26" s="2559">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58">
        <f>-IF(AND(IVAcc,IVAmensual=0),SUM(L21:N21),0)
-IF(AND(IVAcc,IVAmensual=1),N21,0)</f>
        <v>0</v>
      </c>
    </row>
    <row r="29" spans="1:15" s="97" customFormat="1" ht="23.25" thickBot="1">
      <c r="A29" s="66" t="str">
        <f>'VAT 0'!A29</f>
        <v>Pro-rata Rule rates</v>
      </c>
      <c r="D29" s="250"/>
      <c r="E29" s="250"/>
    </row>
    <row r="30" spans="1:15" ht="15.75" thickBot="1">
      <c r="A30" s="1122" t="str">
        <f>'VAT 0'!A30</f>
        <v>Charged VAT</v>
      </c>
      <c r="B30" s="102" t="str">
        <f>'VAT 0'!B30</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'VAT 0'!$O$4</f>
        <v>Totals</v>
      </c>
    </row>
    <row r="31" spans="1:15">
      <c r="A31" s="1704" t="str">
        <f t="array" ref="A31:A38">productos</f>
        <v>product 1</v>
      </c>
      <c r="B31" s="1094">
        <f t="array" ref="B31:B38">Parameters!E24:E31</f>
        <v>0.21</v>
      </c>
      <c r="C31" s="1095">
        <f t="array" aca="1" ref="C31:N38" ca="1">'Sales Forecast 2'!B17:M24</f>
        <v>1113.9449999999999</v>
      </c>
      <c r="D31" s="1095">
        <f ca="1"/>
        <v>1113.9449999999999</v>
      </c>
      <c r="E31" s="1095">
        <f ca="1"/>
        <v>1113.9449999999999</v>
      </c>
      <c r="F31" s="1095">
        <f ca="1"/>
        <v>1113.9449999999999</v>
      </c>
      <c r="G31" s="1095">
        <f ca="1"/>
        <v>1113.9449999999999</v>
      </c>
      <c r="H31" s="1095">
        <f ca="1"/>
        <v>1113.9449999999999</v>
      </c>
      <c r="I31" s="1095">
        <f ca="1"/>
        <v>1113.9449999999999</v>
      </c>
      <c r="J31" s="1095">
        <f ca="1"/>
        <v>1113.9449999999999</v>
      </c>
      <c r="K31" s="1095">
        <f ca="1"/>
        <v>1113.9449999999999</v>
      </c>
      <c r="L31" s="1095">
        <f ca="1"/>
        <v>1113.9449999999999</v>
      </c>
      <c r="M31" s="1095">
        <f ca="1"/>
        <v>1113.9449999999999</v>
      </c>
      <c r="N31" s="1095">
        <f ca="1"/>
        <v>1113.9449999999999</v>
      </c>
      <c r="O31" s="1123">
        <f t="shared" ref="O31:O41" ca="1" si="2">SUM(C31:N31)</f>
        <v>13367.339999999998</v>
      </c>
    </row>
    <row r="32" spans="1:15">
      <c r="A32" s="1489"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89"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89"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89"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89"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89"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5"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 t="array" ref="A39:A42">'VAT 0'!A39:A42</f>
        <v>Sales subjetc to VAT</v>
      </c>
      <c r="B39" s="200"/>
      <c r="C39" s="1101">
        <f ca="1">SUMIF($B$31:$B$38,"&lt;&gt;0",C31:C38)</f>
        <v>1113.9449999999999</v>
      </c>
      <c r="D39" s="1102">
        <f t="shared" ref="D39:N39" ca="1" si="3">SUMIF($B$31:$B$38,"&lt;&gt;0",D31:D38)</f>
        <v>1113.9449999999999</v>
      </c>
      <c r="E39" s="1102">
        <f t="shared" ca="1" si="3"/>
        <v>1113.9449999999999</v>
      </c>
      <c r="F39" s="1102">
        <f t="shared" ca="1" si="3"/>
        <v>1113.9449999999999</v>
      </c>
      <c r="G39" s="1102">
        <f t="shared" ca="1" si="3"/>
        <v>1113.9449999999999</v>
      </c>
      <c r="H39" s="1102">
        <f t="shared" ca="1" si="3"/>
        <v>1113.9449999999999</v>
      </c>
      <c r="I39" s="1102">
        <f t="shared" ca="1" si="3"/>
        <v>1113.9449999999999</v>
      </c>
      <c r="J39" s="1102">
        <f t="shared" ca="1" si="3"/>
        <v>1113.9449999999999</v>
      </c>
      <c r="K39" s="1102">
        <f t="shared" ca="1" si="3"/>
        <v>1113.9449999999999</v>
      </c>
      <c r="L39" s="1102">
        <f t="shared" ca="1" si="3"/>
        <v>1113.9449999999999</v>
      </c>
      <c r="M39" s="1102">
        <f t="shared" ca="1" si="3"/>
        <v>1113.9449999999999</v>
      </c>
      <c r="N39" s="1103">
        <f t="shared" ca="1" si="3"/>
        <v>1113.9449999999999</v>
      </c>
      <c r="O39" s="1123">
        <f ca="1">SUM(C39:N39)</f>
        <v>13367.339999999998</v>
      </c>
    </row>
    <row r="40" spans="1:15" ht="18" customHeight="1">
      <c r="A40" s="1127" t="str">
        <v>Exempted VAT Sales</v>
      </c>
      <c r="B40" s="205"/>
      <c r="C40" s="1104">
        <f>SUMIF($B$31:$B$38,"=0",C31:C38)</f>
        <v>0</v>
      </c>
      <c r="D40" s="1105">
        <f t="shared" ref="D40:N40" si="4">SUMIF($B$31:$B$38,"=0",D31:D38)</f>
        <v>0</v>
      </c>
      <c r="E40" s="1105">
        <f t="shared" si="4"/>
        <v>0</v>
      </c>
      <c r="F40" s="1105">
        <f t="shared" si="4"/>
        <v>0</v>
      </c>
      <c r="G40" s="1105">
        <f t="shared" si="4"/>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tr">
        <v>Total Sales</v>
      </c>
      <c r="B41" s="205"/>
      <c r="C41" s="1104">
        <f t="array" aca="1" ref="C41:N41" ca="1">C40:N40+C39:N39</f>
        <v>1113.9449999999999</v>
      </c>
      <c r="D41" s="1105">
        <f ca="1"/>
        <v>1113.9449999999999</v>
      </c>
      <c r="E41" s="1105">
        <f ca="1"/>
        <v>1113.9449999999999</v>
      </c>
      <c r="F41" s="1105">
        <f ca="1"/>
        <v>1113.9449999999999</v>
      </c>
      <c r="G41" s="1105">
        <f ca="1"/>
        <v>1113.9449999999999</v>
      </c>
      <c r="H41" s="1105">
        <f ca="1"/>
        <v>1113.9449999999999</v>
      </c>
      <c r="I41" s="1105">
        <f ca="1"/>
        <v>1113.9449999999999</v>
      </c>
      <c r="J41" s="1105">
        <f ca="1"/>
        <v>1113.9449999999999</v>
      </c>
      <c r="K41" s="1105">
        <f ca="1"/>
        <v>1113.9449999999999</v>
      </c>
      <c r="L41" s="1105">
        <f ca="1"/>
        <v>1113.9449999999999</v>
      </c>
      <c r="M41" s="1105">
        <f ca="1"/>
        <v>1113.9449999999999</v>
      </c>
      <c r="N41" s="1106">
        <f ca="1"/>
        <v>1113.9449999999999</v>
      </c>
      <c r="O41" s="1124">
        <f t="shared" ca="1" si="2"/>
        <v>13367.339999999998</v>
      </c>
    </row>
    <row r="42" spans="1:15" ht="18" customHeight="1" thickBot="1">
      <c r="A42" s="1128" t="str">
        <v>Pro rata coefficients</v>
      </c>
      <c r="B42" s="206"/>
      <c r="C42" s="2515">
        <f ca="1">+'VAT 1'!O42</f>
        <v>1</v>
      </c>
      <c r="D42" s="3195">
        <f ca="1">IF(IVAmensual=1,    IF(OR(IVAcc,D41&lt;0.1),1,D39/D41), 0)*0</f>
        <v>0</v>
      </c>
      <c r="E42" s="3195">
        <f ca="1">IF(IVAmensual=1,    IF(OR(IVAcc,E41&lt;0.1),1,E39/E41),     IF(OR(IVAcc,SUM(C41:E41)&lt;0.4),1,SUM(C39:E39)/SUM(C41:E41)))*0</f>
        <v>0</v>
      </c>
      <c r="F42" s="3195">
        <f ca="1">IF(IVAmensual=1,    IF(OR(IVAcc,F41&lt;0.1),1,F39/F41), 0)*0</f>
        <v>0</v>
      </c>
      <c r="G42" s="3195">
        <f ca="1">IF(IVAmensual=1,    IF(OR(IVAcc,G41&lt;0.1),1,G39/G41), 0)*0</f>
        <v>0</v>
      </c>
      <c r="H42" s="3195">
        <f ca="1">IF(IVAmensual=1,    IF(OR(IVAcc,H41&lt;0.1),1,H39/H41),     IF(OR(IVAcc,SUM(F41:H41)&lt;0.4),1,SUM(F39:H39)/SUM(F41:H41)))*0</f>
        <v>0</v>
      </c>
      <c r="I42" s="3195">
        <f ca="1">IF(IVAmensual=1,    IF(OR(IVAcc,I41&lt;0.1),1,I39/I41), 0)*0</f>
        <v>0</v>
      </c>
      <c r="J42" s="3195">
        <f ca="1">IF(IVAmensual=1,    IF(OR(IVAcc,J41&lt;0.1),1,J39/J41), 0)*0</f>
        <v>0</v>
      </c>
      <c r="K42" s="3195">
        <f ca="1">IF(IVAmensual=1,    IF(OR(IVAcc,K41&lt;0.1),1,K39/K41),     IF(OR(IVAcc,SUM(I41:K41)&lt;0.4),1,SUM(I39:K39)/SUM(I41:K41)))*0</f>
        <v>0</v>
      </c>
      <c r="L42" s="3195">
        <f ca="1">IF(IVAmensual=1,    IF(OR(IVAcc,L41&lt;0.1),1,L39/L41), 0)*0</f>
        <v>0</v>
      </c>
      <c r="M42" s="3195">
        <f ca="1">IF(IVAmensual=1,    IF(OR(IVAcc,M41&lt;0.1),1,M39/M41), 0)*0</f>
        <v>0</v>
      </c>
      <c r="N42" s="3195">
        <f ca="1">IF(IVAmensual=1,    IF(OR(IVAcc,N41&lt;0.1),1,N39/N41),     IF(OR(IVAcc,SUM(L41:N41)&lt;0.4),1,SUM(L39:N39)/SUM(L41:N41)))*0</f>
        <v>0</v>
      </c>
      <c r="O42" s="3196">
        <f ca="1" xml:space="preserve"> IF(OR(IVAcc, O41&lt;0.4), 1, O39/O41   )</f>
        <v>1</v>
      </c>
    </row>
  </sheetData>
  <sheetProtection sheet="1" objects="1" scenarios="1"/>
  <phoneticPr fontId="7" type="noConversion"/>
  <conditionalFormatting sqref="C31:N38">
    <cfRule type="expression" dxfId="10"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47">
    <tabColor indexed="61"/>
    <pageSetUpPr fitToPage="1"/>
  </sheetPr>
  <dimension ref="A1:P42"/>
  <sheetViews>
    <sheetView topLeftCell="A13" zoomScale="85" zoomScaleNormal="85" workbookViewId="0">
      <selection activeCell="E22" sqref="E22"/>
    </sheetView>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'VAT 0'!A1</f>
        <v>VAT Periodical Settlements Calculations</v>
      </c>
      <c r="B1" s="250"/>
      <c r="F1" s="2435" t="str">
        <f>Parameters!E$77</f>
        <v>Year 3:   2029</v>
      </c>
      <c r="G1" s="250"/>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 t="array" ref="A4:A8">'VAT 0'!A4:A8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tr">
        <f>'VAT 0'!$O$4</f>
        <v>Totals</v>
      </c>
    </row>
    <row r="5" spans="1:16">
      <c r="A5" s="2426" t="str">
        <v>Input VAT due Purchases &amp; D C</v>
      </c>
      <c r="B5" s="1081"/>
      <c r="C5" s="1082">
        <f t="array" aca="1" ref="C5:N5" ca="1">'DC Distr 3'!B67:M67</f>
        <v>25.310835501</v>
      </c>
      <c r="D5" s="1083">
        <f ca="1"/>
        <v>25.310835501</v>
      </c>
      <c r="E5" s="1083">
        <f ca="1"/>
        <v>25.310835501</v>
      </c>
      <c r="F5" s="1083">
        <f ca="1"/>
        <v>25.310835501</v>
      </c>
      <c r="G5" s="1083">
        <f ca="1"/>
        <v>25.310835501</v>
      </c>
      <c r="H5" s="1083">
        <f ca="1"/>
        <v>25.310835501</v>
      </c>
      <c r="I5" s="1083">
        <f ca="1"/>
        <v>25.310835501</v>
      </c>
      <c r="J5" s="1083">
        <f ca="1"/>
        <v>25.310835501</v>
      </c>
      <c r="K5" s="1083">
        <f ca="1"/>
        <v>25.310835501</v>
      </c>
      <c r="L5" s="1083">
        <f ca="1"/>
        <v>25.310835501</v>
      </c>
      <c r="M5" s="1083">
        <f ca="1"/>
        <v>25.310835501</v>
      </c>
      <c r="N5" s="1084">
        <f ca="1"/>
        <v>25.310835501</v>
      </c>
      <c r="O5" s="1119">
        <f ca="1">SUM(C5:N5)</f>
        <v>303.73002601199994</v>
      </c>
    </row>
    <row r="6" spans="1:16">
      <c r="A6" s="2427" t="str">
        <v>Input VAT due to Fixed Expenses</v>
      </c>
      <c r="B6" s="1085"/>
      <c r="C6" s="1083">
        <f t="array" aca="1" ref="C6:N6" ca="1">'Fixed Expenses 3'!B60:M60</f>
        <v>8.0184492423000009</v>
      </c>
      <c r="D6" s="1083">
        <f ca="1"/>
        <v>8.0184492423000009</v>
      </c>
      <c r="E6" s="1083">
        <f ca="1"/>
        <v>8.0184492423000009</v>
      </c>
      <c r="F6" s="1083">
        <f ca="1"/>
        <v>8.0184492423000009</v>
      </c>
      <c r="G6" s="1083">
        <f ca="1"/>
        <v>8.0184492423000009</v>
      </c>
      <c r="H6" s="1083">
        <f ca="1"/>
        <v>8.0184492423000009</v>
      </c>
      <c r="I6" s="1083">
        <f ca="1"/>
        <v>8.0184492423000009</v>
      </c>
      <c r="J6" s="1083">
        <f ca="1"/>
        <v>8.0184492423000009</v>
      </c>
      <c r="K6" s="1083">
        <f ca="1"/>
        <v>8.0184492423000009</v>
      </c>
      <c r="L6" s="1083">
        <f ca="1"/>
        <v>8.0184492423000009</v>
      </c>
      <c r="M6" s="1083">
        <f ca="1"/>
        <v>8.0184492423000009</v>
      </c>
      <c r="N6" s="1084">
        <f ca="1"/>
        <v>8.0184492423000009</v>
      </c>
      <c r="O6" s="1119">
        <f ca="1">SUM(C6:N6)</f>
        <v>96.221390907599982</v>
      </c>
    </row>
    <row r="7" spans="1:16">
      <c r="A7" s="2427" t="str">
        <v>Input VAT due to Investments</v>
      </c>
      <c r="B7" s="1086"/>
      <c r="C7" s="1083">
        <f t="array" ref="C7:N7">'Current Asset Invest.'!$E$44/12+'Current Asset Invest.'!$E$43/12</f>
        <v>0</v>
      </c>
      <c r="D7" s="1083">
        <v>0</v>
      </c>
      <c r="E7" s="1083">
        <v>0</v>
      </c>
      <c r="F7" s="1083">
        <v>0</v>
      </c>
      <c r="G7" s="1083">
        <v>0</v>
      </c>
      <c r="H7" s="1083">
        <v>0</v>
      </c>
      <c r="I7" s="1083">
        <v>0</v>
      </c>
      <c r="J7" s="1083">
        <v>0</v>
      </c>
      <c r="K7" s="1083">
        <v>0</v>
      </c>
      <c r="L7" s="1083">
        <v>0</v>
      </c>
      <c r="M7" s="1083">
        <v>0</v>
      </c>
      <c r="N7" s="1084">
        <v>0</v>
      </c>
      <c r="O7" s="1119">
        <f>SUM(C7:N7)</f>
        <v>0</v>
      </c>
    </row>
    <row r="8" spans="1:16" ht="15.75" thickBot="1">
      <c r="A8" s="2428" t="str">
        <v>Input VAT from Leasing/Renting</v>
      </c>
      <c r="B8" s="1087"/>
      <c r="C8" s="1088">
        <f t="array" ref="C8:N8">Leasing!B48:M48+Renting!B45:M45</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5" t="str">
        <f>'VAT 0'!B9</f>
        <v>Total Input VAT</v>
      </c>
      <c r="C9" s="1136">
        <f t="shared" ref="C9:O9" ca="1" si="0">SUM(C5:C8)</f>
        <v>33.329284743300001</v>
      </c>
      <c r="D9" s="1137">
        <f t="shared" ca="1" si="0"/>
        <v>33.329284743300001</v>
      </c>
      <c r="E9" s="1137">
        <f t="shared" ca="1" si="0"/>
        <v>33.329284743300001</v>
      </c>
      <c r="F9" s="1137">
        <f t="shared" ca="1" si="0"/>
        <v>33.329284743300001</v>
      </c>
      <c r="G9" s="1137">
        <f t="shared" ca="1" si="0"/>
        <v>33.329284743300001</v>
      </c>
      <c r="H9" s="1137">
        <f t="shared" ca="1" si="0"/>
        <v>33.329284743300001</v>
      </c>
      <c r="I9" s="1137">
        <f t="shared" ca="1" si="0"/>
        <v>33.329284743300001</v>
      </c>
      <c r="J9" s="1137">
        <f t="shared" ca="1" si="0"/>
        <v>33.329284743300001</v>
      </c>
      <c r="K9" s="1137">
        <f t="shared" ca="1" si="0"/>
        <v>33.329284743300001</v>
      </c>
      <c r="L9" s="1137">
        <f t="shared" ca="1" si="0"/>
        <v>33.329284743300001</v>
      </c>
      <c r="M9" s="1137">
        <f t="shared" ca="1" si="0"/>
        <v>33.329284743300001</v>
      </c>
      <c r="N9" s="1138">
        <f t="shared" ca="1" si="0"/>
        <v>33.329284743300001</v>
      </c>
      <c r="O9" s="1139">
        <f t="shared" ca="1" si="0"/>
        <v>399.95141691959992</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 t="array" ref="A11:A13">'VAT 0'!A11:A13</f>
        <v>Monthly Prorated coefficients</v>
      </c>
      <c r="B11" s="1115"/>
      <c r="C11" s="2516">
        <f t="array" aca="1" ref="C11:O11" ca="1">C42:O42</f>
        <v>1</v>
      </c>
      <c r="D11" s="2516">
        <f ca="1"/>
        <v>0</v>
      </c>
      <c r="E11" s="2517">
        <f ca="1"/>
        <v>0</v>
      </c>
      <c r="F11" s="2516">
        <f ca="1"/>
        <v>0</v>
      </c>
      <c r="G11" s="2516">
        <f ca="1"/>
        <v>0</v>
      </c>
      <c r="H11" s="2517">
        <f ca="1"/>
        <v>0</v>
      </c>
      <c r="I11" s="2516">
        <f ca="1"/>
        <v>0</v>
      </c>
      <c r="J11" s="2516">
        <f ca="1"/>
        <v>0</v>
      </c>
      <c r="K11" s="2517">
        <f ca="1"/>
        <v>0</v>
      </c>
      <c r="L11" s="2516">
        <f ca="1"/>
        <v>0</v>
      </c>
      <c r="M11" s="2516">
        <f ca="1"/>
        <v>0</v>
      </c>
      <c r="N11" s="2517">
        <f ca="1"/>
        <v>0</v>
      </c>
      <c r="O11" s="3081">
        <f ca="1"/>
        <v>1</v>
      </c>
    </row>
    <row r="12" spans="1:16">
      <c r="A12" s="1116" t="str">
        <v>Deductible Input VAT amount</v>
      </c>
      <c r="B12" s="1093"/>
      <c r="C12" s="3200">
        <f t="array" aca="1" ref="C12:N12" ca="1">$C$11*C9:N9</f>
        <v>33.329284743300001</v>
      </c>
      <c r="D12" s="3200">
        <f ca="1"/>
        <v>33.329284743300001</v>
      </c>
      <c r="E12" s="3200">
        <f ca="1"/>
        <v>33.329284743300001</v>
      </c>
      <c r="F12" s="3200">
        <f ca="1"/>
        <v>33.329284743300001</v>
      </c>
      <c r="G12" s="3200">
        <f ca="1"/>
        <v>33.329284743300001</v>
      </c>
      <c r="H12" s="3200">
        <f ca="1"/>
        <v>33.329284743300001</v>
      </c>
      <c r="I12" s="3200">
        <f ca="1"/>
        <v>33.329284743300001</v>
      </c>
      <c r="J12" s="3200">
        <f ca="1"/>
        <v>33.329284743300001</v>
      </c>
      <c r="K12" s="3200">
        <f ca="1"/>
        <v>33.329284743300001</v>
      </c>
      <c r="L12" s="3200">
        <f ca="1"/>
        <v>33.329284743300001</v>
      </c>
      <c r="M12" s="3200">
        <f ca="1"/>
        <v>33.329284743300001</v>
      </c>
      <c r="N12" s="3200">
        <f ca="1"/>
        <v>33.329284743300001</v>
      </c>
      <c r="O12" s="1133">
        <f ca="1">SUM(C12:N12)</f>
        <v>399.95141691959992</v>
      </c>
    </row>
    <row r="13" spans="1:16" ht="16.5" customHeight="1" thickBot="1">
      <c r="A13" s="1117" t="str">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'VAT 0'!B15</f>
        <v>VAT Taxation current Account</v>
      </c>
      <c r="C15" s="1129" t="str">
        <f>'Base Data'!$B$32</f>
        <v>No</v>
      </c>
      <c r="D15" s="2370">
        <f>IVAcc</f>
        <v>0</v>
      </c>
      <c r="F15" s="1131"/>
      <c r="G15" s="674"/>
      <c r="L15" s="64"/>
      <c r="M15" s="359"/>
      <c r="N15" s="3198" t="s">
        <v>1208</v>
      </c>
      <c r="O15" s="3199">
        <f ca="1">-O9*($O$11-$C$11)</f>
        <v>0</v>
      </c>
    </row>
    <row r="17" spans="1:15" s="97" customFormat="1" ht="23.25" thickBot="1">
      <c r="A17" s="66" t="str">
        <f>'VAT 0'!A17</f>
        <v>Periodical VAT Settlements</v>
      </c>
      <c r="B17" s="250"/>
      <c r="C17" s="66"/>
      <c r="D17" s="66"/>
      <c r="F17" s="250"/>
    </row>
    <row r="18" spans="1:15" ht="15.75" thickBot="1">
      <c r="A18" s="2433"/>
      <c r="B18" s="2434"/>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'VAT 0'!$O$4</f>
        <v>Totals</v>
      </c>
    </row>
    <row r="19" spans="1:15">
      <c r="A19" s="2388" t="str">
        <f t="array" ref="A19:A22">'VAT 0'!A19:A22</f>
        <v>Total Output VAT</v>
      </c>
      <c r="B19" s="2430"/>
      <c r="C19" s="1082">
        <f t="array" aca="1" ref="C19" ca="1">SUM(Parameters!$E$24:$E$31*C31:C38)</f>
        <v>253.10835501</v>
      </c>
      <c r="D19" s="1082">
        <f t="array" aca="1" ref="D19" ca="1">SUM(Parameters!$E$24:$E$31*D31:D38)</f>
        <v>253.10835501</v>
      </c>
      <c r="E19" s="1082">
        <f t="array" aca="1" ref="E19" ca="1">SUM(Parameters!$E$24:$E$31*E31:E38)</f>
        <v>253.10835501</v>
      </c>
      <c r="F19" s="1082">
        <f t="array" aca="1" ref="F19" ca="1">SUM(Parameters!$E$24:$E$31*F31:F38)</f>
        <v>253.10835501</v>
      </c>
      <c r="G19" s="1082">
        <f t="array" aca="1" ref="G19" ca="1">SUM(Parameters!$E$24:$E$31*G31:G38)</f>
        <v>253.10835501</v>
      </c>
      <c r="H19" s="1082">
        <f t="array" aca="1" ref="H19" ca="1">SUM(Parameters!$E$24:$E$31*H31:H38)</f>
        <v>253.10835501</v>
      </c>
      <c r="I19" s="1082">
        <f t="array" aca="1" ref="I19" ca="1">SUM(Parameters!$E$24:$E$31*I31:I38)</f>
        <v>253.10835501</v>
      </c>
      <c r="J19" s="1082">
        <f t="array" aca="1" ref="J19" ca="1">SUM(Parameters!$E$24:$E$31*J31:J38)</f>
        <v>253.10835501</v>
      </c>
      <c r="K19" s="1082">
        <f t="array" aca="1" ref="K19" ca="1">SUM(Parameters!$E$24:$E$31*K31:K38)</f>
        <v>253.10835501</v>
      </c>
      <c r="L19" s="1082">
        <f t="array" aca="1" ref="L19" ca="1">SUM(Parameters!$E$24:$E$31*L31:L38)</f>
        <v>253.10835501</v>
      </c>
      <c r="M19" s="1082">
        <f t="array" aca="1" ref="M19" ca="1">SUM(Parameters!$E$24:$E$31*M31:M38)</f>
        <v>253.10835501</v>
      </c>
      <c r="N19" s="1082">
        <f t="array" aca="1" ref="N19" ca="1">SUM(Parameters!$E$24:$E$31*N31:N38)</f>
        <v>253.10835501</v>
      </c>
      <c r="O19" s="1112">
        <f ca="1">SUM(C19:N19)</f>
        <v>3037.3002601200005</v>
      </c>
    </row>
    <row r="20" spans="1:15">
      <c r="A20" s="2429" t="str">
        <v>Total Deductible Input VAT</v>
      </c>
      <c r="B20" s="2431"/>
      <c r="C20" s="1083">
        <f t="array" aca="1" ref="C20:N20" ca="1">C12:N12</f>
        <v>33.329284743300001</v>
      </c>
      <c r="D20" s="1083">
        <f ca="1"/>
        <v>33.329284743300001</v>
      </c>
      <c r="E20" s="1083">
        <f ca="1"/>
        <v>33.329284743300001</v>
      </c>
      <c r="F20" s="1083">
        <f ca="1"/>
        <v>33.329284743300001</v>
      </c>
      <c r="G20" s="1083">
        <f ca="1"/>
        <v>33.329284743300001</v>
      </c>
      <c r="H20" s="1083">
        <f ca="1"/>
        <v>33.329284743300001</v>
      </c>
      <c r="I20" s="1083">
        <f ca="1"/>
        <v>33.329284743300001</v>
      </c>
      <c r="J20" s="1083">
        <f ca="1"/>
        <v>33.329284743300001</v>
      </c>
      <c r="K20" s="1083">
        <f ca="1"/>
        <v>33.329284743300001</v>
      </c>
      <c r="L20" s="1083">
        <f ca="1"/>
        <v>33.329284743300001</v>
      </c>
      <c r="M20" s="1083">
        <f ca="1"/>
        <v>33.329284743300001</v>
      </c>
      <c r="N20" s="1083">
        <f ca="1"/>
        <v>33.329284743300001</v>
      </c>
      <c r="O20" s="1107">
        <f ca="1">SUM(C20:N20)</f>
        <v>399.95141691959992</v>
      </c>
    </row>
    <row r="21" spans="1:15" ht="15.75" thickBot="1">
      <c r="A21" s="2389" t="str">
        <v>VAT differential</v>
      </c>
      <c r="B21" s="2432"/>
      <c r="C21" s="1132">
        <f t="array" aca="1" ref="C21:N21" ca="1">C19:N19-C20:N20</f>
        <v>219.77907026669999</v>
      </c>
      <c r="D21" s="1132">
        <f ca="1"/>
        <v>219.77907026669999</v>
      </c>
      <c r="E21" s="1132">
        <f ca="1"/>
        <v>219.77907026669999</v>
      </c>
      <c r="F21" s="1132">
        <f ca="1"/>
        <v>219.77907026669999</v>
      </c>
      <c r="G21" s="1132">
        <f ca="1"/>
        <v>219.77907026669999</v>
      </c>
      <c r="H21" s="1132">
        <f ca="1"/>
        <v>219.77907026669999</v>
      </c>
      <c r="I21" s="1132">
        <f ca="1"/>
        <v>219.77907026669999</v>
      </c>
      <c r="J21" s="1132">
        <f ca="1"/>
        <v>219.77907026669999</v>
      </c>
      <c r="K21" s="1132">
        <f ca="1"/>
        <v>219.77907026669999</v>
      </c>
      <c r="L21" s="1132">
        <f ca="1"/>
        <v>219.77907026669999</v>
      </c>
      <c r="M21" s="1132">
        <f ca="1"/>
        <v>219.77907026669999</v>
      </c>
      <c r="N21" s="1132">
        <f ca="1"/>
        <v>219.77907026669999</v>
      </c>
      <c r="O21" s="1108">
        <f ca="1">SUM(C21:N21)</f>
        <v>2637.3488432003996</v>
      </c>
    </row>
    <row r="22" spans="1:15" s="48" customFormat="1" ht="19.5" customHeight="1">
      <c r="A22" s="2543" t="str">
        <v>VAT quotes</v>
      </c>
      <c r="B22" s="2557"/>
      <c r="C22" s="2545">
        <f ca="1">'VAT 2'!O22</f>
        <v>203.10890669999998</v>
      </c>
      <c r="D22" s="2560">
        <f ca="1">+IF(IVAmensual=1,  IF(AND(IVAdev=1,C22&lt;0),0,MIN(C22,0))  +C21,0)</f>
        <v>219.77907026669999</v>
      </c>
      <c r="E22" s="2546">
        <f ca="1">+IF(IVAmensual=1,    MIN(D22,0)+D21,0)</f>
        <v>219.77907026669999</v>
      </c>
      <c r="F22" s="2560">
        <f ca="1">IF(IVAmensual=0,    IF(AND(IVAdev=1,C22&lt;0),0,MIN(C22,0))+SUM(C21:E21),0)
+IF(IVAmensual=1,    MIN(E22,0)+E21,0)</f>
        <v>219.77907026669999</v>
      </c>
      <c r="G22" s="2546">
        <f ca="1">+IF(IVAmensual=1,    MIN(F22,0)+F21,0)</f>
        <v>219.77907026669999</v>
      </c>
      <c r="H22" s="2546">
        <f ca="1">+IF(IVAmensual=1,    MIN(G22,0)+G21,0)</f>
        <v>219.77907026669999</v>
      </c>
      <c r="I22" s="2546">
        <f ca="1">IF(IVAmensual=0,    MIN(F22,0)+SUM(F21:H21),0)
+IF(IVAmensual=1,    MIN(H22,0)+H21,0)</f>
        <v>219.77907026669999</v>
      </c>
      <c r="J22" s="2546">
        <f ca="1">+IF(IVAmensual=1,    MIN(I22,0)+I21,0)</f>
        <v>219.77907026669999</v>
      </c>
      <c r="K22" s="2546">
        <f ca="1">+IF(IVAmensual=1,    MIN(J22,0)+J21,0)</f>
        <v>219.77907026669999</v>
      </c>
      <c r="L22" s="2546">
        <f ca="1">IF(IVAmensual=0,    MIN(I22,0)+SUM(I21:K21),0)
+IF(IVAmensual=1,    MIN(K22,0)+K21,0)</f>
        <v>219.77907026669999</v>
      </c>
      <c r="M22" s="2546">
        <f ca="1">+IF(IVAmensual=1,    MIN(L22,0)+L21,0)</f>
        <v>219.77907026669999</v>
      </c>
      <c r="N22" s="2546">
        <f ca="1">+IF(IVAmensual=1,    MIN(M22,0)+M21,0)</f>
        <v>219.77907026669999</v>
      </c>
      <c r="O22" s="3197">
        <f ca="1">IF(IVAmensual=0,    MIN(L22,0)+SUM(L21:N21)+O15,0)
+IF(IVAmensual=1,    MIN(N22,0)+N21+O15,0)</f>
        <v>219.77907026669999</v>
      </c>
    </row>
    <row r="23" spans="1:15" ht="10.5" customHeight="1">
      <c r="A23" s="372"/>
      <c r="B23" s="2431"/>
      <c r="C23" s="882"/>
      <c r="D23" s="882"/>
      <c r="E23" s="882"/>
      <c r="F23" s="882"/>
      <c r="G23" s="882"/>
      <c r="H23" s="882"/>
      <c r="I23" s="882"/>
      <c r="J23" s="882"/>
      <c r="K23" s="882"/>
      <c r="L23" s="882"/>
      <c r="M23" s="882"/>
      <c r="N23" s="882"/>
      <c r="O23" s="1113"/>
    </row>
    <row r="24" spans="1:15" s="48" customFormat="1" ht="19.5" customHeight="1" thickBot="1">
      <c r="A24" s="2547" t="str">
        <f>'VAT 0'!A24</f>
        <v>VAT settlements quotas</v>
      </c>
      <c r="B24" s="2548"/>
      <c r="C24" s="2549">
        <f t="shared" ref="C24:O24" ca="1" si="1">IF(AND(IVAcc=0,C22&gt;0),C22,0)</f>
        <v>203.10890669999998</v>
      </c>
      <c r="D24" s="2550">
        <f t="shared" ca="1" si="1"/>
        <v>219.77907026669999</v>
      </c>
      <c r="E24" s="2550">
        <f t="shared" ca="1" si="1"/>
        <v>219.77907026669999</v>
      </c>
      <c r="F24" s="2550">
        <f t="shared" ca="1" si="1"/>
        <v>219.77907026669999</v>
      </c>
      <c r="G24" s="2550">
        <f t="shared" ca="1" si="1"/>
        <v>219.77907026669999</v>
      </c>
      <c r="H24" s="2550">
        <f t="shared" ca="1" si="1"/>
        <v>219.77907026669999</v>
      </c>
      <c r="I24" s="2550">
        <f t="shared" ca="1" si="1"/>
        <v>219.77907026669999</v>
      </c>
      <c r="J24" s="2550">
        <f t="shared" ca="1" si="1"/>
        <v>219.77907026669999</v>
      </c>
      <c r="K24" s="2550">
        <f t="shared" ca="1" si="1"/>
        <v>219.77907026669999</v>
      </c>
      <c r="L24" s="2550">
        <f t="shared" ca="1" si="1"/>
        <v>219.77907026669999</v>
      </c>
      <c r="M24" s="2550">
        <f t="shared" ca="1" si="1"/>
        <v>219.77907026669999</v>
      </c>
      <c r="N24" s="2550">
        <f t="shared" ca="1" si="1"/>
        <v>219.77907026669999</v>
      </c>
      <c r="O24" s="2551">
        <f t="shared" ca="1" si="1"/>
        <v>219.77907026669999</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2" t="str">
        <f>'VAT 0'!A26</f>
        <v>VAT Refundings</v>
      </c>
      <c r="B26" s="2553"/>
      <c r="C26" s="2554">
        <f>'VAT 2'!O26</f>
        <v>0</v>
      </c>
      <c r="D26" s="2555">
        <f>-IF(AND(IVAcc,IVAmensual=1),C21,0)</f>
        <v>0</v>
      </c>
      <c r="E26" s="2555">
        <f>-IF(AND(IVAcc,IVAmensual=1),D21,0)</f>
        <v>0</v>
      </c>
      <c r="F26" s="2555">
        <f>-IF(AND(IVAcc,IVAmensual=0),SUM(C21:E21),0)
-IF(AND(IVAcc,IVAmensual=1),E21,0)</f>
        <v>0</v>
      </c>
      <c r="G26" s="2555">
        <f>-IF(AND(IVAcc,IVAmensual=1),F21,0)</f>
        <v>0</v>
      </c>
      <c r="H26" s="2559">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58">
        <f>-IF(AND(IVAcc,IVAmensual=0),SUM(L21:N21),0)
-IF(AND(IVAcc,IVAmensual=1),N21,0)</f>
        <v>0</v>
      </c>
    </row>
    <row r="29" spans="1:15" s="97" customFormat="1" ht="23.25" thickBot="1">
      <c r="A29" s="66" t="str">
        <f>'VAT 0'!A29</f>
        <v>Pro-rata Rule rates</v>
      </c>
      <c r="D29" s="250"/>
      <c r="E29" s="250"/>
    </row>
    <row r="30" spans="1:15" ht="15.75" thickBot="1">
      <c r="A30" s="1122" t="str">
        <f>'VAT 0'!A30</f>
        <v>Charged VAT</v>
      </c>
      <c r="B30" s="102" t="str">
        <f>'VAT 0'!B30</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'VAT 0'!$O$4</f>
        <v>Totals</v>
      </c>
    </row>
    <row r="31" spans="1:15">
      <c r="A31" s="1704" t="str">
        <f t="array" ref="A31:A38">productos</f>
        <v>product 1</v>
      </c>
      <c r="B31" s="1094">
        <f t="array" ref="B31:B38">Parameters!E24:E31</f>
        <v>0.21</v>
      </c>
      <c r="C31" s="1095">
        <f t="array" aca="1" ref="C31:N38" ca="1">'Sales Forecast 3'!B17:M24</f>
        <v>1205.277881</v>
      </c>
      <c r="D31" s="1095">
        <f ca="1"/>
        <v>1205.277881</v>
      </c>
      <c r="E31" s="1095">
        <f ca="1"/>
        <v>1205.277881</v>
      </c>
      <c r="F31" s="1095">
        <f ca="1"/>
        <v>1205.277881</v>
      </c>
      <c r="G31" s="1095">
        <f ca="1"/>
        <v>1205.277881</v>
      </c>
      <c r="H31" s="1095">
        <f ca="1"/>
        <v>1205.277881</v>
      </c>
      <c r="I31" s="1095">
        <f ca="1"/>
        <v>1205.277881</v>
      </c>
      <c r="J31" s="1095">
        <f ca="1"/>
        <v>1205.277881</v>
      </c>
      <c r="K31" s="1095">
        <f ca="1"/>
        <v>1205.277881</v>
      </c>
      <c r="L31" s="1095">
        <f ca="1"/>
        <v>1205.277881</v>
      </c>
      <c r="M31" s="1095">
        <f ca="1"/>
        <v>1205.277881</v>
      </c>
      <c r="N31" s="1095">
        <f ca="1"/>
        <v>1205.277881</v>
      </c>
      <c r="O31" s="1123">
        <f t="shared" ref="O31:O41" ca="1" si="2">SUM(C31:N31)</f>
        <v>14463.334572</v>
      </c>
    </row>
    <row r="32" spans="1:15">
      <c r="A32" s="1489"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89"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89"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89"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89"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89"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5"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 t="array" ref="A39:A42">'VAT 0'!A39:A42</f>
        <v>Sales subjetc to VAT</v>
      </c>
      <c r="B39" s="200"/>
      <c r="C39" s="1101">
        <f t="shared" ref="C39:N39" ca="1" si="3">SUMIF($B$31:$B$38,"&lt;&gt;0",C31:C38)</f>
        <v>1205.277881</v>
      </c>
      <c r="D39" s="1102">
        <f t="shared" ca="1" si="3"/>
        <v>1205.277881</v>
      </c>
      <c r="E39" s="1102">
        <f t="shared" ca="1" si="3"/>
        <v>1205.277881</v>
      </c>
      <c r="F39" s="1102">
        <f t="shared" ca="1" si="3"/>
        <v>1205.277881</v>
      </c>
      <c r="G39" s="1102">
        <f t="shared" ca="1" si="3"/>
        <v>1205.277881</v>
      </c>
      <c r="H39" s="1102">
        <f t="shared" ca="1" si="3"/>
        <v>1205.277881</v>
      </c>
      <c r="I39" s="1102">
        <f t="shared" ca="1" si="3"/>
        <v>1205.277881</v>
      </c>
      <c r="J39" s="1102">
        <f t="shared" ca="1" si="3"/>
        <v>1205.277881</v>
      </c>
      <c r="K39" s="1102">
        <f t="shared" ca="1" si="3"/>
        <v>1205.277881</v>
      </c>
      <c r="L39" s="1102">
        <f t="shared" ca="1" si="3"/>
        <v>1205.277881</v>
      </c>
      <c r="M39" s="1102">
        <f t="shared" ca="1" si="3"/>
        <v>1205.277881</v>
      </c>
      <c r="N39" s="1103">
        <f t="shared" ca="1" si="3"/>
        <v>1205.277881</v>
      </c>
      <c r="O39" s="1123">
        <f t="shared" ca="1" si="2"/>
        <v>14463.334572</v>
      </c>
    </row>
    <row r="40" spans="1:15" ht="18" customHeight="1">
      <c r="A40" s="1127" t="str">
        <v>Exempted VAT Sales</v>
      </c>
      <c r="B40" s="205"/>
      <c r="C40" s="1104">
        <f t="shared" ref="C40:N40" si="4">SUMIF($B$31:$B$38,"=0",C31:C38)</f>
        <v>0</v>
      </c>
      <c r="D40" s="1105">
        <f t="shared" si="4"/>
        <v>0</v>
      </c>
      <c r="E40" s="1105">
        <f t="shared" si="4"/>
        <v>0</v>
      </c>
      <c r="F40" s="1105">
        <f t="shared" si="4"/>
        <v>0</v>
      </c>
      <c r="G40" s="1105">
        <f t="shared" si="4"/>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tr">
        <v>Total Sales</v>
      </c>
      <c r="B41" s="205"/>
      <c r="C41" s="1104">
        <f t="array" aca="1" ref="C41:N41" ca="1">C40:N40+C39:N39</f>
        <v>1205.277881</v>
      </c>
      <c r="D41" s="1105">
        <f ca="1"/>
        <v>1205.277881</v>
      </c>
      <c r="E41" s="1105">
        <f ca="1"/>
        <v>1205.277881</v>
      </c>
      <c r="F41" s="1105">
        <f ca="1"/>
        <v>1205.277881</v>
      </c>
      <c r="G41" s="1105">
        <f ca="1"/>
        <v>1205.277881</v>
      </c>
      <c r="H41" s="1105">
        <f ca="1"/>
        <v>1205.277881</v>
      </c>
      <c r="I41" s="1105">
        <f ca="1"/>
        <v>1205.277881</v>
      </c>
      <c r="J41" s="1105">
        <f ca="1"/>
        <v>1205.277881</v>
      </c>
      <c r="K41" s="1105">
        <f ca="1"/>
        <v>1205.277881</v>
      </c>
      <c r="L41" s="1105">
        <f ca="1"/>
        <v>1205.277881</v>
      </c>
      <c r="M41" s="1105">
        <f ca="1"/>
        <v>1205.277881</v>
      </c>
      <c r="N41" s="1106">
        <f ca="1"/>
        <v>1205.277881</v>
      </c>
      <c r="O41" s="1124">
        <f t="shared" ca="1" si="2"/>
        <v>14463.334572</v>
      </c>
    </row>
    <row r="42" spans="1:15" ht="18" customHeight="1" thickBot="1">
      <c r="A42" s="1128" t="str">
        <v>Pro rata coefficients</v>
      </c>
      <c r="B42" s="206"/>
      <c r="C42" s="2515">
        <f ca="1">+'VAT 2'!O42</f>
        <v>1</v>
      </c>
      <c r="D42" s="3195">
        <f ca="1">IF(IVAmensual=1,    IF(OR(IVAcc,D41&lt;0.1),1,D39/D41), 0)*0</f>
        <v>0</v>
      </c>
      <c r="E42" s="3195">
        <f ca="1">IF(IVAmensual=1,    IF(OR(IVAcc,E41&lt;0.1),1,E39/E41),     IF(OR(IVAcc,SUM(C41:E41)&lt;0.4),1,SUM(C39:E39)/SUM(C41:E41)))*0</f>
        <v>0</v>
      </c>
      <c r="F42" s="3195">
        <f ca="1">IF(IVAmensual=1,    IF(OR(IVAcc,F41&lt;0.1),1,F39/F41), 0)*0</f>
        <v>0</v>
      </c>
      <c r="G42" s="3195">
        <f ca="1">IF(IVAmensual=1,    IF(OR(IVAcc,G41&lt;0.1),1,G39/G41), 0)*0</f>
        <v>0</v>
      </c>
      <c r="H42" s="3195">
        <f ca="1">IF(IVAmensual=1,    IF(OR(IVAcc,H41&lt;0.1),1,H39/H41),     IF(OR(IVAcc,SUM(F41:H41)&lt;0.4),1,SUM(F39:H39)/SUM(F41:H41)))*0</f>
        <v>0</v>
      </c>
      <c r="I42" s="3195">
        <f ca="1">IF(IVAmensual=1,    IF(OR(IVAcc,I41&lt;0.1),1,I39/I41), 0)*0</f>
        <v>0</v>
      </c>
      <c r="J42" s="3195">
        <f ca="1">IF(IVAmensual=1,    IF(OR(IVAcc,J41&lt;0.1),1,J39/J41), 0)*0</f>
        <v>0</v>
      </c>
      <c r="K42" s="3195">
        <f ca="1">IF(IVAmensual=1,    IF(OR(IVAcc,K41&lt;0.1),1,K39/K41),     IF(OR(IVAcc,SUM(I41:K41)&lt;0.4),1,SUM(I39:K39)/SUM(I41:K41)))*0</f>
        <v>0</v>
      </c>
      <c r="L42" s="3195">
        <f ca="1">IF(IVAmensual=1,    IF(OR(IVAcc,L41&lt;0.1),1,L39/L41), 0)*0</f>
        <v>0</v>
      </c>
      <c r="M42" s="3195">
        <f ca="1">IF(IVAmensual=1,    IF(OR(IVAcc,M41&lt;0.1),1,M39/M41), 0)*0</f>
        <v>0</v>
      </c>
      <c r="N42" s="3195">
        <f ca="1">IF(IVAmensual=1,    IF(OR(IVAcc,N41&lt;0.1),1,N39/N41),     IF(OR(IVAcc,SUM(L41:N41)&lt;0.4),1,SUM(L39:N39)/SUM(L41:N41)))*0</f>
        <v>0</v>
      </c>
      <c r="O42" s="3196">
        <f ca="1" xml:space="preserve"> IF(OR(IVAcc, O41&lt;0.4), 1, O39/O41   )</f>
        <v>1</v>
      </c>
    </row>
  </sheetData>
  <sheetProtection sheet="1" objects="1" scenarios="1"/>
  <phoneticPr fontId="7" type="noConversion"/>
  <conditionalFormatting sqref="C31:N38">
    <cfRule type="expression" dxfId="9"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48">
    <tabColor indexed="61"/>
    <pageSetUpPr fitToPage="1"/>
  </sheetPr>
  <dimension ref="A1:P42"/>
  <sheetViews>
    <sheetView zoomScale="85" zoomScaleNormal="100" workbookViewId="0">
      <selection activeCell="E22" sqref="E22"/>
    </sheetView>
  </sheetViews>
  <sheetFormatPr baseColWidth="10" defaultColWidth="11" defaultRowHeight="15"/>
  <cols>
    <col min="1" max="1" width="18.625" style="35" customWidth="1"/>
    <col min="2" max="2" width="11" style="35"/>
    <col min="3" max="3" width="13.5" style="35" customWidth="1"/>
    <col min="4" max="5" width="11" style="35"/>
    <col min="6" max="6" width="12.625" style="35" customWidth="1"/>
    <col min="7" max="8" width="11" style="35"/>
    <col min="9" max="9" width="12" style="35" customWidth="1"/>
    <col min="10" max="11" width="11" style="35"/>
    <col min="12" max="12" width="11.375" style="35" customWidth="1"/>
    <col min="13" max="14" width="11" style="35"/>
    <col min="15" max="15" width="12.5" style="35" bestFit="1" customWidth="1"/>
    <col min="16" max="17" width="8.625" style="35" customWidth="1"/>
    <col min="18" max="18" width="9.875" style="35" customWidth="1"/>
    <col min="19" max="20" width="8.625" style="35" customWidth="1"/>
    <col min="21" max="16384" width="11" style="35"/>
  </cols>
  <sheetData>
    <row r="1" spans="1:16" s="66" customFormat="1" ht="22.5">
      <c r="A1" s="66" t="str">
        <f>'VAT 0'!A1</f>
        <v>VAT Periodical Settlements Calculations</v>
      </c>
      <c r="B1" s="250"/>
      <c r="F1" s="2435" t="str">
        <f>Parameters!F$77</f>
        <v>Year 4:   2030</v>
      </c>
      <c r="G1" s="231"/>
    </row>
    <row r="2" spans="1:16" s="66" customFormat="1" ht="22.5">
      <c r="A2" s="66" t="str">
        <f>'Sales Forecast 0'!A2</f>
        <v>WWW, Ltd.</v>
      </c>
      <c r="B2" s="250"/>
    </row>
    <row r="3" spans="1:16" ht="15.75" thickBot="1">
      <c r="A3" s="1080"/>
      <c r="B3" s="60"/>
      <c r="C3" s="60"/>
      <c r="D3" s="230"/>
      <c r="E3" s="230"/>
      <c r="F3" s="230"/>
      <c r="G3" s="230"/>
      <c r="H3" s="230"/>
      <c r="I3" s="230"/>
      <c r="J3" s="230"/>
      <c r="K3" s="230"/>
      <c r="L3" s="230"/>
      <c r="M3" s="230"/>
      <c r="N3" s="230"/>
      <c r="O3" s="230"/>
      <c r="P3" s="230"/>
    </row>
    <row r="4" spans="1:16" ht="15.75" thickBot="1">
      <c r="A4" s="1118" t="str">
        <f t="array" ref="A4:A8">'VAT 0'!A4:A8</f>
        <v>Input VAT</v>
      </c>
      <c r="B4" s="422"/>
      <c r="C4" s="156" t="str">
        <f t="array" ref="C4:N4">meses</f>
        <v>January</v>
      </c>
      <c r="D4" s="156" t="str">
        <v>February</v>
      </c>
      <c r="E4" s="156" t="str">
        <v>March</v>
      </c>
      <c r="F4" s="156" t="str">
        <v>April</v>
      </c>
      <c r="G4" s="156" t="str">
        <v>May</v>
      </c>
      <c r="H4" s="156" t="str">
        <v>June</v>
      </c>
      <c r="I4" s="156" t="str">
        <v>July</v>
      </c>
      <c r="J4" s="156" t="str">
        <v>August</v>
      </c>
      <c r="K4" s="156" t="str">
        <v>September</v>
      </c>
      <c r="L4" s="156" t="str">
        <v>October</v>
      </c>
      <c r="M4" s="156" t="str">
        <v>November</v>
      </c>
      <c r="N4" s="156" t="str">
        <v>December</v>
      </c>
      <c r="O4" s="157" t="str">
        <f>'VAT 0'!$O$4</f>
        <v>Totals</v>
      </c>
    </row>
    <row r="5" spans="1:16">
      <c r="A5" s="2426" t="str">
        <v>Input VAT due Purchases &amp; D C</v>
      </c>
      <c r="B5" s="1081"/>
      <c r="C5" s="1082">
        <f t="array" aca="1" ref="C5:N5" ca="1">'DC Distr 4'!B67:M67</f>
        <v>27.370123241580004</v>
      </c>
      <c r="D5" s="1083">
        <f ca="1"/>
        <v>27.370123241580004</v>
      </c>
      <c r="E5" s="1083">
        <f ca="1"/>
        <v>27.370123241580004</v>
      </c>
      <c r="F5" s="1083">
        <f ca="1"/>
        <v>27.370123241580004</v>
      </c>
      <c r="G5" s="1083">
        <f ca="1"/>
        <v>27.370123241580004</v>
      </c>
      <c r="H5" s="1083">
        <f ca="1"/>
        <v>27.370123241580004</v>
      </c>
      <c r="I5" s="1083">
        <f ca="1"/>
        <v>27.370123241580004</v>
      </c>
      <c r="J5" s="1083">
        <f ca="1"/>
        <v>27.370123241580004</v>
      </c>
      <c r="K5" s="1083">
        <f ca="1"/>
        <v>27.370123241580004</v>
      </c>
      <c r="L5" s="1083">
        <f ca="1"/>
        <v>27.370123241580004</v>
      </c>
      <c r="M5" s="1083">
        <f ca="1"/>
        <v>27.370123241580004</v>
      </c>
      <c r="N5" s="1084">
        <f ca="1"/>
        <v>27.370123241580004</v>
      </c>
      <c r="O5" s="1119">
        <f ca="1">SUM(C5:N5)</f>
        <v>328.44147889896016</v>
      </c>
    </row>
    <row r="6" spans="1:16">
      <c r="A6" s="2427" t="str">
        <v>Input VAT due to Fixed Expenses</v>
      </c>
      <c r="B6" s="1085"/>
      <c r="C6" s="1083">
        <f t="array" aca="1" ref="C6:N6" ca="1">'Fixed Expenses 4'!B60:M60</f>
        <v>8.6532435081539987</v>
      </c>
      <c r="D6" s="1083">
        <f ca="1"/>
        <v>8.6532435081539987</v>
      </c>
      <c r="E6" s="1083">
        <f ca="1"/>
        <v>8.6532435081539987</v>
      </c>
      <c r="F6" s="1083">
        <f ca="1"/>
        <v>8.6532435081539987</v>
      </c>
      <c r="G6" s="1083">
        <f ca="1"/>
        <v>8.6532435081539987</v>
      </c>
      <c r="H6" s="1083">
        <f ca="1"/>
        <v>8.6532435081539987</v>
      </c>
      <c r="I6" s="1083">
        <f ca="1"/>
        <v>8.6532435081539987</v>
      </c>
      <c r="J6" s="1083">
        <f ca="1"/>
        <v>8.6532435081539987</v>
      </c>
      <c r="K6" s="1083">
        <f ca="1"/>
        <v>8.6532435081539987</v>
      </c>
      <c r="L6" s="1083">
        <f ca="1"/>
        <v>8.6532435081539987</v>
      </c>
      <c r="M6" s="1083">
        <f ca="1"/>
        <v>8.6532435081539987</v>
      </c>
      <c r="N6" s="1084">
        <f ca="1"/>
        <v>8.6532435081539987</v>
      </c>
      <c r="O6" s="1119">
        <f ca="1">SUM(C6:N6)</f>
        <v>103.83892209784796</v>
      </c>
    </row>
    <row r="7" spans="1:16">
      <c r="A7" s="2427" t="str">
        <v>Input VAT due to Investments</v>
      </c>
      <c r="B7" s="1086"/>
      <c r="C7" s="1083">
        <f t="array" ref="C7:N7">'Current Asset Invest.'!$F$44/12+'Current Asset Invest.'!$F$43/12</f>
        <v>0</v>
      </c>
      <c r="D7" s="1083">
        <v>0</v>
      </c>
      <c r="E7" s="1083">
        <v>0</v>
      </c>
      <c r="F7" s="1083">
        <v>0</v>
      </c>
      <c r="G7" s="1083">
        <v>0</v>
      </c>
      <c r="H7" s="1083">
        <v>0</v>
      </c>
      <c r="I7" s="1083">
        <v>0</v>
      </c>
      <c r="J7" s="1083">
        <v>0</v>
      </c>
      <c r="K7" s="1083">
        <v>0</v>
      </c>
      <c r="L7" s="1083">
        <v>0</v>
      </c>
      <c r="M7" s="1083">
        <v>0</v>
      </c>
      <c r="N7" s="1084">
        <v>0</v>
      </c>
      <c r="O7" s="1119">
        <f>SUM(C7:N7)</f>
        <v>0</v>
      </c>
    </row>
    <row r="8" spans="1:16" ht="15.75" thickBot="1">
      <c r="A8" s="2428" t="str">
        <v>Input VAT from Leasing/Renting</v>
      </c>
      <c r="B8" s="1087"/>
      <c r="C8" s="1088">
        <f t="array" ref="C8:N8">Leasing!B56:M56+Renting!B52:M52</f>
        <v>0</v>
      </c>
      <c r="D8" s="1089">
        <v>0</v>
      </c>
      <c r="E8" s="1089">
        <v>0</v>
      </c>
      <c r="F8" s="1089">
        <v>0</v>
      </c>
      <c r="G8" s="1089">
        <v>0</v>
      </c>
      <c r="H8" s="1089">
        <v>0</v>
      </c>
      <c r="I8" s="1089">
        <v>0</v>
      </c>
      <c r="J8" s="1089">
        <v>0</v>
      </c>
      <c r="K8" s="1089">
        <v>0</v>
      </c>
      <c r="L8" s="1089">
        <v>0</v>
      </c>
      <c r="M8" s="1089">
        <v>0</v>
      </c>
      <c r="N8" s="1090">
        <v>0</v>
      </c>
      <c r="O8" s="1120">
        <f>SUM(C8:N8)</f>
        <v>0</v>
      </c>
    </row>
    <row r="9" spans="1:16" ht="15.75" thickBot="1">
      <c r="A9" s="1121"/>
      <c r="B9" s="2425" t="str">
        <f>'VAT 0'!B9</f>
        <v>Total Input VAT</v>
      </c>
      <c r="C9" s="1136">
        <f t="shared" ref="C9:O9" ca="1" si="0">SUM(C5:C8)</f>
        <v>36.023366749734002</v>
      </c>
      <c r="D9" s="1137">
        <f t="shared" ca="1" si="0"/>
        <v>36.023366749734002</v>
      </c>
      <c r="E9" s="1137">
        <f t="shared" ca="1" si="0"/>
        <v>36.023366749734002</v>
      </c>
      <c r="F9" s="1137">
        <f t="shared" ca="1" si="0"/>
        <v>36.023366749734002</v>
      </c>
      <c r="G9" s="1137">
        <f t="shared" ca="1" si="0"/>
        <v>36.023366749734002</v>
      </c>
      <c r="H9" s="1137">
        <f t="shared" ca="1" si="0"/>
        <v>36.023366749734002</v>
      </c>
      <c r="I9" s="1137">
        <f t="shared" ca="1" si="0"/>
        <v>36.023366749734002</v>
      </c>
      <c r="J9" s="1137">
        <f t="shared" ca="1" si="0"/>
        <v>36.023366749734002</v>
      </c>
      <c r="K9" s="1137">
        <f t="shared" ca="1" si="0"/>
        <v>36.023366749734002</v>
      </c>
      <c r="L9" s="1137">
        <f t="shared" ca="1" si="0"/>
        <v>36.023366749734002</v>
      </c>
      <c r="M9" s="1137">
        <f t="shared" ca="1" si="0"/>
        <v>36.023366749734002</v>
      </c>
      <c r="N9" s="1138">
        <f t="shared" ca="1" si="0"/>
        <v>36.023366749734002</v>
      </c>
      <c r="O9" s="1139">
        <f t="shared" ca="1" si="0"/>
        <v>432.28040099680811</v>
      </c>
    </row>
    <row r="10" spans="1:16" ht="15.75" thickBot="1">
      <c r="A10" s="1091"/>
      <c r="C10" s="1092"/>
      <c r="D10" s="1092"/>
      <c r="E10" s="1092"/>
      <c r="F10" s="1092"/>
      <c r="G10" s="1092"/>
      <c r="H10" s="1092"/>
      <c r="I10" s="1092"/>
      <c r="J10" s="1092"/>
      <c r="K10" s="1092"/>
      <c r="L10" s="1092"/>
      <c r="M10" s="1092"/>
      <c r="N10" s="1092"/>
      <c r="O10" s="1092"/>
    </row>
    <row r="11" spans="1:16" ht="15.75" thickBot="1">
      <c r="A11" s="1114" t="str">
        <f t="array" ref="A11:A13">'VAT 0'!A11:A13</f>
        <v>Monthly Prorated coefficients</v>
      </c>
      <c r="B11" s="1115"/>
      <c r="C11" s="2516">
        <f t="array" aca="1" ref="C11:O11" ca="1">C42:O42</f>
        <v>1</v>
      </c>
      <c r="D11" s="2516">
        <f ca="1"/>
        <v>0</v>
      </c>
      <c r="E11" s="2517">
        <f ca="1"/>
        <v>0</v>
      </c>
      <c r="F11" s="2516">
        <f ca="1"/>
        <v>0</v>
      </c>
      <c r="G11" s="2516">
        <f ca="1"/>
        <v>0</v>
      </c>
      <c r="H11" s="2517">
        <f ca="1"/>
        <v>0</v>
      </c>
      <c r="I11" s="2516">
        <f ca="1"/>
        <v>0</v>
      </c>
      <c r="J11" s="2516">
        <f ca="1"/>
        <v>0</v>
      </c>
      <c r="K11" s="2517">
        <f ca="1"/>
        <v>0</v>
      </c>
      <c r="L11" s="2516">
        <f ca="1"/>
        <v>0</v>
      </c>
      <c r="M11" s="2516">
        <f ca="1"/>
        <v>0</v>
      </c>
      <c r="N11" s="2517">
        <f ca="1"/>
        <v>0</v>
      </c>
      <c r="O11" s="3081">
        <f ca="1"/>
        <v>1</v>
      </c>
    </row>
    <row r="12" spans="1:16">
      <c r="A12" s="1116" t="str">
        <v>Deductible Input VAT amount</v>
      </c>
      <c r="B12" s="1093"/>
      <c r="C12" s="3200">
        <f t="array" aca="1" ref="C12:N12" ca="1">$C$11*C9:N9</f>
        <v>36.023366749734002</v>
      </c>
      <c r="D12" s="3200">
        <f ca="1"/>
        <v>36.023366749734002</v>
      </c>
      <c r="E12" s="3200">
        <f ca="1"/>
        <v>36.023366749734002</v>
      </c>
      <c r="F12" s="3200">
        <f ca="1"/>
        <v>36.023366749734002</v>
      </c>
      <c r="G12" s="3200">
        <f ca="1"/>
        <v>36.023366749734002</v>
      </c>
      <c r="H12" s="3200">
        <f ca="1"/>
        <v>36.023366749734002</v>
      </c>
      <c r="I12" s="3200">
        <f ca="1"/>
        <v>36.023366749734002</v>
      </c>
      <c r="J12" s="3200">
        <f ca="1"/>
        <v>36.023366749734002</v>
      </c>
      <c r="K12" s="3200">
        <f ca="1"/>
        <v>36.023366749734002</v>
      </c>
      <c r="L12" s="3200">
        <f ca="1"/>
        <v>36.023366749734002</v>
      </c>
      <c r="M12" s="3200">
        <f ca="1"/>
        <v>36.023366749734002</v>
      </c>
      <c r="N12" s="3200">
        <f ca="1"/>
        <v>36.023366749734002</v>
      </c>
      <c r="O12" s="1133">
        <f ca="1">SUM(C12:N12)</f>
        <v>432.28040099680805</v>
      </c>
    </row>
    <row r="13" spans="1:16" ht="16.5" customHeight="1" thickBot="1">
      <c r="A13" s="1117" t="str">
        <v>Total Input VAT as expenses</v>
      </c>
      <c r="B13" s="1077"/>
      <c r="C13" s="1134">
        <f t="array" aca="1" ref="C13:N13" ca="1">C9:N9-C12:N12</f>
        <v>0</v>
      </c>
      <c r="D13" s="1134">
        <f ca="1"/>
        <v>0</v>
      </c>
      <c r="E13" s="1134">
        <f ca="1"/>
        <v>0</v>
      </c>
      <c r="F13" s="1134">
        <f ca="1"/>
        <v>0</v>
      </c>
      <c r="G13" s="1134">
        <f ca="1"/>
        <v>0</v>
      </c>
      <c r="H13" s="1134">
        <f ca="1"/>
        <v>0</v>
      </c>
      <c r="I13" s="1134">
        <f ca="1"/>
        <v>0</v>
      </c>
      <c r="J13" s="1134">
        <f ca="1"/>
        <v>0</v>
      </c>
      <c r="K13" s="1134">
        <f ca="1"/>
        <v>0</v>
      </c>
      <c r="L13" s="1134">
        <f ca="1"/>
        <v>0</v>
      </c>
      <c r="M13" s="1134">
        <f ca="1"/>
        <v>0</v>
      </c>
      <c r="N13" s="1134">
        <f ca="1"/>
        <v>0</v>
      </c>
      <c r="O13" s="1135">
        <f ca="1">SUM(C13:N13)</f>
        <v>0</v>
      </c>
    </row>
    <row r="14" spans="1:16" ht="15.75" thickBot="1"/>
    <row r="15" spans="1:16" ht="15.75" thickBot="1">
      <c r="A15" s="64"/>
      <c r="B15" s="379" t="str">
        <f>'VAT 0'!B15</f>
        <v>VAT Taxation current Account</v>
      </c>
      <c r="C15" s="1129" t="str">
        <f>'Base Data'!$B$32</f>
        <v>No</v>
      </c>
      <c r="D15" s="2370">
        <f>IVAcc</f>
        <v>0</v>
      </c>
      <c r="F15" s="1131"/>
      <c r="G15" s="674"/>
      <c r="L15" s="64"/>
      <c r="M15" s="359"/>
      <c r="N15" s="3198" t="s">
        <v>1208</v>
      </c>
      <c r="O15" s="3199">
        <f ca="1">-O9*($O$11-$C$11)</f>
        <v>0</v>
      </c>
    </row>
    <row r="17" spans="1:15" s="97" customFormat="1" ht="23.25" thickBot="1">
      <c r="A17" s="66" t="str">
        <f>'VAT 0'!A17</f>
        <v>Periodical VAT Settlements</v>
      </c>
      <c r="B17" s="250"/>
      <c r="C17" s="66"/>
      <c r="D17" s="66"/>
      <c r="F17" s="250"/>
    </row>
    <row r="18" spans="1:15" ht="15.75" thickBot="1">
      <c r="A18" s="2433"/>
      <c r="B18" s="2434"/>
      <c r="C18" s="1109" t="str">
        <f t="array" ref="C18:N18">meses</f>
        <v>January</v>
      </c>
      <c r="D18" s="1109" t="str">
        <v>February</v>
      </c>
      <c r="E18" s="1109" t="str">
        <v>March</v>
      </c>
      <c r="F18" s="1109" t="str">
        <v>April</v>
      </c>
      <c r="G18" s="1109" t="str">
        <v>May</v>
      </c>
      <c r="H18" s="1109" t="str">
        <v>June</v>
      </c>
      <c r="I18" s="1109" t="str">
        <v>July</v>
      </c>
      <c r="J18" s="1109" t="str">
        <v>August</v>
      </c>
      <c r="K18" s="1109" t="str">
        <v>September</v>
      </c>
      <c r="L18" s="1109" t="str">
        <v>October</v>
      </c>
      <c r="M18" s="1109" t="str">
        <v>November</v>
      </c>
      <c r="N18" s="1109" t="str">
        <v>December</v>
      </c>
      <c r="O18" s="1110" t="str">
        <f>'VAT 0'!$O$4</f>
        <v>Totals</v>
      </c>
    </row>
    <row r="19" spans="1:15">
      <c r="A19" s="2388" t="str">
        <f t="array" ref="A19:A22">'VAT 0'!A19:A22</f>
        <v>Total Output VAT</v>
      </c>
      <c r="B19" s="2430"/>
      <c r="C19" s="1082">
        <f t="array" aca="1" ref="C19" ca="1">SUM(Parameters!$E$24:$E$31*C31:C38)</f>
        <v>273.70123241580001</v>
      </c>
      <c r="D19" s="1082">
        <f t="array" aca="1" ref="D19" ca="1">SUM(Parameters!$E$24:$E$31*D31:D38)</f>
        <v>273.70123241580001</v>
      </c>
      <c r="E19" s="1082">
        <f t="array" aca="1" ref="E19" ca="1">SUM(Parameters!$E$24:$E$31*E31:E38)</f>
        <v>273.70123241580001</v>
      </c>
      <c r="F19" s="1082">
        <f t="array" aca="1" ref="F19" ca="1">SUM(Parameters!$E$24:$E$31*F31:F38)</f>
        <v>273.70123241580001</v>
      </c>
      <c r="G19" s="1082">
        <f t="array" aca="1" ref="G19" ca="1">SUM(Parameters!$E$24:$E$31*G31:G38)</f>
        <v>273.70123241580001</v>
      </c>
      <c r="H19" s="1082">
        <f t="array" aca="1" ref="H19" ca="1">SUM(Parameters!$E$24:$E$31*H31:H38)</f>
        <v>273.70123241580001</v>
      </c>
      <c r="I19" s="1082">
        <f t="array" aca="1" ref="I19" ca="1">SUM(Parameters!$E$24:$E$31*I31:I38)</f>
        <v>273.70123241580001</v>
      </c>
      <c r="J19" s="1082">
        <f t="array" aca="1" ref="J19" ca="1">SUM(Parameters!$E$24:$E$31*J31:J38)</f>
        <v>273.70123241580001</v>
      </c>
      <c r="K19" s="1082">
        <f t="array" aca="1" ref="K19" ca="1">SUM(Parameters!$E$24:$E$31*K31:K38)</f>
        <v>273.70123241580001</v>
      </c>
      <c r="L19" s="1082">
        <f t="array" aca="1" ref="L19" ca="1">SUM(Parameters!$E$24:$E$31*L31:L38)</f>
        <v>273.70123241580001</v>
      </c>
      <c r="M19" s="1082">
        <f t="array" aca="1" ref="M19" ca="1">SUM(Parameters!$E$24:$E$31*M31:M38)</f>
        <v>273.70123241580001</v>
      </c>
      <c r="N19" s="1082">
        <f t="array" aca="1" ref="N19" ca="1">SUM(Parameters!$E$24:$E$31*N31:N38)</f>
        <v>273.70123241580001</v>
      </c>
      <c r="O19" s="1112">
        <f ca="1">SUM(C19:N19)</f>
        <v>3284.4147889895999</v>
      </c>
    </row>
    <row r="20" spans="1:15">
      <c r="A20" s="2429" t="str">
        <v>Total Deductible Input VAT</v>
      </c>
      <c r="B20" s="2431"/>
      <c r="C20" s="1083">
        <f t="array" aca="1" ref="C20:N20" ca="1">C12:N12</f>
        <v>36.023366749734002</v>
      </c>
      <c r="D20" s="1083">
        <f ca="1"/>
        <v>36.023366749734002</v>
      </c>
      <c r="E20" s="1083">
        <f ca="1"/>
        <v>36.023366749734002</v>
      </c>
      <c r="F20" s="1083">
        <f ca="1"/>
        <v>36.023366749734002</v>
      </c>
      <c r="G20" s="1083">
        <f ca="1"/>
        <v>36.023366749734002</v>
      </c>
      <c r="H20" s="1083">
        <f ca="1"/>
        <v>36.023366749734002</v>
      </c>
      <c r="I20" s="1083">
        <f ca="1"/>
        <v>36.023366749734002</v>
      </c>
      <c r="J20" s="1083">
        <f ca="1"/>
        <v>36.023366749734002</v>
      </c>
      <c r="K20" s="1083">
        <f ca="1"/>
        <v>36.023366749734002</v>
      </c>
      <c r="L20" s="1083">
        <f ca="1"/>
        <v>36.023366749734002</v>
      </c>
      <c r="M20" s="1083">
        <f ca="1"/>
        <v>36.023366749734002</v>
      </c>
      <c r="N20" s="1083">
        <f ca="1"/>
        <v>36.023366749734002</v>
      </c>
      <c r="O20" s="1107">
        <f ca="1">SUM(C20:N20)</f>
        <v>432.28040099680805</v>
      </c>
    </row>
    <row r="21" spans="1:15" ht="15.75" thickBot="1">
      <c r="A21" s="2389" t="str">
        <v>VAT differential</v>
      </c>
      <c r="B21" s="2432"/>
      <c r="C21" s="1132">
        <f t="array" aca="1" ref="C21:N21" ca="1">C19:N19-C20:N20</f>
        <v>237.677865666066</v>
      </c>
      <c r="D21" s="1132">
        <f ca="1"/>
        <v>237.677865666066</v>
      </c>
      <c r="E21" s="1132">
        <f ca="1"/>
        <v>237.677865666066</v>
      </c>
      <c r="F21" s="1132">
        <f ca="1"/>
        <v>237.677865666066</v>
      </c>
      <c r="G21" s="1132">
        <f ca="1"/>
        <v>237.677865666066</v>
      </c>
      <c r="H21" s="1132">
        <f ca="1"/>
        <v>237.677865666066</v>
      </c>
      <c r="I21" s="1132">
        <f ca="1"/>
        <v>237.677865666066</v>
      </c>
      <c r="J21" s="1132">
        <f ca="1"/>
        <v>237.677865666066</v>
      </c>
      <c r="K21" s="1132">
        <f ca="1"/>
        <v>237.677865666066</v>
      </c>
      <c r="L21" s="1132">
        <f ca="1"/>
        <v>237.677865666066</v>
      </c>
      <c r="M21" s="1132">
        <f ca="1"/>
        <v>237.677865666066</v>
      </c>
      <c r="N21" s="1132">
        <f ca="1"/>
        <v>237.677865666066</v>
      </c>
      <c r="O21" s="1108">
        <f ca="1">SUM(C21:N21)</f>
        <v>2852.1343879927917</v>
      </c>
    </row>
    <row r="22" spans="1:15" s="48" customFormat="1" ht="19.5" customHeight="1">
      <c r="A22" s="2543" t="str">
        <v>VAT quotes</v>
      </c>
      <c r="B22" s="2557"/>
      <c r="C22" s="2545">
        <f ca="1">'VAT 3'!O22</f>
        <v>219.77907026669999</v>
      </c>
      <c r="D22" s="2560">
        <f ca="1">+IF(IVAmensual=1,  IF(AND(IVAdev=1,C22&lt;0),0,MIN(C22,0))  +C21,0)</f>
        <v>237.677865666066</v>
      </c>
      <c r="E22" s="2546">
        <f ca="1">+IF(IVAmensual=1,    MIN(D22,0)+D21,0)</f>
        <v>237.677865666066</v>
      </c>
      <c r="F22" s="2560">
        <f ca="1">IF(IVAmensual=0,    IF(AND(IVAdev=1,C22&lt;0),0,MIN(C22,0))+SUM(C21:E21),0)
+IF(IVAmensual=1,    MIN(E22,0)+E21,0)</f>
        <v>237.677865666066</v>
      </c>
      <c r="G22" s="2546">
        <f ca="1">+IF(IVAmensual=1,    MIN(F22,0)+F21,0)</f>
        <v>237.677865666066</v>
      </c>
      <c r="H22" s="2546">
        <f ca="1">+IF(IVAmensual=1,    MIN(G22,0)+G21,0)</f>
        <v>237.677865666066</v>
      </c>
      <c r="I22" s="2546">
        <f ca="1">IF(IVAmensual=0,    MIN(F22,0)+SUM(F21:H21),0)
+IF(IVAmensual=1,    MIN(H22,0)+H21,0)</f>
        <v>237.677865666066</v>
      </c>
      <c r="J22" s="2546">
        <f ca="1">+IF(IVAmensual=1,    MIN(I22,0)+I21,0)</f>
        <v>237.677865666066</v>
      </c>
      <c r="K22" s="2546">
        <f ca="1">+IF(IVAmensual=1,    MIN(J22,0)+J21,0)</f>
        <v>237.677865666066</v>
      </c>
      <c r="L22" s="2546">
        <f ca="1">IF(IVAmensual=0,    MIN(I22,0)+SUM(I21:K21),0)
+IF(IVAmensual=1,    MIN(K22,0)+K21,0)</f>
        <v>237.677865666066</v>
      </c>
      <c r="M22" s="2546">
        <f ca="1">+IF(IVAmensual=1,    MIN(L22,0)+L21,0)</f>
        <v>237.677865666066</v>
      </c>
      <c r="N22" s="2546">
        <f ca="1">+IF(IVAmensual=1,    MIN(M22,0)+M21,0)</f>
        <v>237.677865666066</v>
      </c>
      <c r="O22" s="3197">
        <f ca="1">IF(IVAmensual=0,    MIN(L22,0)+SUM(L21:N21)+O15,0)
+IF(IVAmensual=1,    MIN(N22,0)+N21+O15,0)</f>
        <v>237.677865666066</v>
      </c>
    </row>
    <row r="23" spans="1:15" ht="10.5" customHeight="1">
      <c r="A23" s="372"/>
      <c r="B23" s="2431"/>
      <c r="C23" s="882"/>
      <c r="D23" s="882"/>
      <c r="E23" s="882"/>
      <c r="F23" s="882"/>
      <c r="G23" s="882"/>
      <c r="H23" s="882"/>
      <c r="I23" s="882"/>
      <c r="J23" s="882"/>
      <c r="K23" s="882"/>
      <c r="L23" s="882"/>
      <c r="M23" s="882"/>
      <c r="N23" s="882"/>
      <c r="O23" s="1113"/>
    </row>
    <row r="24" spans="1:15" s="48" customFormat="1" ht="19.5" customHeight="1" thickBot="1">
      <c r="A24" s="2547" t="str">
        <f>'VAT 0'!A24</f>
        <v>VAT settlements quotas</v>
      </c>
      <c r="B24" s="2548"/>
      <c r="C24" s="2549">
        <f t="shared" ref="C24:O24" ca="1" si="1">IF(AND(IVAcc=0,C22&gt;0),C22,0)</f>
        <v>219.77907026669999</v>
      </c>
      <c r="D24" s="2550">
        <f t="shared" ca="1" si="1"/>
        <v>237.677865666066</v>
      </c>
      <c r="E24" s="2550">
        <f t="shared" ca="1" si="1"/>
        <v>237.677865666066</v>
      </c>
      <c r="F24" s="2550">
        <f t="shared" ca="1" si="1"/>
        <v>237.677865666066</v>
      </c>
      <c r="G24" s="2550">
        <f t="shared" ca="1" si="1"/>
        <v>237.677865666066</v>
      </c>
      <c r="H24" s="2550">
        <f t="shared" ca="1" si="1"/>
        <v>237.677865666066</v>
      </c>
      <c r="I24" s="2550">
        <f t="shared" ca="1" si="1"/>
        <v>237.677865666066</v>
      </c>
      <c r="J24" s="2550">
        <f t="shared" ca="1" si="1"/>
        <v>237.677865666066</v>
      </c>
      <c r="K24" s="2550">
        <f t="shared" ca="1" si="1"/>
        <v>237.677865666066</v>
      </c>
      <c r="L24" s="2550">
        <f t="shared" ca="1" si="1"/>
        <v>237.677865666066</v>
      </c>
      <c r="M24" s="2550">
        <f t="shared" ca="1" si="1"/>
        <v>237.677865666066</v>
      </c>
      <c r="N24" s="2550">
        <f t="shared" ca="1" si="1"/>
        <v>237.677865666066</v>
      </c>
      <c r="O24" s="2551">
        <f t="shared" ca="1" si="1"/>
        <v>237.677865666066</v>
      </c>
    </row>
    <row r="25" spans="1:15" ht="9" customHeight="1" thickBot="1">
      <c r="C25" s="876"/>
      <c r="D25" s="876"/>
      <c r="E25" s="876"/>
      <c r="F25" s="876"/>
      <c r="G25" s="876"/>
      <c r="H25" s="876"/>
      <c r="I25" s="876"/>
      <c r="J25" s="876"/>
      <c r="K25" s="876"/>
      <c r="L25" s="876"/>
      <c r="M25" s="876"/>
      <c r="N25" s="876"/>
      <c r="O25" s="876"/>
    </row>
    <row r="26" spans="1:15" s="48" customFormat="1" ht="18.75" customHeight="1" thickBot="1">
      <c r="A26" s="2552" t="str">
        <f>'VAT 0'!A26</f>
        <v>VAT Refundings</v>
      </c>
      <c r="B26" s="2553"/>
      <c r="C26" s="2554">
        <f>'VAT 3'!O26</f>
        <v>0</v>
      </c>
      <c r="D26" s="2555">
        <f>-IF(AND(IVAcc,IVAmensual=1),C21,0)</f>
        <v>0</v>
      </c>
      <c r="E26" s="2555">
        <f>-IF(AND(IVAcc,IVAmensual=1),D21,0)</f>
        <v>0</v>
      </c>
      <c r="F26" s="2555">
        <f>-IF(AND(IVAcc,IVAmensual=0),SUM(C21:E21),0)
-IF(AND(IVAcc,IVAmensual=1),E21,0)</f>
        <v>0</v>
      </c>
      <c r="G26" s="2555">
        <f>-IF(AND(IVAcc,IVAmensual=1),F21,0)</f>
        <v>0</v>
      </c>
      <c r="H26" s="2559">
        <f ca="1">-IF(AND(IVAcc,IVAmensual=1),G21,0)-IF(AND(IVAcc=0,IVAdev=1,C22&lt;0),C22,0)</f>
        <v>0</v>
      </c>
      <c r="I26" s="2555">
        <f>-IF(AND(IVAcc,IVAmensual=0),SUM(F21:H21),0)
-IF(AND(IVAcc,IVAmensual=1),H21,0)</f>
        <v>0</v>
      </c>
      <c r="J26" s="2555">
        <f>-IF(AND(IVAcc,IVAmensual=1),I21,0)</f>
        <v>0</v>
      </c>
      <c r="K26" s="2555">
        <f>-IF(AND(IVAcc,IVAmensual=1),J21,0)</f>
        <v>0</v>
      </c>
      <c r="L26" s="2555">
        <f>-IF(AND(IVAcc,IVAmensual=0),SUM(I21:K21),0)
-IF(AND(IVAcc,IVAmensual=1),K21,0)</f>
        <v>0</v>
      </c>
      <c r="M26" s="2555">
        <f>-IF(AND(IVAcc,IVAmensual=1),L21,0)</f>
        <v>0</v>
      </c>
      <c r="N26" s="2555">
        <f>-IF(AND(IVAcc,IVAmensual=1),M21,0)</f>
        <v>0</v>
      </c>
      <c r="O26" s="2558">
        <f>-IF(AND(IVAcc,IVAmensual=0),SUM(L21:N21),0)
-IF(AND(IVAcc,IVAmensual=1),N21,0)</f>
        <v>0</v>
      </c>
    </row>
    <row r="29" spans="1:15" s="97" customFormat="1" ht="23.25" thickBot="1">
      <c r="A29" s="66" t="str">
        <f>'VAT 0'!A29</f>
        <v>Pro-rata Rule rates</v>
      </c>
      <c r="D29" s="250"/>
      <c r="E29" s="250"/>
    </row>
    <row r="30" spans="1:15" ht="15.75" thickBot="1">
      <c r="A30" s="1122" t="str">
        <f>'VAT 0'!A30</f>
        <v>Charged VAT</v>
      </c>
      <c r="B30" s="102" t="str">
        <f>'VAT 0'!B30</f>
        <v>VAT rate</v>
      </c>
      <c r="C30" s="422" t="str">
        <f t="array" ref="C30:N30">meses</f>
        <v>January</v>
      </c>
      <c r="D30" s="156" t="str">
        <v>February</v>
      </c>
      <c r="E30" s="156" t="str">
        <v>March</v>
      </c>
      <c r="F30" s="156" t="str">
        <v>April</v>
      </c>
      <c r="G30" s="156" t="str">
        <v>May</v>
      </c>
      <c r="H30" s="156" t="str">
        <v>June</v>
      </c>
      <c r="I30" s="156" t="str">
        <v>July</v>
      </c>
      <c r="J30" s="156" t="str">
        <v>August</v>
      </c>
      <c r="K30" s="156" t="str">
        <v>September</v>
      </c>
      <c r="L30" s="156" t="str">
        <v>October</v>
      </c>
      <c r="M30" s="156" t="str">
        <v>November</v>
      </c>
      <c r="N30" s="156" t="str">
        <v>December</v>
      </c>
      <c r="O30" s="157" t="str">
        <f>'VAT 0'!$O$4</f>
        <v>Totals</v>
      </c>
    </row>
    <row r="31" spans="1:15">
      <c r="A31" s="1704" t="str">
        <f t="array" ref="A31:A38">productos</f>
        <v>product 1</v>
      </c>
      <c r="B31" s="1094">
        <f t="array" ref="B31:B38">Parameters!E24:E31</f>
        <v>0.21</v>
      </c>
      <c r="C31" s="1095">
        <f t="array" aca="1" ref="C31:N38" ca="1">'Sales Forecast 4'!B17:M24</f>
        <v>1303.3392019800001</v>
      </c>
      <c r="D31" s="1095">
        <f ca="1"/>
        <v>1303.3392019800001</v>
      </c>
      <c r="E31" s="1095">
        <f ca="1"/>
        <v>1303.3392019800001</v>
      </c>
      <c r="F31" s="1095">
        <f ca="1"/>
        <v>1303.3392019800001</v>
      </c>
      <c r="G31" s="1095">
        <f ca="1"/>
        <v>1303.3392019800001</v>
      </c>
      <c r="H31" s="1095">
        <f ca="1"/>
        <v>1303.3392019800001</v>
      </c>
      <c r="I31" s="1095">
        <f ca="1"/>
        <v>1303.3392019800001</v>
      </c>
      <c r="J31" s="1095">
        <f ca="1"/>
        <v>1303.3392019800001</v>
      </c>
      <c r="K31" s="1095">
        <f ca="1"/>
        <v>1303.3392019800001</v>
      </c>
      <c r="L31" s="1095">
        <f ca="1"/>
        <v>1303.3392019800001</v>
      </c>
      <c r="M31" s="1095">
        <f ca="1"/>
        <v>1303.3392019800001</v>
      </c>
      <c r="N31" s="1095">
        <f ca="1"/>
        <v>1303.3392019800001</v>
      </c>
      <c r="O31" s="1123">
        <f t="shared" ref="O31:O41" ca="1" si="2">SUM(C31:N31)</f>
        <v>15640.070423759998</v>
      </c>
    </row>
    <row r="32" spans="1:15">
      <c r="A32" s="1489" t="str">
        <v/>
      </c>
      <c r="B32" s="1096">
        <v>0.21</v>
      </c>
      <c r="C32" s="1097">
        <f ca="1"/>
        <v>0</v>
      </c>
      <c r="D32" s="1097">
        <f ca="1"/>
        <v>0</v>
      </c>
      <c r="E32" s="1097">
        <f ca="1"/>
        <v>0</v>
      </c>
      <c r="F32" s="1097">
        <f ca="1"/>
        <v>0</v>
      </c>
      <c r="G32" s="1097">
        <f ca="1"/>
        <v>0</v>
      </c>
      <c r="H32" s="1097">
        <f ca="1"/>
        <v>0</v>
      </c>
      <c r="I32" s="1097">
        <f ca="1"/>
        <v>0</v>
      </c>
      <c r="J32" s="1097">
        <f ca="1"/>
        <v>0</v>
      </c>
      <c r="K32" s="1097">
        <f ca="1"/>
        <v>0</v>
      </c>
      <c r="L32" s="1097">
        <f ca="1"/>
        <v>0</v>
      </c>
      <c r="M32" s="1097">
        <f ca="1"/>
        <v>0</v>
      </c>
      <c r="N32" s="1097">
        <f ca="1"/>
        <v>0</v>
      </c>
      <c r="O32" s="1124">
        <f t="shared" ca="1" si="2"/>
        <v>0</v>
      </c>
    </row>
    <row r="33" spans="1:15">
      <c r="A33" s="1489" t="str">
        <v/>
      </c>
      <c r="B33" s="1096">
        <v>0.21</v>
      </c>
      <c r="C33" s="1097">
        <f ca="1"/>
        <v>0</v>
      </c>
      <c r="D33" s="1097">
        <f ca="1"/>
        <v>0</v>
      </c>
      <c r="E33" s="1097">
        <f ca="1"/>
        <v>0</v>
      </c>
      <c r="F33" s="1097">
        <f ca="1"/>
        <v>0</v>
      </c>
      <c r="G33" s="1097">
        <f ca="1"/>
        <v>0</v>
      </c>
      <c r="H33" s="1097">
        <f ca="1"/>
        <v>0</v>
      </c>
      <c r="I33" s="1097">
        <f ca="1"/>
        <v>0</v>
      </c>
      <c r="J33" s="1097">
        <f ca="1"/>
        <v>0</v>
      </c>
      <c r="K33" s="1097">
        <f ca="1"/>
        <v>0</v>
      </c>
      <c r="L33" s="1097">
        <f ca="1"/>
        <v>0</v>
      </c>
      <c r="M33" s="1097">
        <f ca="1"/>
        <v>0</v>
      </c>
      <c r="N33" s="1097">
        <f ca="1"/>
        <v>0</v>
      </c>
      <c r="O33" s="1124">
        <f t="shared" ca="1" si="2"/>
        <v>0</v>
      </c>
    </row>
    <row r="34" spans="1:15">
      <c r="A34" s="1489" t="str">
        <v/>
      </c>
      <c r="B34" s="1096">
        <v>0.21</v>
      </c>
      <c r="C34" s="1097">
        <f ca="1"/>
        <v>0</v>
      </c>
      <c r="D34" s="1097">
        <f ca="1"/>
        <v>0</v>
      </c>
      <c r="E34" s="1097">
        <f ca="1"/>
        <v>0</v>
      </c>
      <c r="F34" s="1097">
        <f ca="1"/>
        <v>0</v>
      </c>
      <c r="G34" s="1097">
        <f ca="1"/>
        <v>0</v>
      </c>
      <c r="H34" s="1097">
        <f ca="1"/>
        <v>0</v>
      </c>
      <c r="I34" s="1097">
        <f ca="1"/>
        <v>0</v>
      </c>
      <c r="J34" s="1097">
        <f ca="1"/>
        <v>0</v>
      </c>
      <c r="K34" s="1097">
        <f ca="1"/>
        <v>0</v>
      </c>
      <c r="L34" s="1097">
        <f ca="1"/>
        <v>0</v>
      </c>
      <c r="M34" s="1097">
        <f ca="1"/>
        <v>0</v>
      </c>
      <c r="N34" s="1097">
        <f ca="1"/>
        <v>0</v>
      </c>
      <c r="O34" s="1124">
        <f t="shared" ca="1" si="2"/>
        <v>0</v>
      </c>
    </row>
    <row r="35" spans="1:15">
      <c r="A35" s="1489" t="str">
        <v/>
      </c>
      <c r="B35" s="1096">
        <v>0.21</v>
      </c>
      <c r="C35" s="1097">
        <f ca="1"/>
        <v>0</v>
      </c>
      <c r="D35" s="1097">
        <f ca="1"/>
        <v>0</v>
      </c>
      <c r="E35" s="1097">
        <f ca="1"/>
        <v>0</v>
      </c>
      <c r="F35" s="1097">
        <f ca="1"/>
        <v>0</v>
      </c>
      <c r="G35" s="1097">
        <f ca="1"/>
        <v>0</v>
      </c>
      <c r="H35" s="1097">
        <f ca="1"/>
        <v>0</v>
      </c>
      <c r="I35" s="1097">
        <f ca="1"/>
        <v>0</v>
      </c>
      <c r="J35" s="1097">
        <f ca="1"/>
        <v>0</v>
      </c>
      <c r="K35" s="1097">
        <f ca="1"/>
        <v>0</v>
      </c>
      <c r="L35" s="1097">
        <f ca="1"/>
        <v>0</v>
      </c>
      <c r="M35" s="1097">
        <f ca="1"/>
        <v>0</v>
      </c>
      <c r="N35" s="1097">
        <f ca="1"/>
        <v>0</v>
      </c>
      <c r="O35" s="1124">
        <f t="shared" ca="1" si="2"/>
        <v>0</v>
      </c>
    </row>
    <row r="36" spans="1:15">
      <c r="A36" s="1489" t="str">
        <v/>
      </c>
      <c r="B36" s="1096">
        <v>0.21</v>
      </c>
      <c r="C36" s="1097">
        <f ca="1"/>
        <v>0</v>
      </c>
      <c r="D36" s="1097">
        <f ca="1"/>
        <v>0</v>
      </c>
      <c r="E36" s="1097">
        <f ca="1"/>
        <v>0</v>
      </c>
      <c r="F36" s="1097">
        <f ca="1"/>
        <v>0</v>
      </c>
      <c r="G36" s="1097">
        <f ca="1"/>
        <v>0</v>
      </c>
      <c r="H36" s="1097">
        <f ca="1"/>
        <v>0</v>
      </c>
      <c r="I36" s="1097">
        <f ca="1"/>
        <v>0</v>
      </c>
      <c r="J36" s="1097">
        <f ca="1"/>
        <v>0</v>
      </c>
      <c r="K36" s="1097">
        <f ca="1"/>
        <v>0</v>
      </c>
      <c r="L36" s="1097">
        <f ca="1"/>
        <v>0</v>
      </c>
      <c r="M36" s="1097">
        <f ca="1"/>
        <v>0</v>
      </c>
      <c r="N36" s="1097">
        <f ca="1"/>
        <v>0</v>
      </c>
      <c r="O36" s="1124">
        <f t="shared" ca="1" si="2"/>
        <v>0</v>
      </c>
    </row>
    <row r="37" spans="1:15">
      <c r="A37" s="1489" t="str">
        <v/>
      </c>
      <c r="B37" s="1096">
        <v>0.21</v>
      </c>
      <c r="C37" s="1097">
        <f ca="1"/>
        <v>0</v>
      </c>
      <c r="D37" s="1097">
        <f ca="1"/>
        <v>0</v>
      </c>
      <c r="E37" s="1097">
        <f ca="1"/>
        <v>0</v>
      </c>
      <c r="F37" s="1097">
        <f ca="1"/>
        <v>0</v>
      </c>
      <c r="G37" s="1097">
        <f ca="1"/>
        <v>0</v>
      </c>
      <c r="H37" s="1097">
        <f ca="1"/>
        <v>0</v>
      </c>
      <c r="I37" s="1097">
        <f ca="1"/>
        <v>0</v>
      </c>
      <c r="J37" s="1097">
        <f ca="1"/>
        <v>0</v>
      </c>
      <c r="K37" s="1097">
        <f ca="1"/>
        <v>0</v>
      </c>
      <c r="L37" s="1097">
        <f ca="1"/>
        <v>0</v>
      </c>
      <c r="M37" s="1097">
        <f ca="1"/>
        <v>0</v>
      </c>
      <c r="N37" s="1097">
        <f ca="1"/>
        <v>0</v>
      </c>
      <c r="O37" s="1124">
        <f t="shared" ca="1" si="2"/>
        <v>0</v>
      </c>
    </row>
    <row r="38" spans="1:15" ht="15.75" thickBot="1">
      <c r="A38" s="1705" t="str">
        <v/>
      </c>
      <c r="B38" s="1098">
        <v>0.21</v>
      </c>
      <c r="C38" s="1099">
        <f ca="1"/>
        <v>0</v>
      </c>
      <c r="D38" s="1099">
        <f ca="1"/>
        <v>0</v>
      </c>
      <c r="E38" s="1099">
        <f ca="1"/>
        <v>0</v>
      </c>
      <c r="F38" s="1099">
        <f ca="1"/>
        <v>0</v>
      </c>
      <c r="G38" s="1099">
        <f ca="1"/>
        <v>0</v>
      </c>
      <c r="H38" s="1099">
        <f ca="1"/>
        <v>0</v>
      </c>
      <c r="I38" s="1099">
        <f ca="1"/>
        <v>0</v>
      </c>
      <c r="J38" s="1099">
        <f ca="1"/>
        <v>0</v>
      </c>
      <c r="K38" s="1099">
        <f ca="1"/>
        <v>0</v>
      </c>
      <c r="L38" s="1099">
        <f ca="1"/>
        <v>0</v>
      </c>
      <c r="M38" s="1099">
        <f ca="1"/>
        <v>0</v>
      </c>
      <c r="N38" s="1099">
        <f ca="1"/>
        <v>0</v>
      </c>
      <c r="O38" s="1125">
        <f t="shared" ca="1" si="2"/>
        <v>0</v>
      </c>
    </row>
    <row r="39" spans="1:15" ht="18" customHeight="1">
      <c r="A39" s="1126" t="str">
        <f t="array" ref="A39:A42">'VAT 0'!A39:A42</f>
        <v>Sales subjetc to VAT</v>
      </c>
      <c r="B39" s="200"/>
      <c r="C39" s="1101">
        <f t="shared" ref="C39:N39" ca="1" si="3">SUMIF($B$31:$B$38,"&lt;&gt;0",C31:C38)</f>
        <v>1303.3392019800001</v>
      </c>
      <c r="D39" s="1102">
        <f t="shared" ca="1" si="3"/>
        <v>1303.3392019800001</v>
      </c>
      <c r="E39" s="1102">
        <f t="shared" ca="1" si="3"/>
        <v>1303.3392019800001</v>
      </c>
      <c r="F39" s="1102">
        <f t="shared" ca="1" si="3"/>
        <v>1303.3392019800001</v>
      </c>
      <c r="G39" s="1102">
        <f t="shared" ca="1" si="3"/>
        <v>1303.3392019800001</v>
      </c>
      <c r="H39" s="1102">
        <f t="shared" ca="1" si="3"/>
        <v>1303.3392019800001</v>
      </c>
      <c r="I39" s="1102">
        <f t="shared" ca="1" si="3"/>
        <v>1303.3392019800001</v>
      </c>
      <c r="J39" s="1102">
        <f t="shared" ca="1" si="3"/>
        <v>1303.3392019800001</v>
      </c>
      <c r="K39" s="1102">
        <f t="shared" ca="1" si="3"/>
        <v>1303.3392019800001</v>
      </c>
      <c r="L39" s="1102">
        <f t="shared" ca="1" si="3"/>
        <v>1303.3392019800001</v>
      </c>
      <c r="M39" s="1102">
        <f t="shared" ca="1" si="3"/>
        <v>1303.3392019800001</v>
      </c>
      <c r="N39" s="1103">
        <f t="shared" ca="1" si="3"/>
        <v>1303.3392019800001</v>
      </c>
      <c r="O39" s="1123">
        <f t="shared" ca="1" si="2"/>
        <v>15640.070423759998</v>
      </c>
    </row>
    <row r="40" spans="1:15" ht="18" customHeight="1">
      <c r="A40" s="1127" t="str">
        <v>Exempted VAT Sales</v>
      </c>
      <c r="B40" s="205"/>
      <c r="C40" s="1104">
        <f t="shared" ref="C40:N40" si="4">SUMIF($B$31:$B$38,"=0",C31:C38)</f>
        <v>0</v>
      </c>
      <c r="D40" s="1105">
        <f t="shared" si="4"/>
        <v>0</v>
      </c>
      <c r="E40" s="1105">
        <f t="shared" si="4"/>
        <v>0</v>
      </c>
      <c r="F40" s="1105">
        <f t="shared" si="4"/>
        <v>0</v>
      </c>
      <c r="G40" s="1105">
        <f t="shared" si="4"/>
        <v>0</v>
      </c>
      <c r="H40" s="1105">
        <f t="shared" si="4"/>
        <v>0</v>
      </c>
      <c r="I40" s="1105">
        <f t="shared" si="4"/>
        <v>0</v>
      </c>
      <c r="J40" s="1105">
        <f t="shared" si="4"/>
        <v>0</v>
      </c>
      <c r="K40" s="1105">
        <f t="shared" si="4"/>
        <v>0</v>
      </c>
      <c r="L40" s="1105">
        <f t="shared" si="4"/>
        <v>0</v>
      </c>
      <c r="M40" s="1105">
        <f t="shared" si="4"/>
        <v>0</v>
      </c>
      <c r="N40" s="1106">
        <f t="shared" si="4"/>
        <v>0</v>
      </c>
      <c r="O40" s="1124">
        <f t="shared" si="2"/>
        <v>0</v>
      </c>
    </row>
    <row r="41" spans="1:15" ht="18" customHeight="1">
      <c r="A41" s="1127" t="str">
        <v>Total Sales</v>
      </c>
      <c r="B41" s="205"/>
      <c r="C41" s="1104">
        <f t="array" aca="1" ref="C41:N41" ca="1">C40:N40+C39:N39</f>
        <v>1303.3392019800001</v>
      </c>
      <c r="D41" s="1105">
        <f ca="1"/>
        <v>1303.3392019800001</v>
      </c>
      <c r="E41" s="1105">
        <f ca="1"/>
        <v>1303.3392019800001</v>
      </c>
      <c r="F41" s="1105">
        <f ca="1"/>
        <v>1303.3392019800001</v>
      </c>
      <c r="G41" s="1105">
        <f ca="1"/>
        <v>1303.3392019800001</v>
      </c>
      <c r="H41" s="1105">
        <f ca="1"/>
        <v>1303.3392019800001</v>
      </c>
      <c r="I41" s="1105">
        <f ca="1"/>
        <v>1303.3392019800001</v>
      </c>
      <c r="J41" s="1105">
        <f ca="1"/>
        <v>1303.3392019800001</v>
      </c>
      <c r="K41" s="1105">
        <f ca="1"/>
        <v>1303.3392019800001</v>
      </c>
      <c r="L41" s="1105">
        <f ca="1"/>
        <v>1303.3392019800001</v>
      </c>
      <c r="M41" s="1105">
        <f ca="1"/>
        <v>1303.3392019800001</v>
      </c>
      <c r="N41" s="1106">
        <f ca="1"/>
        <v>1303.3392019800001</v>
      </c>
      <c r="O41" s="1124">
        <f t="shared" ca="1" si="2"/>
        <v>15640.070423759998</v>
      </c>
    </row>
    <row r="42" spans="1:15" ht="18" customHeight="1" thickBot="1">
      <c r="A42" s="1128" t="str">
        <v>Pro rata coefficients</v>
      </c>
      <c r="B42" s="206"/>
      <c r="C42" s="2515">
        <f ca="1">+'VAT 3'!O42</f>
        <v>1</v>
      </c>
      <c r="D42" s="3195">
        <f ca="1">IF(IVAmensual=1,    IF(OR(IVAcc,D41&lt;0.1),1,D39/D41), 0)*0</f>
        <v>0</v>
      </c>
      <c r="E42" s="3195">
        <f ca="1">IF(IVAmensual=1,    IF(OR(IVAcc,E41&lt;0.1),1,E39/E41),     IF(OR(IVAcc,SUM(C41:E41)&lt;0.4),1,SUM(C39:E39)/SUM(C41:E41)))*0</f>
        <v>0</v>
      </c>
      <c r="F42" s="3195">
        <f ca="1">IF(IVAmensual=1,    IF(OR(IVAcc,F41&lt;0.1),1,F39/F41), 0)*0</f>
        <v>0</v>
      </c>
      <c r="G42" s="3195">
        <f ca="1">IF(IVAmensual=1,    IF(OR(IVAcc,G41&lt;0.1),1,G39/G41), 0)*0</f>
        <v>0</v>
      </c>
      <c r="H42" s="3195">
        <f ca="1">IF(IVAmensual=1,    IF(OR(IVAcc,H41&lt;0.1),1,H39/H41),     IF(OR(IVAcc,SUM(F41:H41)&lt;0.4),1,SUM(F39:H39)/SUM(F41:H41)))*0</f>
        <v>0</v>
      </c>
      <c r="I42" s="3195">
        <f ca="1">IF(IVAmensual=1,    IF(OR(IVAcc,I41&lt;0.1),1,I39/I41), 0)*0</f>
        <v>0</v>
      </c>
      <c r="J42" s="3195">
        <f ca="1">IF(IVAmensual=1,    IF(OR(IVAcc,J41&lt;0.1),1,J39/J41), 0)*0</f>
        <v>0</v>
      </c>
      <c r="K42" s="3195">
        <f ca="1">IF(IVAmensual=1,    IF(OR(IVAcc,K41&lt;0.1),1,K39/K41),     IF(OR(IVAcc,SUM(I41:K41)&lt;0.4),1,SUM(I39:K39)/SUM(I41:K41)))*0</f>
        <v>0</v>
      </c>
      <c r="L42" s="3195">
        <f ca="1">IF(IVAmensual=1,    IF(OR(IVAcc,L41&lt;0.1),1,L39/L41), 0)*0</f>
        <v>0</v>
      </c>
      <c r="M42" s="3195">
        <f ca="1">IF(IVAmensual=1,    IF(OR(IVAcc,M41&lt;0.1),1,M39/M41), 0)*0</f>
        <v>0</v>
      </c>
      <c r="N42" s="3195">
        <f ca="1">IF(IVAmensual=1,    IF(OR(IVAcc,N41&lt;0.1),1,N39/N41),     IF(OR(IVAcc,SUM(L41:N41)&lt;0.4),1,SUM(L39:N39)/SUM(L41:N41)))*0</f>
        <v>0</v>
      </c>
      <c r="O42" s="3196">
        <f ca="1" xml:space="preserve"> IF(OR(IVAcc, O41&lt;0.4), 1, O39/O41   )</f>
        <v>1</v>
      </c>
    </row>
  </sheetData>
  <sheetProtection sheet="1" objects="1" scenarios="1"/>
  <phoneticPr fontId="7" type="noConversion"/>
  <conditionalFormatting sqref="C31:N38">
    <cfRule type="expression" dxfId="8" priority="1" stopIfTrue="1">
      <formula>C31=""</formula>
    </cfRule>
  </conditionalFormatting>
  <printOptions horizontalCentered="1"/>
  <pageMargins left="0.57999999999999996" right="0.75" top="0.46" bottom="0.89" header="0" footer="0"/>
  <pageSetup paperSize="9" scale="68" orientation="landscape" horizont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53">
    <pageSetUpPr fitToPage="1"/>
  </sheetPr>
  <dimension ref="A1:F54"/>
  <sheetViews>
    <sheetView showGridLines="0" topLeftCell="A25" zoomScaleNormal="100" workbookViewId="0">
      <selection activeCell="D57" sqref="D57"/>
    </sheetView>
  </sheetViews>
  <sheetFormatPr baseColWidth="10" defaultColWidth="11" defaultRowHeight="15"/>
  <cols>
    <col min="1" max="1" width="32.875" style="35" customWidth="1"/>
    <col min="2" max="2" width="10.75" style="35" customWidth="1"/>
    <col min="3" max="6" width="11.125" style="35" customWidth="1"/>
    <col min="7" max="16384" width="11" style="35"/>
  </cols>
  <sheetData>
    <row r="1" spans="1:6" s="97" customFormat="1" ht="22.5">
      <c r="A1" s="66" t="s">
        <v>716</v>
      </c>
      <c r="B1" s="250"/>
      <c r="C1" s="66"/>
      <c r="D1" s="66"/>
      <c r="E1" s="66"/>
    </row>
    <row r="2" spans="1:6" s="97" customFormat="1" ht="22.5">
      <c r="A2" s="66" t="str">
        <f>'Base Data'!B9</f>
        <v>WWW, Ltd.</v>
      </c>
      <c r="B2" s="250"/>
      <c r="C2" s="66"/>
      <c r="D2" s="66"/>
      <c r="E2" s="66"/>
      <c r="F2" s="66"/>
    </row>
    <row r="3" spans="1:6" ht="15.75" thickBot="1"/>
    <row r="4" spans="1:6" ht="29.25" thickBot="1">
      <c r="A4" s="16" t="s">
        <v>717</v>
      </c>
      <c r="B4" s="2100" t="str">
        <f t="array" ref="B4:F4">anni</f>
        <v>Year 0:   2026</v>
      </c>
      <c r="C4" s="2101" t="str">
        <v>Year 1:   2027</v>
      </c>
      <c r="D4" s="2100" t="str">
        <v>Year 2:   2028</v>
      </c>
      <c r="E4" s="2101" t="str">
        <v>Year 3:   2029</v>
      </c>
      <c r="F4" s="2100" t="str">
        <v>Year 4:   2030</v>
      </c>
    </row>
    <row r="5" spans="1:6">
      <c r="A5" s="241" t="str">
        <f t="array" ref="A5:A12">catlaborales</f>
        <v>Working Owners / Self employees</v>
      </c>
      <c r="B5" s="2667">
        <f t="array" ref="B5:B12">'Fixed Expenses 0'!N7:N14</f>
        <v>14400</v>
      </c>
      <c r="C5" s="2668">
        <f t="array" ref="C5:C12">'Fixed Expenses 1'!N7:N14</f>
        <v>14976</v>
      </c>
      <c r="D5" s="2667">
        <f t="array" ref="D5:D12">'Fixed Expenses 2'!N7:N14</f>
        <v>15575.04</v>
      </c>
      <c r="E5" s="2668">
        <f t="array" ref="E5:E12">'Fixed Expenses 3'!N7:N14</f>
        <v>16198.041600000004</v>
      </c>
      <c r="F5" s="2667">
        <f t="array" ref="F5:F12">'Fixed Expenses 4'!N7:N14</f>
        <v>16845.963263999998</v>
      </c>
    </row>
    <row r="6" spans="1:6">
      <c r="A6" s="241" t="str">
        <v>Other non staff not employees</v>
      </c>
      <c r="B6" s="2667">
        <v>0</v>
      </c>
      <c r="C6" s="2668">
        <v>0</v>
      </c>
      <c r="D6" s="2667">
        <v>0</v>
      </c>
      <c r="E6" s="2668">
        <v>0</v>
      </c>
      <c r="F6" s="2667">
        <v>0</v>
      </c>
    </row>
    <row r="7" spans="1:6">
      <c r="A7" s="241" t="str">
        <v>Staff / employees</v>
      </c>
      <c r="B7" s="2667">
        <v>0</v>
      </c>
      <c r="C7" s="2668">
        <v>0</v>
      </c>
      <c r="D7" s="2667">
        <v>0</v>
      </c>
      <c r="E7" s="2668">
        <v>0</v>
      </c>
      <c r="F7" s="2667">
        <v>0</v>
      </c>
    </row>
    <row r="8" spans="1:6">
      <c r="A8" s="241" t="str">
        <v/>
      </c>
      <c r="B8" s="2667">
        <v>0</v>
      </c>
      <c r="C8" s="2668">
        <v>0</v>
      </c>
      <c r="D8" s="2667">
        <v>0</v>
      </c>
      <c r="E8" s="2668">
        <v>0</v>
      </c>
      <c r="F8" s="2667">
        <v>0</v>
      </c>
    </row>
    <row r="9" spans="1:6">
      <c r="A9" s="242" t="str">
        <v/>
      </c>
      <c r="B9" s="2667">
        <v>0</v>
      </c>
      <c r="C9" s="2668">
        <v>0</v>
      </c>
      <c r="D9" s="2667">
        <v>0</v>
      </c>
      <c r="E9" s="2668">
        <v>0</v>
      </c>
      <c r="F9" s="2667">
        <v>0</v>
      </c>
    </row>
    <row r="10" spans="1:6">
      <c r="A10" s="241" t="str">
        <v/>
      </c>
      <c r="B10" s="2667">
        <v>0</v>
      </c>
      <c r="C10" s="2668">
        <v>0</v>
      </c>
      <c r="D10" s="2667">
        <v>0</v>
      </c>
      <c r="E10" s="2668">
        <v>0</v>
      </c>
      <c r="F10" s="2667">
        <v>0</v>
      </c>
    </row>
    <row r="11" spans="1:6">
      <c r="A11" s="241" t="str">
        <v/>
      </c>
      <c r="B11" s="2667">
        <v>0</v>
      </c>
      <c r="C11" s="2668">
        <v>0</v>
      </c>
      <c r="D11" s="2667">
        <v>0</v>
      </c>
      <c r="E11" s="2668">
        <v>0</v>
      </c>
      <c r="F11" s="2667">
        <v>0</v>
      </c>
    </row>
    <row r="12" spans="1:6" ht="15.75" thickBot="1">
      <c r="A12" s="241" t="str">
        <v/>
      </c>
      <c r="B12" s="2667">
        <v>0</v>
      </c>
      <c r="C12" s="2668">
        <v>0</v>
      </c>
      <c r="D12" s="2667">
        <v>0</v>
      </c>
      <c r="E12" s="2668">
        <v>0</v>
      </c>
      <c r="F12" s="2667">
        <v>0</v>
      </c>
    </row>
    <row r="13" spans="1:6" ht="15.75" thickBot="1">
      <c r="A13" s="249" t="s">
        <v>718</v>
      </c>
      <c r="B13" s="421">
        <f>SUM(B5:B12)</f>
        <v>14400</v>
      </c>
      <c r="C13" s="1747">
        <f>SUM(C5:C12)</f>
        <v>14976</v>
      </c>
      <c r="D13" s="421">
        <f>SUM(D5:D12)</f>
        <v>15575.04</v>
      </c>
      <c r="E13" s="1747">
        <f>SUM(E5:E12)</f>
        <v>16198.041600000004</v>
      </c>
      <c r="F13" s="421">
        <f>SUM(F5:F12)</f>
        <v>16845.963263999998</v>
      </c>
    </row>
    <row r="14" spans="1:6" ht="9.75" customHeight="1" thickBot="1">
      <c r="A14" s="246"/>
      <c r="B14" s="252"/>
      <c r="C14" s="252"/>
      <c r="D14" s="252"/>
      <c r="E14" s="252"/>
      <c r="F14" s="1748"/>
    </row>
    <row r="15" spans="1:6" ht="29.25" thickBot="1">
      <c r="A15" s="16" t="str">
        <f t="array" ref="A15:A18">'Fixed Expenses 0'!A17:A20</f>
        <v>Social Security</v>
      </c>
      <c r="B15" s="2100" t="str">
        <f t="array" ref="B15:F15">anni</f>
        <v>Year 0:   2026</v>
      </c>
      <c r="C15" s="2101" t="str">
        <v>Year 1:   2027</v>
      </c>
      <c r="D15" s="2100" t="str">
        <v>Year 2:   2028</v>
      </c>
      <c r="E15" s="2101" t="str">
        <v>Year 3:   2029</v>
      </c>
      <c r="F15" s="2100" t="str">
        <v>Year 4:   2030</v>
      </c>
    </row>
    <row r="16" spans="1:6">
      <c r="A16" s="241" t="str">
        <v>Partners Social Security</v>
      </c>
      <c r="B16" s="1745">
        <f t="array" ref="B16:B17">'Fixed Expenses 0'!N18:N19</f>
        <v>1032</v>
      </c>
      <c r="C16" s="1746">
        <f t="array" ref="C16:C17">'Fixed Expenses 1'!N18:N19</f>
        <v>960</v>
      </c>
      <c r="D16" s="1745">
        <f t="array" ref="D16:D17">'Fixed Expenses 2'!N18:N19</f>
        <v>960</v>
      </c>
      <c r="E16" s="1746">
        <f t="array" ref="E16:E17">'Fixed Expenses 3'!N18:N19</f>
        <v>960</v>
      </c>
      <c r="F16" s="1745">
        <f t="array" ref="F16:F17">'Fixed Expenses 4'!N18:N19</f>
        <v>960</v>
      </c>
    </row>
    <row r="17" spans="1:6" ht="15.75" thickBot="1">
      <c r="A17" s="244" t="str">
        <v>Employees Social Security</v>
      </c>
      <c r="B17" s="1749">
        <v>0</v>
      </c>
      <c r="C17" s="1750">
        <v>0</v>
      </c>
      <c r="D17" s="1749">
        <v>0</v>
      </c>
      <c r="E17" s="1750">
        <v>0</v>
      </c>
      <c r="F17" s="1749">
        <v>0</v>
      </c>
    </row>
    <row r="18" spans="1:6" ht="15.75" thickBot="1">
      <c r="A18" s="249" t="str">
        <v>Total Social Security</v>
      </c>
      <c r="B18" s="421">
        <f>SUM(B16:B17)</f>
        <v>1032</v>
      </c>
      <c r="C18" s="1747">
        <f>SUM(C16:C17)</f>
        <v>960</v>
      </c>
      <c r="D18" s="421">
        <f>SUM(D16:D17)</f>
        <v>960</v>
      </c>
      <c r="E18" s="1747">
        <f>SUM(E16:E17)</f>
        <v>960</v>
      </c>
      <c r="F18" s="421">
        <f>SUM(F16:F17)</f>
        <v>960</v>
      </c>
    </row>
    <row r="19" spans="1:6" ht="9.75" customHeight="1" thickBot="1">
      <c r="A19" s="246"/>
      <c r="B19" s="252"/>
      <c r="C19" s="252"/>
      <c r="D19" s="252"/>
      <c r="E19" s="252"/>
      <c r="F19" s="1748"/>
    </row>
    <row r="20" spans="1:6" ht="29.25" thickBot="1">
      <c r="A20" s="2436" t="str">
        <f t="array" ref="A20:A23">'Fixed Expenses 0'!A22:A25</f>
        <v>Labour Registrations &amp; Cancellations</v>
      </c>
      <c r="B20" s="2100" t="str">
        <f t="array" ref="B20:F20">anni</f>
        <v>Year 0:   2026</v>
      </c>
      <c r="C20" s="2101" t="str">
        <v>Year 1:   2027</v>
      </c>
      <c r="D20" s="2100" t="str">
        <v>Year 2:   2028</v>
      </c>
      <c r="E20" s="2101" t="str">
        <v>Year 3:   2029</v>
      </c>
      <c r="F20" s="2100" t="str">
        <v>Year 4:   2030</v>
      </c>
    </row>
    <row r="21" spans="1:6">
      <c r="A21" s="1704" t="str">
        <v>Partners registrations &amp; cancellations</v>
      </c>
      <c r="B21" s="2667">
        <f t="array" ref="B21:B22">'Fixed Expenses 0'!N23:N24</f>
        <v>0</v>
      </c>
      <c r="C21" s="2668">
        <f t="array" ref="C21:C22">'Fixed Expenses 1'!N23:N24</f>
        <v>0</v>
      </c>
      <c r="D21" s="2667">
        <f t="array" ref="D21:D22">'Fixed Expenses 2'!N23:N24</f>
        <v>0</v>
      </c>
      <c r="E21" s="2668">
        <f t="array" ref="E21:E22">'Fixed Expenses 3'!N23:N24</f>
        <v>0</v>
      </c>
      <c r="F21" s="2667">
        <f t="array" ref="F21:F22">'Fixed Expenses 4'!N23:N24</f>
        <v>0</v>
      </c>
    </row>
    <row r="22" spans="1:6" ht="15.75" thickBot="1">
      <c r="A22" s="1704" t="str">
        <v>Employees registrations &amp; cancellations</v>
      </c>
      <c r="B22" s="2667">
        <v>0</v>
      </c>
      <c r="C22" s="2668">
        <v>0</v>
      </c>
      <c r="D22" s="2667">
        <v>0</v>
      </c>
      <c r="E22" s="2668">
        <v>0</v>
      </c>
      <c r="F22" s="2667">
        <v>0</v>
      </c>
    </row>
    <row r="23" spans="1:6" ht="15.75" thickBot="1">
      <c r="A23" s="1122" t="str">
        <v>Total Labour Registrations &amp; Cancellations</v>
      </c>
      <c r="B23" s="421">
        <f>SUM(B21:B22)</f>
        <v>0</v>
      </c>
      <c r="C23" s="1747">
        <f>SUM(C21:C22)</f>
        <v>0</v>
      </c>
      <c r="D23" s="421">
        <f>SUM(D21:D22)</f>
        <v>0</v>
      </c>
      <c r="E23" s="1747">
        <f>SUM(E21:E22)</f>
        <v>0</v>
      </c>
      <c r="F23" s="421">
        <f>SUM(F21:F22)</f>
        <v>0</v>
      </c>
    </row>
    <row r="24" spans="1:6" ht="9" customHeight="1" thickBot="1">
      <c r="A24" s="243"/>
      <c r="B24" s="1751"/>
      <c r="C24" s="1751"/>
      <c r="D24" s="1751"/>
      <c r="E24" s="1751"/>
      <c r="F24" s="1751"/>
    </row>
    <row r="25" spans="1:6" ht="15.75" thickBot="1">
      <c r="A25" s="2418" t="str">
        <f>'Fixed Expenses 0'!A27</f>
        <v>Total Labour Expenses</v>
      </c>
      <c r="B25" s="421">
        <f t="array" ref="B25:F25">B13:F13+B18:F18+B23:F23</f>
        <v>15432</v>
      </c>
      <c r="C25" s="421">
        <v>15936</v>
      </c>
      <c r="D25" s="421">
        <v>16535.04</v>
      </c>
      <c r="E25" s="421">
        <v>17158.041600000004</v>
      </c>
      <c r="F25" s="421">
        <v>17805.963263999998</v>
      </c>
    </row>
    <row r="26" spans="1:6">
      <c r="A26" s="86"/>
      <c r="B26" s="1970" t="str">
        <f>'Executive Summary'!B53</f>
        <v/>
      </c>
      <c r="C26" s="84"/>
      <c r="D26" s="84"/>
      <c r="E26" s="84"/>
      <c r="F26" s="84"/>
    </row>
    <row r="27" spans="1:6" ht="15.75" thickBot="1">
      <c r="A27" s="86"/>
      <c r="B27" s="1752"/>
      <c r="C27" s="84"/>
      <c r="D27" s="84"/>
      <c r="E27" s="84"/>
      <c r="F27" s="84"/>
    </row>
    <row r="28" spans="1:6" ht="29.25" thickBot="1">
      <c r="A28" s="2781" t="str">
        <f>'Fixed Expenses 0'!A32</f>
        <v>Other Fixed Expenses</v>
      </c>
      <c r="B28" s="2100" t="str">
        <f t="array" ref="B28:F28">anni</f>
        <v>Year 0:   2026</v>
      </c>
      <c r="C28" s="2101" t="str">
        <v>Year 1:   2027</v>
      </c>
      <c r="D28" s="2100" t="str">
        <v>Year 2:   2028</v>
      </c>
      <c r="E28" s="2101" t="str">
        <v>Year 3:   2029</v>
      </c>
      <c r="F28" s="2100" t="str">
        <v>Year 4:   2030</v>
      </c>
    </row>
    <row r="29" spans="1:6">
      <c r="A29" s="1704" t="str">
        <f t="array" ref="A29:A50">'Fixed Expenses Data'!A6:A27</f>
        <v xml:space="preserve">Fixed &amp; Other taxes </v>
      </c>
      <c r="B29" s="2665">
        <f t="array" ref="B29:B50">'Fixed Expenses 0'!$N33:N54</f>
        <v>0</v>
      </c>
      <c r="C29" s="2666">
        <f t="array" ref="C29:C50">'Fixed Expenses 1'!N33:N54</f>
        <v>0</v>
      </c>
      <c r="D29" s="2665">
        <f t="array" ref="D29:D50">'Fixed Expenses 2'!N33:N54</f>
        <v>0</v>
      </c>
      <c r="E29" s="2666">
        <f t="array" ref="E29:E50">'Fixed Expenses 3'!N33:N54</f>
        <v>0</v>
      </c>
      <c r="F29" s="2665">
        <f t="array" ref="F29:F50">'Fixed Expenses 4'!N33:N54</f>
        <v>0</v>
      </c>
    </row>
    <row r="30" spans="1:6">
      <c r="A30" s="1704" t="str">
        <v>Other fixed expenses ( VAT exempted)</v>
      </c>
      <c r="B30" s="2667">
        <v>0</v>
      </c>
      <c r="C30" s="2668">
        <v>0</v>
      </c>
      <c r="D30" s="2667">
        <v>0</v>
      </c>
      <c r="E30" s="2668">
        <v>0</v>
      </c>
      <c r="F30" s="2667">
        <v>0</v>
      </c>
    </row>
    <row r="31" spans="1:6">
      <c r="A31" s="1704" t="str">
        <v>Insurance fees</v>
      </c>
      <c r="B31" s="2667">
        <v>0</v>
      </c>
      <c r="C31" s="2668">
        <v>0</v>
      </c>
      <c r="D31" s="2667">
        <v>0</v>
      </c>
      <c r="E31" s="2668">
        <v>0</v>
      </c>
      <c r="F31" s="2667">
        <v>0</v>
      </c>
    </row>
    <row r="32" spans="1:6">
      <c r="A32" s="1704" t="str">
        <v>Professional asociation /board /council</v>
      </c>
      <c r="B32" s="2667">
        <v>0</v>
      </c>
      <c r="C32" s="2668">
        <v>0</v>
      </c>
      <c r="D32" s="2667">
        <v>0</v>
      </c>
      <c r="E32" s="2668">
        <v>0</v>
      </c>
      <c r="F32" s="2667">
        <v>0</v>
      </c>
    </row>
    <row r="33" spans="1:6">
      <c r="A33" s="1704" t="str">
        <v>Electricity (Low Season)</v>
      </c>
      <c r="B33" s="2667">
        <v>0</v>
      </c>
      <c r="C33" s="2668">
        <v>0</v>
      </c>
      <c r="D33" s="2667">
        <v>0</v>
      </c>
      <c r="E33" s="2668">
        <v>0</v>
      </c>
      <c r="F33" s="2667">
        <v>0</v>
      </c>
    </row>
    <row r="34" spans="1:6">
      <c r="A34" s="1704" t="str">
        <v>Electricity (High Season)</v>
      </c>
      <c r="B34" s="2667">
        <v>0</v>
      </c>
      <c r="C34" s="2668">
        <v>0</v>
      </c>
      <c r="D34" s="2667">
        <v>0</v>
      </c>
      <c r="E34" s="2668">
        <v>0</v>
      </c>
      <c r="F34" s="2667">
        <v>0</v>
      </c>
    </row>
    <row r="35" spans="1:6">
      <c r="A35" s="1704" t="str">
        <v>Water supply, sanitation &amp; garbage fees</v>
      </c>
      <c r="B35" s="2667">
        <v>0</v>
      </c>
      <c r="C35" s="2668">
        <v>0</v>
      </c>
      <c r="D35" s="2667">
        <v>0</v>
      </c>
      <c r="E35" s="2668">
        <v>0</v>
      </c>
      <c r="F35" s="2667">
        <v>0</v>
      </c>
    </row>
    <row r="36" spans="1:6">
      <c r="A36" s="1704" t="str">
        <v>Other supplies (gas, etc.)</v>
      </c>
      <c r="B36" s="2667">
        <v>0</v>
      </c>
      <c r="C36" s="2668">
        <v>0</v>
      </c>
      <c r="D36" s="2667">
        <v>0</v>
      </c>
      <c r="E36" s="2668">
        <v>0</v>
      </c>
      <c r="F36" s="2667">
        <v>0</v>
      </c>
    </row>
    <row r="37" spans="1:6">
      <c r="A37" s="1704" t="str">
        <v>Phone / internet conection</v>
      </c>
      <c r="B37" s="2667">
        <v>0</v>
      </c>
      <c r="C37" s="2668">
        <v>0</v>
      </c>
      <c r="D37" s="2667">
        <v>0</v>
      </c>
      <c r="E37" s="2668">
        <v>0</v>
      </c>
      <c r="F37" s="2667">
        <v>0</v>
      </c>
    </row>
    <row r="38" spans="1:6">
      <c r="A38" s="1704" t="str">
        <v>Web services &amp; hosting</v>
      </c>
      <c r="B38" s="2667">
        <v>0</v>
      </c>
      <c r="C38" s="2668">
        <v>0</v>
      </c>
      <c r="D38" s="2667">
        <v>0</v>
      </c>
      <c r="E38" s="2668">
        <v>0</v>
      </c>
      <c r="F38" s="2667">
        <v>0</v>
      </c>
    </row>
    <row r="39" spans="1:6">
      <c r="A39" s="1704" t="str">
        <v>Alarm / Security service</v>
      </c>
      <c r="B39" s="2667">
        <v>0</v>
      </c>
      <c r="C39" s="2668">
        <v>0</v>
      </c>
      <c r="D39" s="2667">
        <v>0</v>
      </c>
      <c r="E39" s="2668">
        <v>0</v>
      </c>
      <c r="F39" s="2667">
        <v>0</v>
      </c>
    </row>
    <row r="40" spans="1:6">
      <c r="A40" s="1704" t="str">
        <v>stationery/office supplies</v>
      </c>
      <c r="B40" s="2667">
        <v>0</v>
      </c>
      <c r="C40" s="2668">
        <v>0</v>
      </c>
      <c r="D40" s="2667">
        <v>0</v>
      </c>
      <c r="E40" s="2668">
        <v>0</v>
      </c>
      <c r="F40" s="2667">
        <v>0</v>
      </c>
    </row>
    <row r="41" spans="1:6">
      <c r="A41" s="1704" t="str">
        <v xml:space="preserve">Congresses / Profesional Fairs </v>
      </c>
      <c r="B41" s="2667">
        <v>0</v>
      </c>
      <c r="C41" s="2668">
        <v>0</v>
      </c>
      <c r="D41" s="2667">
        <v>0</v>
      </c>
      <c r="E41" s="2668">
        <v>0</v>
      </c>
      <c r="F41" s="2667">
        <v>0</v>
      </c>
    </row>
    <row r="42" spans="1:6">
      <c r="A42" s="1704" t="str">
        <v>Transportation &amp; Travelling</v>
      </c>
      <c r="B42" s="2667">
        <v>0</v>
      </c>
      <c r="C42" s="2668">
        <v>0</v>
      </c>
      <c r="D42" s="2667">
        <v>0</v>
      </c>
      <c r="E42" s="2668">
        <v>0</v>
      </c>
      <c r="F42" s="2667">
        <v>0</v>
      </c>
    </row>
    <row r="43" spans="1:6">
      <c r="A43" s="1704" t="str">
        <v>Consultants &amp; independent professionals</v>
      </c>
      <c r="B43" s="2667">
        <v>0</v>
      </c>
      <c r="C43" s="2668">
        <v>0</v>
      </c>
      <c r="D43" s="2667">
        <v>0</v>
      </c>
      <c r="E43" s="2668">
        <v>0</v>
      </c>
      <c r="F43" s="2667">
        <v>0</v>
      </c>
    </row>
    <row r="44" spans="1:6">
      <c r="A44" s="1704" t="str">
        <v>Rental fees &amp; expenses</v>
      </c>
      <c r="B44" s="2667">
        <v>0</v>
      </c>
      <c r="C44" s="2668">
        <v>0</v>
      </c>
      <c r="D44" s="2667">
        <v>0</v>
      </c>
      <c r="E44" s="2668">
        <v>0</v>
      </c>
      <c r="F44" s="2667">
        <v>0</v>
      </c>
    </row>
    <row r="45" spans="1:6">
      <c r="A45" s="1704" t="str">
        <v>Online Variable Marketing expenses</v>
      </c>
      <c r="B45" s="2667">
        <f ca="1"/>
        <v>71.999999999999986</v>
      </c>
      <c r="C45" s="2668">
        <f ca="1"/>
        <v>123.59999999999998</v>
      </c>
      <c r="D45" s="2667">
        <f ca="1"/>
        <v>133.67339999999999</v>
      </c>
      <c r="E45" s="2668">
        <f ca="1"/>
        <v>144.63334572000005</v>
      </c>
      <c r="F45" s="2667">
        <f ca="1"/>
        <v>156.40070423760002</v>
      </c>
    </row>
    <row r="46" spans="1:6">
      <c r="A46" s="1704" t="str">
        <v>Online Fixed Marketing expenses</v>
      </c>
      <c r="B46" s="2667">
        <v>0</v>
      </c>
      <c r="C46" s="2668">
        <v>0</v>
      </c>
      <c r="D46" s="2667">
        <v>0</v>
      </c>
      <c r="E46" s="2668">
        <v>0</v>
      </c>
      <c r="F46" s="2667">
        <v>0</v>
      </c>
    </row>
    <row r="47" spans="1:6">
      <c r="A47" s="1704" t="str">
        <v>Offline Variable Marketing expenses</v>
      </c>
      <c r="B47" s="2667">
        <f ca="1"/>
        <v>143.99999999999997</v>
      </c>
      <c r="C47" s="2668">
        <f ca="1"/>
        <v>247.19999999999996</v>
      </c>
      <c r="D47" s="2667">
        <f ca="1"/>
        <v>267.34679999999997</v>
      </c>
      <c r="E47" s="2668">
        <f ca="1"/>
        <v>289.2666914400001</v>
      </c>
      <c r="F47" s="2667">
        <f ca="1"/>
        <v>312.80140847520005</v>
      </c>
    </row>
    <row r="48" spans="1:6">
      <c r="A48" s="1704" t="str">
        <v>Offline Fixed Marketing expenses</v>
      </c>
      <c r="B48" s="2667">
        <v>0</v>
      </c>
      <c r="C48" s="2668">
        <v>0</v>
      </c>
      <c r="D48" s="2667">
        <v>0</v>
      </c>
      <c r="E48" s="2668">
        <v>0</v>
      </c>
      <c r="F48" s="2667">
        <v>0</v>
      </c>
    </row>
    <row r="49" spans="1:6">
      <c r="A49" s="1704" t="str">
        <v>Maintenance &amp; repairs</v>
      </c>
      <c r="B49" s="2667">
        <v>0</v>
      </c>
      <c r="C49" s="2668">
        <v>0</v>
      </c>
      <c r="D49" s="2667">
        <v>0</v>
      </c>
      <c r="E49" s="2668">
        <v>0</v>
      </c>
      <c r="F49" s="2667">
        <v>0</v>
      </c>
    </row>
    <row r="50" spans="1:6" ht="15.75" thickBot="1">
      <c r="A50" s="1704" t="str">
        <v>Other unexpected expenses</v>
      </c>
      <c r="B50" s="2667">
        <f ca="1"/>
        <v>21.600000000000005</v>
      </c>
      <c r="C50" s="2668">
        <f ca="1"/>
        <v>22.463999999999999</v>
      </c>
      <c r="D50" s="2667">
        <f ca="1"/>
        <v>23.362560000000006</v>
      </c>
      <c r="E50" s="2668">
        <f ca="1"/>
        <v>24.297062400000012</v>
      </c>
      <c r="F50" s="2667">
        <f ca="1"/>
        <v>25.268944896000004</v>
      </c>
    </row>
    <row r="51" spans="1:6" ht="15.75" thickBot="1">
      <c r="A51" s="2437" t="s">
        <v>720</v>
      </c>
      <c r="B51" s="421">
        <f t="shared" ref="B51:F51" ca="1" si="0">SUM(B29:B50)</f>
        <v>237.59999999999994</v>
      </c>
      <c r="C51" s="1747">
        <f t="shared" ca="1" si="0"/>
        <v>393.26399999999995</v>
      </c>
      <c r="D51" s="421">
        <f t="shared" ca="1" si="0"/>
        <v>424.38275999999996</v>
      </c>
      <c r="E51" s="1747">
        <f t="shared" ca="1" si="0"/>
        <v>458.19709956000014</v>
      </c>
      <c r="F51" s="421">
        <f t="shared" ca="1" si="0"/>
        <v>494.47105760880004</v>
      </c>
    </row>
    <row r="52" spans="1:6" ht="15.75" thickBot="1">
      <c r="A52" s="1753"/>
    </row>
    <row r="53" spans="1:6" ht="15.75" thickBot="1">
      <c r="A53" s="2418" t="s">
        <v>719</v>
      </c>
      <c r="B53" s="421">
        <f t="array" aca="1" ref="B53:F53" ca="1">B25:F25+B51:F51</f>
        <v>15669.6</v>
      </c>
      <c r="C53" s="421">
        <f ca="1"/>
        <v>16329.263999999999</v>
      </c>
      <c r="D53" s="421">
        <f ca="1"/>
        <v>16959.422760000001</v>
      </c>
      <c r="E53" s="421">
        <f ca="1"/>
        <v>17616.238699560003</v>
      </c>
      <c r="F53" s="421">
        <f ca="1"/>
        <v>18300.434321608798</v>
      </c>
    </row>
    <row r="54" spans="1:6">
      <c r="B54" s="1970" t="str">
        <f>B26</f>
        <v/>
      </c>
    </row>
  </sheetData>
  <sheetProtection sheet="1" objects="1" scenarios="1"/>
  <phoneticPr fontId="7" type="noConversion"/>
  <printOptions horizontalCentered="1"/>
  <pageMargins left="0.75" right="0.75" top="0.6692913385826772" bottom="0.52" header="0" footer="0"/>
  <pageSetup paperSize="9" scale="94" orientation="portrait" horizontalDpi="300" r:id="rId1"/>
  <headerFooter alignWithMargins="0"/>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36">
    <pageSetUpPr fitToPage="1"/>
  </sheetPr>
  <dimension ref="A1:O43"/>
  <sheetViews>
    <sheetView showGridLines="0" zoomScale="75" zoomScaleNormal="75" workbookViewId="0">
      <selection activeCell="A21" sqref="A21"/>
    </sheetView>
  </sheetViews>
  <sheetFormatPr baseColWidth="10" defaultColWidth="11" defaultRowHeight="15"/>
  <cols>
    <col min="1" max="1" width="36.375" style="20" customWidth="1"/>
    <col min="2" max="2" width="16.75" style="20" customWidth="1"/>
    <col min="3" max="3" width="14.875" style="21" customWidth="1"/>
    <col min="4" max="8" width="13.5" style="21" customWidth="1"/>
    <col min="9" max="10" width="13.625" style="21" customWidth="1"/>
    <col min="11" max="11" width="15.125" style="21" customWidth="1"/>
    <col min="12" max="12" width="14.875" style="21" customWidth="1"/>
    <col min="13" max="15" width="14.25" style="19" bestFit="1" customWidth="1"/>
    <col min="16" max="16384" width="11" style="20"/>
  </cols>
  <sheetData>
    <row r="1" spans="1:13" ht="25.5">
      <c r="A1" s="552" t="s">
        <v>721</v>
      </c>
      <c r="B1" s="17"/>
      <c r="C1" s="18"/>
      <c r="D1" s="18"/>
      <c r="E1" s="18"/>
      <c r="F1" s="18"/>
      <c r="G1" s="18"/>
      <c r="H1" s="18"/>
      <c r="I1" s="18"/>
      <c r="J1" s="18"/>
      <c r="K1" s="18"/>
      <c r="L1" s="18"/>
      <c r="M1" s="553"/>
    </row>
    <row r="2" spans="1:13" ht="25.5">
      <c r="A2" s="552" t="str">
        <f>'Base Data'!$B$9</f>
        <v>WWW, Ltd.</v>
      </c>
      <c r="B2" s="17"/>
      <c r="C2" s="18"/>
      <c r="D2" s="18"/>
      <c r="E2" s="18"/>
      <c r="F2" s="18"/>
      <c r="G2" s="18"/>
      <c r="H2" s="18"/>
      <c r="I2" s="18"/>
      <c r="J2" s="18"/>
      <c r="K2" s="18"/>
      <c r="L2" s="18"/>
    </row>
    <row r="3" spans="1:13" ht="13.5" customHeight="1" thickBot="1"/>
    <row r="4" spans="1:13" s="22" customFormat="1" ht="30.75" customHeight="1" thickBot="1">
      <c r="A4" s="3293" t="s">
        <v>725</v>
      </c>
      <c r="B4" s="2059" t="s">
        <v>722</v>
      </c>
      <c r="C4" s="2060" t="s">
        <v>724</v>
      </c>
      <c r="D4" s="2061" t="str">
        <f>CONCATENATE("Net Invest ",'Base Data'!B18)</f>
        <v>Net Invest Year 0</v>
      </c>
      <c r="E4" s="2061" t="str">
        <f>CONCATENATE("Net Invest Year ",'Base Data'!C18)</f>
        <v>Net Invest Year 1</v>
      </c>
      <c r="F4" s="2061" t="str">
        <f>CONCATENATE("Net Invest Year ",'Base Data'!D18)</f>
        <v>Net Invest Year 2</v>
      </c>
      <c r="G4" s="2061" t="str">
        <f>CONCATENATE("Net Invest Year ",'Base Data'!E18)</f>
        <v>Net Invest Year 3</v>
      </c>
      <c r="H4" s="2061" t="str">
        <f>CONCATENATE("Net Invest Year ",'Base Data'!F18)</f>
        <v>Net Invest Year 4</v>
      </c>
      <c r="J4" s="2813" t="s">
        <v>610</v>
      </c>
      <c r="K4" s="2814" t="s">
        <v>516</v>
      </c>
      <c r="L4" s="2815" t="s">
        <v>1106</v>
      </c>
    </row>
    <row r="5" spans="1:13" s="447" customFormat="1" ht="21.75" customHeight="1" thickBot="1">
      <c r="A5" s="3294"/>
      <c r="B5" s="2065" t="s">
        <v>723</v>
      </c>
      <c r="C5" s="2066" t="s">
        <v>490</v>
      </c>
      <c r="D5" s="2067" t="str">
        <f t="array" ref="D5:H5">Parameters!D65:H65</f>
        <v>2026</v>
      </c>
      <c r="E5" s="2067" t="str">
        <v>2027</v>
      </c>
      <c r="F5" s="2068" t="str">
        <v>2028</v>
      </c>
      <c r="G5" s="2068" t="str">
        <v>2029</v>
      </c>
      <c r="H5" s="2068" t="str">
        <v>2030</v>
      </c>
    </row>
    <row r="6" spans="1:13" s="31" customFormat="1" ht="23.25" customHeight="1">
      <c r="A6" s="2072" t="s">
        <v>580</v>
      </c>
      <c r="B6" s="2073">
        <f t="shared" ref="B6:H6" si="0">SUM(B7:B15)</f>
        <v>0</v>
      </c>
      <c r="C6" s="2074">
        <f t="shared" si="0"/>
        <v>0</v>
      </c>
      <c r="D6" s="1294">
        <f t="shared" si="0"/>
        <v>0</v>
      </c>
      <c r="E6" s="2075">
        <f t="shared" si="0"/>
        <v>0</v>
      </c>
      <c r="F6" s="2073">
        <f t="shared" si="0"/>
        <v>0</v>
      </c>
      <c r="G6" s="2073">
        <f t="shared" si="0"/>
        <v>0</v>
      </c>
      <c r="H6" s="2073">
        <f t="shared" si="0"/>
        <v>0</v>
      </c>
      <c r="J6" s="2073">
        <f>SUM(J7:J15)</f>
        <v>0</v>
      </c>
      <c r="K6" s="2073">
        <f>SUM(K7:K15)</f>
        <v>0</v>
      </c>
      <c r="L6" s="2073">
        <f>SUM(L7:L15)</f>
        <v>0</v>
      </c>
    </row>
    <row r="7" spans="1:13" s="23" customFormat="1" ht="18" customHeight="1">
      <c r="A7" s="2062" t="str">
        <f>'NCA Initial Invest.'!A6</f>
        <v>Land</v>
      </c>
      <c r="B7" s="1291">
        <f>'NCA Initial Invest.'!B6</f>
        <v>0</v>
      </c>
      <c r="C7" s="654"/>
      <c r="D7" s="1289">
        <f t="array" ref="D7:D15">B7:B15-C7:C15</f>
        <v>0</v>
      </c>
      <c r="E7" s="1288">
        <f>'NCA Additional Invest.'!C6</f>
        <v>0</v>
      </c>
      <c r="F7" s="1289">
        <f>'NCA Additional Invest.'!D6</f>
        <v>0</v>
      </c>
      <c r="G7" s="1289">
        <f>'NCA Additional Invest.'!E6</f>
        <v>0</v>
      </c>
      <c r="H7" s="1289">
        <f>'NCA Additional Invest.'!F6</f>
        <v>0</v>
      </c>
      <c r="J7" s="2835">
        <f>+'Prev. Initial Balance'!D14</f>
        <v>0</v>
      </c>
      <c r="K7" s="2835">
        <v>0</v>
      </c>
      <c r="L7" s="2835">
        <f t="shared" ref="L7:L17" si="1">J7+K7</f>
        <v>0</v>
      </c>
    </row>
    <row r="8" spans="1:13" ht="18" customHeight="1">
      <c r="A8" s="2062" t="str">
        <f>'NCA Initial Invest.'!A7</f>
        <v>Buildings &amp; constructions</v>
      </c>
      <c r="B8" s="1291">
        <f>'NCA Initial Invest.'!B10-B7</f>
        <v>0</v>
      </c>
      <c r="C8" s="1290">
        <f>'NCA Initial Invest.'!E10</f>
        <v>0</v>
      </c>
      <c r="D8" s="1289">
        <v>0</v>
      </c>
      <c r="E8" s="1288">
        <f>'NCA Additional Invest.'!C10-E7</f>
        <v>0</v>
      </c>
      <c r="F8" s="1289">
        <f>'NCA Additional Invest.'!D10-F7</f>
        <v>0</v>
      </c>
      <c r="G8" s="1289">
        <f>'NCA Additional Invest.'!E10-G7</f>
        <v>0</v>
      </c>
      <c r="H8" s="1289">
        <f>'NCA Additional Invest.'!F10-H7</f>
        <v>0</v>
      </c>
      <c r="J8" s="2835">
        <v>0</v>
      </c>
      <c r="K8" s="2835">
        <v>0</v>
      </c>
      <c r="L8" s="2835">
        <f t="shared" si="1"/>
        <v>0</v>
      </c>
    </row>
    <row r="9" spans="1:13" ht="18" customHeight="1">
      <c r="A9" s="2062" t="str">
        <f>MID('NCA Initial Invest.'!A20,7,40)</f>
        <v>Plant Facilities &amp; Services</v>
      </c>
      <c r="B9" s="1291">
        <f>'NCA Initial Invest.'!B20</f>
        <v>0</v>
      </c>
      <c r="C9" s="1290">
        <f>'NCA Initial Invest.'!E20</f>
        <v>0</v>
      </c>
      <c r="D9" s="1289">
        <v>0</v>
      </c>
      <c r="E9" s="1288">
        <f>'NCA Additional Invest.'!C20</f>
        <v>0</v>
      </c>
      <c r="F9" s="1289">
        <f>'NCA Additional Invest.'!D20</f>
        <v>0</v>
      </c>
      <c r="G9" s="1289">
        <f>'NCA Additional Invest.'!E20</f>
        <v>0</v>
      </c>
      <c r="H9" s="1289">
        <f>'NCA Additional Invest.'!F20</f>
        <v>0</v>
      </c>
      <c r="J9" s="2835">
        <f>+'Prev. Initial Balance'!D12</f>
        <v>0</v>
      </c>
      <c r="K9" s="2835">
        <f>'NCA Initial Invest.'!B20-'NCA Initial Invest.'!B19</f>
        <v>0</v>
      </c>
      <c r="L9" s="2835">
        <f t="shared" si="1"/>
        <v>0</v>
      </c>
    </row>
    <row r="10" spans="1:13" ht="18" customHeight="1">
      <c r="A10" s="2062" t="str">
        <f>MID('NCA Initial Invest.'!A26,7,30)</f>
        <v>Machinery</v>
      </c>
      <c r="B10" s="1291">
        <f>'NCA Initial Invest.'!B26</f>
        <v>0</v>
      </c>
      <c r="C10" s="1290">
        <f>'NCA Initial Invest.'!E26</f>
        <v>0</v>
      </c>
      <c r="D10" s="1289">
        <v>0</v>
      </c>
      <c r="E10" s="1288">
        <f>'NCA Additional Invest.'!C26</f>
        <v>0</v>
      </c>
      <c r="F10" s="1289">
        <f>'NCA Additional Invest.'!D26</f>
        <v>0</v>
      </c>
      <c r="G10" s="1289">
        <f>'NCA Additional Invest.'!E26</f>
        <v>0</v>
      </c>
      <c r="H10" s="1289">
        <f>'NCA Additional Invest.'!F26</f>
        <v>0</v>
      </c>
      <c r="J10" s="2835">
        <v>0</v>
      </c>
      <c r="K10" s="2835">
        <f>'NCA Initial Invest.'!B26</f>
        <v>0</v>
      </c>
      <c r="L10" s="2835">
        <f t="shared" si="1"/>
        <v>0</v>
      </c>
    </row>
    <row r="11" spans="1:13" ht="18" customHeight="1">
      <c r="A11" s="2062" t="str">
        <f>MID('NCA Initial Invest.'!A31,7,30)</f>
        <v>Tools &amp; Utilities</v>
      </c>
      <c r="B11" s="1291">
        <f>'NCA Initial Invest.'!B31</f>
        <v>0</v>
      </c>
      <c r="C11" s="1290">
        <f>'NCA Initial Invest.'!E31</f>
        <v>0</v>
      </c>
      <c r="D11" s="1289">
        <v>0</v>
      </c>
      <c r="E11" s="1288">
        <f>'NCA Additional Invest.'!C31</f>
        <v>0</v>
      </c>
      <c r="F11" s="1289">
        <f>'NCA Additional Invest.'!D31</f>
        <v>0</v>
      </c>
      <c r="G11" s="1289">
        <f>'NCA Additional Invest.'!E31</f>
        <v>0</v>
      </c>
      <c r="H11" s="1289">
        <f>'NCA Additional Invest.'!F31</f>
        <v>0</v>
      </c>
      <c r="J11" s="2835">
        <v>0</v>
      </c>
      <c r="K11" s="2835">
        <f>'NCA Initial Invest.'!B31</f>
        <v>0</v>
      </c>
      <c r="L11" s="2835">
        <f t="shared" si="1"/>
        <v>0</v>
      </c>
    </row>
    <row r="12" spans="1:13" ht="18" customHeight="1">
      <c r="A12" s="2062" t="str">
        <f>MID('NCA Initial Invest.'!A37,7,40)</f>
        <v>Furniture &amp; Warehouse equipment</v>
      </c>
      <c r="B12" s="1291">
        <f>'NCA Initial Invest.'!B37</f>
        <v>0</v>
      </c>
      <c r="C12" s="1290">
        <f>'NCA Initial Invest.'!E37</f>
        <v>0</v>
      </c>
      <c r="D12" s="1289">
        <v>0</v>
      </c>
      <c r="E12" s="1288">
        <f>'NCA Additional Invest.'!C37</f>
        <v>0</v>
      </c>
      <c r="F12" s="1289">
        <f>'NCA Additional Invest.'!D37</f>
        <v>0</v>
      </c>
      <c r="G12" s="1289">
        <f>'NCA Additional Invest.'!E37</f>
        <v>0</v>
      </c>
      <c r="H12" s="1289">
        <f>'NCA Additional Invest.'!F37</f>
        <v>0</v>
      </c>
      <c r="J12" s="2835">
        <v>0</v>
      </c>
      <c r="K12" s="2835">
        <f>'NCA Initial Invest.'!B37</f>
        <v>0</v>
      </c>
      <c r="L12" s="2835">
        <f t="shared" si="1"/>
        <v>0</v>
      </c>
    </row>
    <row r="13" spans="1:13" ht="18" customHeight="1">
      <c r="A13" s="2062" t="str">
        <f>MID('NCA Initial Invest.'!A43,7,40)</f>
        <v>Vehicles &amp; Transportation elements</v>
      </c>
      <c r="B13" s="1291">
        <f>'NCA Initial Invest.'!B43</f>
        <v>0</v>
      </c>
      <c r="C13" s="1290">
        <f>'NCA Initial Invest.'!E43</f>
        <v>0</v>
      </c>
      <c r="D13" s="1289">
        <v>0</v>
      </c>
      <c r="E13" s="1288">
        <f>'NCA Additional Invest.'!C43</f>
        <v>0</v>
      </c>
      <c r="F13" s="1289">
        <f>'NCA Additional Invest.'!D43</f>
        <v>0</v>
      </c>
      <c r="G13" s="1289">
        <f>'NCA Additional Invest.'!E43</f>
        <v>0</v>
      </c>
      <c r="H13" s="1289">
        <f>'NCA Additional Invest.'!F43</f>
        <v>0</v>
      </c>
      <c r="J13" s="2835">
        <v>0</v>
      </c>
      <c r="K13" s="2835">
        <f>'NCA Initial Invest.'!B43</f>
        <v>0</v>
      </c>
      <c r="L13" s="2835">
        <f t="shared" si="1"/>
        <v>0</v>
      </c>
    </row>
    <row r="14" spans="1:13" ht="18" customHeight="1">
      <c r="A14" s="2062" t="str">
        <f>MID('NCA Initial Invest.'!A50,7,30)</f>
        <v>Information processing equipme</v>
      </c>
      <c r="B14" s="1291">
        <f>'NCA Initial Invest.'!B50</f>
        <v>0</v>
      </c>
      <c r="C14" s="1290">
        <f>'NCA Initial Invest.'!E50</f>
        <v>0</v>
      </c>
      <c r="D14" s="1289">
        <v>0</v>
      </c>
      <c r="E14" s="1288">
        <f>'NCA Additional Invest.'!C50</f>
        <v>0</v>
      </c>
      <c r="F14" s="1289">
        <f>'NCA Additional Invest.'!D50</f>
        <v>0</v>
      </c>
      <c r="G14" s="1289">
        <f>'NCA Additional Invest.'!E50</f>
        <v>0</v>
      </c>
      <c r="H14" s="1289">
        <f>'NCA Additional Invest.'!F50</f>
        <v>0</v>
      </c>
      <c r="J14" s="2835">
        <v>0</v>
      </c>
      <c r="K14" s="2835">
        <f>'NCA Initial Invest.'!B50</f>
        <v>0</v>
      </c>
      <c r="L14" s="2835">
        <f t="shared" si="1"/>
        <v>0</v>
      </c>
    </row>
    <row r="15" spans="1:13" s="23" customFormat="1" ht="18" customHeight="1">
      <c r="A15" s="2062" t="str">
        <f>MID('NCA Initial Invest.'!A55,7,30)</f>
        <v>Other non material assets</v>
      </c>
      <c r="B15" s="1291">
        <f>'NCA Initial Invest.'!B55</f>
        <v>0</v>
      </c>
      <c r="C15" s="1290">
        <f>'NCA Initial Invest.'!E55</f>
        <v>0</v>
      </c>
      <c r="D15" s="1289">
        <v>0</v>
      </c>
      <c r="E15" s="1288">
        <f>'NCA Additional Invest.'!C55</f>
        <v>0</v>
      </c>
      <c r="F15" s="1289">
        <f>'NCA Additional Invest.'!D55</f>
        <v>0</v>
      </c>
      <c r="G15" s="1289">
        <f>'NCA Additional Invest.'!E55</f>
        <v>0</v>
      </c>
      <c r="H15" s="1289">
        <f>'NCA Additional Invest.'!F55</f>
        <v>0</v>
      </c>
      <c r="J15" s="2835">
        <v>0</v>
      </c>
      <c r="K15" s="2835">
        <f>'NCA Initial Invest.'!B55</f>
        <v>0</v>
      </c>
      <c r="L15" s="2835">
        <f t="shared" si="1"/>
        <v>0</v>
      </c>
    </row>
    <row r="16" spans="1:13" ht="18" customHeight="1" thickBot="1">
      <c r="A16" s="2063"/>
      <c r="B16" s="44"/>
      <c r="C16" s="655"/>
      <c r="D16" s="45"/>
      <c r="E16" s="46"/>
      <c r="F16" s="45"/>
      <c r="G16" s="45"/>
      <c r="H16" s="45"/>
      <c r="J16" s="2835"/>
      <c r="K16" s="2835"/>
      <c r="L16" s="2835">
        <f t="shared" si="1"/>
        <v>0</v>
      </c>
    </row>
    <row r="17" spans="1:15" s="34" customFormat="1" ht="24" customHeight="1">
      <c r="A17" s="2064" t="str">
        <f>MID('NCA Initial Invest.'!A63,7,30)</f>
        <v>Intangible Assets</v>
      </c>
      <c r="B17" s="1294">
        <f>'NCA Initial Invest.'!B63</f>
        <v>0</v>
      </c>
      <c r="C17" s="1295">
        <f>'NCA Initial Invest.'!E63</f>
        <v>0</v>
      </c>
      <c r="D17" s="1294">
        <f>B17-C17</f>
        <v>0</v>
      </c>
      <c r="E17" s="1292">
        <f t="array" ref="E17:H17">'NCA Additional Invest.'!C63:F63</f>
        <v>0</v>
      </c>
      <c r="F17" s="1293">
        <v>0</v>
      </c>
      <c r="G17" s="1293">
        <v>0</v>
      </c>
      <c r="H17" s="1293">
        <v>0</v>
      </c>
      <c r="J17" s="2835">
        <f>+'Prev. Initial Balance'!D10</f>
        <v>0</v>
      </c>
      <c r="K17" s="2835">
        <f>+'NCA Initial Invest.'!B63-'NCA Initial Invest.'!B62</f>
        <v>0</v>
      </c>
      <c r="L17" s="2835">
        <f t="shared" si="1"/>
        <v>0</v>
      </c>
    </row>
    <row r="18" spans="1:15" ht="15.75" thickBot="1">
      <c r="A18" s="2076"/>
      <c r="B18" s="2077"/>
      <c r="C18" s="2078"/>
      <c r="D18" s="2077"/>
      <c r="E18" s="2079"/>
      <c r="F18" s="2077"/>
      <c r="G18" s="2077"/>
      <c r="H18" s="2077"/>
      <c r="J18" s="2077"/>
      <c r="K18" s="2077"/>
      <c r="L18" s="2077"/>
    </row>
    <row r="19" spans="1:15" s="34" customFormat="1" ht="28.5" customHeight="1" thickBot="1">
      <c r="A19" s="2438" t="s">
        <v>624</v>
      </c>
      <c r="B19" s="2069">
        <f t="array" ref="B19:H19">B6:H6+B17:H17</f>
        <v>0</v>
      </c>
      <c r="C19" s="2070">
        <v>0</v>
      </c>
      <c r="D19" s="2080">
        <v>0</v>
      </c>
      <c r="E19" s="2071">
        <v>0</v>
      </c>
      <c r="F19" s="2069">
        <v>0</v>
      </c>
      <c r="G19" s="2069">
        <v>0</v>
      </c>
      <c r="H19" s="2069">
        <v>0</v>
      </c>
      <c r="J19" s="2069">
        <f t="array" ref="J19:L19">J6:L6+J17:L17</f>
        <v>0</v>
      </c>
      <c r="K19" s="2069">
        <v>0</v>
      </c>
      <c r="L19" s="2069">
        <v>0</v>
      </c>
    </row>
    <row r="21" spans="1:15" s="34" customFormat="1" ht="21" customHeight="1">
      <c r="B21" s="899"/>
      <c r="C21" s="901" t="s">
        <v>733</v>
      </c>
      <c r="D21" s="900" t="str">
        <f t="array" ref="D21">IF(D19=0,"N/A",SUM(D8:D17*$B30:$B39)/D19)</f>
        <v>N/A</v>
      </c>
      <c r="E21" s="900" t="str">
        <f t="array" ref="E21">IF(E19=0,"N/A",SUM(E8:E17*$B30:$B39)/E19)</f>
        <v>N/A</v>
      </c>
      <c r="F21" s="900" t="str">
        <f t="array" ref="F21">IF(F19=0,"N/A",SUM(F8:F17*$B30:$B39)/F19)</f>
        <v>N/A</v>
      </c>
      <c r="G21" s="900" t="str">
        <f t="array" ref="G21">IF(G19=0,"N/A",SUM(G8:G17*$B30:$B39)/G19)</f>
        <v>N/A</v>
      </c>
      <c r="H21" s="900" t="str">
        <f t="array" ref="H21">IF(H19=0,"N/A",SUM(H8:H17*$B30:$B39)/H19)</f>
        <v>N/A</v>
      </c>
      <c r="I21" s="32"/>
      <c r="J21" s="32"/>
      <c r="K21" s="32"/>
      <c r="L21" s="32"/>
      <c r="M21" s="33"/>
      <c r="N21" s="33"/>
      <c r="O21" s="33"/>
    </row>
    <row r="24" spans="1:15" ht="25.5">
      <c r="A24" s="552" t="s">
        <v>727</v>
      </c>
    </row>
    <row r="25" spans="1:15" ht="15.75" thickBot="1"/>
    <row r="26" spans="1:15" ht="22.5">
      <c r="A26" s="3295" t="s">
        <v>490</v>
      </c>
      <c r="B26" s="2081" t="s">
        <v>728</v>
      </c>
      <c r="C26" s="2093" t="s">
        <v>730</v>
      </c>
      <c r="D26" s="2099" t="s">
        <v>732</v>
      </c>
      <c r="E26" s="2082"/>
      <c r="F26" s="2083"/>
      <c r="G26" s="2084"/>
      <c r="H26" s="2084"/>
    </row>
    <row r="27" spans="1:15" ht="21" customHeight="1" thickBot="1">
      <c r="A27" s="3296"/>
      <c r="B27" s="2085" t="s">
        <v>729</v>
      </c>
      <c r="C27" s="2094" t="s">
        <v>731</v>
      </c>
      <c r="D27" s="2086" t="str">
        <f t="array" ref="D27:H27">Parameters!D62:H62</f>
        <v>Year 0</v>
      </c>
      <c r="E27" s="2728">
        <v>1</v>
      </c>
      <c r="F27" s="2729">
        <v>2</v>
      </c>
      <c r="G27" s="2730">
        <v>3</v>
      </c>
      <c r="H27" s="2730">
        <v>4</v>
      </c>
    </row>
    <row r="28" spans="1:15" ht="18" customHeight="1">
      <c r="A28" s="2072" t="str">
        <f t="array" ref="A28:A37">A6:A15</f>
        <v>Material Fixed Assets</v>
      </c>
      <c r="B28" s="2088"/>
      <c r="C28" s="2095"/>
      <c r="D28" s="2089">
        <f>SUM(D30:D37)</f>
        <v>0</v>
      </c>
      <c r="E28" s="2089">
        <f>SUM(E30:E37)</f>
        <v>0</v>
      </c>
      <c r="F28" s="2089">
        <f>SUM(F30:F37)</f>
        <v>0</v>
      </c>
      <c r="G28" s="2089">
        <f>SUM(G30:G37)</f>
        <v>0</v>
      </c>
      <c r="H28" s="2089">
        <f>SUM(H30:H37)</f>
        <v>0</v>
      </c>
    </row>
    <row r="29" spans="1:15" ht="18" customHeight="1">
      <c r="A29" s="2062" t="str">
        <v>Land</v>
      </c>
      <c r="B29" s="40"/>
      <c r="C29" s="654"/>
      <c r="D29" s="41"/>
      <c r="E29" s="42"/>
      <c r="F29" s="43"/>
      <c r="G29" s="41"/>
      <c r="H29" s="41"/>
    </row>
    <row r="30" spans="1:15" ht="18" customHeight="1">
      <c r="A30" s="2062" t="str">
        <v>Buildings &amp; constructions</v>
      </c>
      <c r="B30" s="652">
        <f>'NCA Initial Invest.'!D10</f>
        <v>25</v>
      </c>
      <c r="C30" s="2096">
        <f t="array" ref="C30:C37">1/B30:B37</f>
        <v>0.04</v>
      </c>
      <c r="D30" s="1298">
        <f t="shared" ref="D30:D37" si="2">MIN(D8,B8/B30/12*(12+1-mes0))</f>
        <v>0</v>
      </c>
      <c r="E30" s="1296">
        <f t="shared" ref="E30:E37" si="3">MIN(D8-$D30,(B8)/$B30)
+E8/$B30</f>
        <v>0</v>
      </c>
      <c r="F30" s="1297">
        <f t="shared" ref="F30:F37" si="4">MIN(D8-D30-MIN(D8-D30,($B8)/$B30),($B8)/$B30)
+IF(2&lt;=$B30,E8/$B30,0)
+F8/$B30</f>
        <v>0</v>
      </c>
      <c r="G30" s="1298">
        <f t="shared" ref="G30:G37" si="5">MIN(D8-D30-MIN(D8-D30,($B8)/$B30)-MIN(D8-D30-MIN(D8-$D30,($B8)/$B30),($B8)/$B30),($B8)/$B30)
+IF(3&lt;=$B30,$E8/$B30,0)
+IF(2&lt;=$B30,$F8/$B30,0)
+$G8/$B30</f>
        <v>0</v>
      </c>
      <c r="H30" s="1298">
        <f t="shared" ref="H30:H37" si="6">MIN(D8-D30-MIN(D8-D30,($B8)/$B30)-MIN(D8-D30-MIN(D8-D30,($B8)/$B30),($B8)/$B30)-MIN(D8-D30-MIN(D8-D30,($B8)/$B30)-MIN(D8-D30-MIN(D8-D30,($B8)/$B30),($B8)/$B30),($B8)/$B30),($B8)/$B30)
+IF(4&lt;=$B30,$E8/$B30,0)
+IF(3&lt;=$B30,$F8/$B30,0)
+IF(2&lt;=$B30,$G8/$B30,0)
+$H8/$B30</f>
        <v>0</v>
      </c>
    </row>
    <row r="31" spans="1:15" ht="18" customHeight="1">
      <c r="A31" s="2062" t="str">
        <v>Plant Facilities &amp; Services</v>
      </c>
      <c r="B31" s="652">
        <f>'NCA Initial Invest.'!D20</f>
        <v>10.714285714285714</v>
      </c>
      <c r="C31" s="2096">
        <v>9.3333333333333338E-2</v>
      </c>
      <c r="D31" s="1298">
        <f t="shared" si="2"/>
        <v>0</v>
      </c>
      <c r="E31" s="1296">
        <f t="shared" si="3"/>
        <v>0</v>
      </c>
      <c r="F31" s="1297">
        <f t="shared" si="4"/>
        <v>0</v>
      </c>
      <c r="G31" s="1298">
        <f t="shared" si="5"/>
        <v>0</v>
      </c>
      <c r="H31" s="1298">
        <f t="shared" si="6"/>
        <v>0</v>
      </c>
    </row>
    <row r="32" spans="1:15" ht="18" customHeight="1">
      <c r="A32" s="2062" t="str">
        <v>Machinery</v>
      </c>
      <c r="B32" s="652">
        <f>'NCA Initial Invest.'!D26</f>
        <v>10</v>
      </c>
      <c r="C32" s="2096">
        <v>0.1</v>
      </c>
      <c r="D32" s="1298">
        <f t="shared" si="2"/>
        <v>0</v>
      </c>
      <c r="E32" s="1296">
        <f t="shared" si="3"/>
        <v>0</v>
      </c>
      <c r="F32" s="1297">
        <f t="shared" si="4"/>
        <v>0</v>
      </c>
      <c r="G32" s="1298">
        <f t="shared" si="5"/>
        <v>0</v>
      </c>
      <c r="H32" s="1298">
        <f t="shared" si="6"/>
        <v>0</v>
      </c>
    </row>
    <row r="33" spans="1:8" ht="18" customHeight="1">
      <c r="A33" s="2062" t="str">
        <v>Tools &amp; Utilities</v>
      </c>
      <c r="B33" s="652">
        <f>'NCA Initial Invest.'!D31</f>
        <v>5</v>
      </c>
      <c r="C33" s="2096">
        <v>0.2</v>
      </c>
      <c r="D33" s="1298">
        <f t="shared" si="2"/>
        <v>0</v>
      </c>
      <c r="E33" s="1296">
        <f t="shared" si="3"/>
        <v>0</v>
      </c>
      <c r="F33" s="1297">
        <f t="shared" si="4"/>
        <v>0</v>
      </c>
      <c r="G33" s="1298">
        <f t="shared" si="5"/>
        <v>0</v>
      </c>
      <c r="H33" s="1298">
        <f t="shared" si="6"/>
        <v>0</v>
      </c>
    </row>
    <row r="34" spans="1:8" ht="18" customHeight="1">
      <c r="A34" s="2062" t="str">
        <v>Furniture &amp; Warehouse equipment</v>
      </c>
      <c r="B34" s="652">
        <f>'NCA Initial Invest.'!D37</f>
        <v>5</v>
      </c>
      <c r="C34" s="2096">
        <v>0.2</v>
      </c>
      <c r="D34" s="1298">
        <f t="shared" si="2"/>
        <v>0</v>
      </c>
      <c r="E34" s="1296">
        <f t="shared" si="3"/>
        <v>0</v>
      </c>
      <c r="F34" s="1297">
        <f t="shared" si="4"/>
        <v>0</v>
      </c>
      <c r="G34" s="1298">
        <f t="shared" si="5"/>
        <v>0</v>
      </c>
      <c r="H34" s="1298">
        <f t="shared" si="6"/>
        <v>0</v>
      </c>
    </row>
    <row r="35" spans="1:8" ht="18" customHeight="1">
      <c r="A35" s="2062" t="str">
        <v>Vehicles &amp; Transportation elements</v>
      </c>
      <c r="B35" s="652">
        <f>'NCA Initial Invest.'!D43</f>
        <v>5</v>
      </c>
      <c r="C35" s="2096">
        <v>0.2</v>
      </c>
      <c r="D35" s="1298">
        <f t="shared" si="2"/>
        <v>0</v>
      </c>
      <c r="E35" s="1296">
        <f t="shared" si="3"/>
        <v>0</v>
      </c>
      <c r="F35" s="1297">
        <f t="shared" si="4"/>
        <v>0</v>
      </c>
      <c r="G35" s="1298">
        <f t="shared" si="5"/>
        <v>0</v>
      </c>
      <c r="H35" s="1298">
        <f t="shared" si="6"/>
        <v>0</v>
      </c>
    </row>
    <row r="36" spans="1:8" ht="18" customHeight="1">
      <c r="A36" s="2062" t="str">
        <v>Information processing equipme</v>
      </c>
      <c r="B36" s="652">
        <f>'NCA Initial Invest.'!D50</f>
        <v>5</v>
      </c>
      <c r="C36" s="2096">
        <v>0.2</v>
      </c>
      <c r="D36" s="1298">
        <f t="shared" si="2"/>
        <v>0</v>
      </c>
      <c r="E36" s="1296">
        <f t="shared" si="3"/>
        <v>0</v>
      </c>
      <c r="F36" s="1297">
        <f t="shared" si="4"/>
        <v>0</v>
      </c>
      <c r="G36" s="1298">
        <f t="shared" si="5"/>
        <v>0</v>
      </c>
      <c r="H36" s="1298">
        <f t="shared" si="6"/>
        <v>0</v>
      </c>
    </row>
    <row r="37" spans="1:8" ht="18" customHeight="1">
      <c r="A37" s="2062" t="str">
        <v>Other non material assets</v>
      </c>
      <c r="B37" s="652">
        <f>'NCA Initial Invest.'!D55</f>
        <v>5</v>
      </c>
      <c r="C37" s="2096">
        <v>0.2</v>
      </c>
      <c r="D37" s="1298">
        <f t="shared" si="2"/>
        <v>0</v>
      </c>
      <c r="E37" s="1296">
        <f t="shared" si="3"/>
        <v>0</v>
      </c>
      <c r="F37" s="1297">
        <f t="shared" si="4"/>
        <v>0</v>
      </c>
      <c r="G37" s="1298">
        <f t="shared" si="5"/>
        <v>0</v>
      </c>
      <c r="H37" s="1298">
        <f t="shared" si="6"/>
        <v>0</v>
      </c>
    </row>
    <row r="38" spans="1:8" ht="18" customHeight="1" thickBot="1">
      <c r="A38" s="2063"/>
      <c r="B38" s="45"/>
      <c r="C38" s="655"/>
      <c r="D38" s="47"/>
      <c r="E38" s="19"/>
      <c r="F38" s="26"/>
      <c r="G38" s="47"/>
      <c r="H38" s="47"/>
    </row>
    <row r="39" spans="1:8" ht="18" customHeight="1">
      <c r="A39" s="2064" t="s">
        <v>726</v>
      </c>
      <c r="B39" s="653">
        <f>'NCA Initial Invest.'!D63</f>
        <v>4.5999999999999996</v>
      </c>
      <c r="C39" s="2097">
        <f>1/B39</f>
        <v>0.21739130434782611</v>
      </c>
      <c r="D39" s="1294">
        <f>MIN(D17,B17/B39/12*(12+1-mes0))</f>
        <v>0</v>
      </c>
      <c r="E39" s="1294">
        <f>MIN(D17-D39,($B17)/$B39)
+E17/$B39</f>
        <v>0</v>
      </c>
      <c r="F39" s="1294">
        <f>MIN(D17-D39-MIN(D17-D39,($B17)/$B39),($B17)/$B39)
+IF(2&lt;=$B39,E17/$B39,0)
+F17/$B39</f>
        <v>0</v>
      </c>
      <c r="G39" s="1294">
        <f>MIN(D17-D39-MIN(D17-D39,($B17)/$B39)-MIN(D17-D39-MIN(D17-$D39,($B17)/$B39),($B17)/$B39),($B17)/$B39)
+IF(3&lt;=$B39,$E17/$B39,0)
+IF(2&lt;=$B39,$F17/$B39,0)
+$G17/$B39</f>
        <v>0</v>
      </c>
      <c r="H39" s="1294">
        <f>MIN(D17-D39-MIN(D17-D39,($B17)/$B39)-MIN(D17-D39-MIN(D17-D39,($B17)/$B39),($B17)/$B39)-MIN(D17-D39-MIN(D17-D39,($B17)/$B39)-MIN(D17-D39-MIN(D17-D39,($B17)/$B39),($B17)/$B39),($B17)/$B39),($B17)/$B39)
+IF(4&lt;=$B39,$E17/$B39,0)
+IF(3&lt;=$B39,$F17/$B39,0)
+IF(2&lt;=$B39,$G17/$B39,0)
+$H17/$B39</f>
        <v>0</v>
      </c>
    </row>
    <row r="40" spans="1:8" ht="18" customHeight="1" thickBot="1">
      <c r="A40" s="2076"/>
      <c r="B40" s="2077"/>
      <c r="C40" s="2078"/>
      <c r="D40" s="2092"/>
      <c r="E40" s="2090"/>
      <c r="F40" s="2091"/>
      <c r="G40" s="2092"/>
      <c r="H40" s="2092"/>
    </row>
    <row r="41" spans="1:8" ht="22.5" customHeight="1" thickBot="1">
      <c r="A41" s="2439"/>
      <c r="B41" s="2087"/>
      <c r="C41" s="2098" t="s">
        <v>734</v>
      </c>
      <c r="D41" s="2069">
        <f t="array" ref="D41:H41">D28:H28+D39:H39</f>
        <v>0</v>
      </c>
      <c r="E41" s="2069">
        <v>0</v>
      </c>
      <c r="F41" s="2069">
        <v>0</v>
      </c>
      <c r="G41" s="2069">
        <v>0</v>
      </c>
      <c r="H41" s="2069">
        <v>0</v>
      </c>
    </row>
    <row r="43" spans="1:8">
      <c r="E43" s="46"/>
    </row>
  </sheetData>
  <sheetProtection sheet="1" objects="1" scenarios="1"/>
  <mergeCells count="2">
    <mergeCell ref="A4:A5"/>
    <mergeCell ref="A26:A27"/>
  </mergeCells>
  <phoneticPr fontId="7" type="noConversion"/>
  <dataValidations xWindow="394" yWindow="538" count="1">
    <dataValidation type="whole" allowBlank="1" showInputMessage="1" showErrorMessage="1" sqref="B40:C40 C18:H18" xr:uid="{00000000-0002-0000-3E00-000000000000}">
      <formula1>3</formula1>
      <formula2>35</formula2>
    </dataValidation>
  </dataValidations>
  <printOptions horizontalCentered="1" verticalCentered="1"/>
  <pageMargins left="0.56000000000000005" right="0.39370078740157483" top="0.39370078740157483" bottom="0.47244094488188981" header="0.27559055118110237" footer="0.31496062992125984"/>
  <pageSetup paperSize="9" scale="64" orientation="landscape" horizontalDpi="300" verticalDpi="300" r:id="rId1"/>
  <headerFooter alignWithMargins="0">
    <oddFooter>&amp;C&amp;"Tahoma,Normal"&amp;10&amp;A</oddFooter>
  </headerFooter>
  <legacy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29"/>
  <dimension ref="A1:O107"/>
  <sheetViews>
    <sheetView showGridLines="0" zoomScaleNormal="100" workbookViewId="0">
      <pane xSplit="2" topLeftCell="C1" activePane="topRight" state="frozenSplit"/>
      <selection activeCell="E23" sqref="E23"/>
      <selection pane="topRight" activeCell="A2" sqref="A2"/>
    </sheetView>
  </sheetViews>
  <sheetFormatPr baseColWidth="10" defaultColWidth="11" defaultRowHeight="15"/>
  <cols>
    <col min="1" max="1" width="26.75" style="35" bestFit="1" customWidth="1"/>
    <col min="2" max="2" width="9.25" style="35" customWidth="1"/>
    <col min="3" max="3" width="11" style="35"/>
    <col min="4" max="4" width="11.625" style="35" customWidth="1"/>
    <col min="5" max="5" width="10.25" style="35" bestFit="1" customWidth="1"/>
    <col min="6" max="9" width="10.625" style="35" bestFit="1" customWidth="1"/>
    <col min="10" max="10" width="10.25" style="35" bestFit="1" customWidth="1"/>
    <col min="11" max="11" width="11.625" style="35" bestFit="1" customWidth="1"/>
    <col min="12" max="13" width="11" style="35"/>
    <col min="14" max="14" width="10.625" style="35" bestFit="1" customWidth="1"/>
    <col min="15" max="15" width="11.75" style="35" bestFit="1" customWidth="1"/>
    <col min="16" max="16384" width="11" style="35"/>
  </cols>
  <sheetData>
    <row r="1" spans="1:15" ht="25.5">
      <c r="A1" s="232" t="s">
        <v>740</v>
      </c>
      <c r="B1" s="60"/>
      <c r="C1" s="61"/>
      <c r="D1" s="61"/>
      <c r="E1" s="61"/>
      <c r="F1" s="59"/>
    </row>
    <row r="2" spans="1:15" ht="22.5">
      <c r="A2" s="232" t="str">
        <f>'Base Data'!B9</f>
        <v>WWW, Ltd.</v>
      </c>
      <c r="B2" s="60"/>
      <c r="C2" s="61"/>
      <c r="D2" s="61"/>
      <c r="E2" s="61"/>
      <c r="F2" s="61"/>
      <c r="G2" s="61"/>
      <c r="H2" s="61"/>
    </row>
    <row r="3" spans="1:15" ht="25.5">
      <c r="A3" s="59"/>
      <c r="B3" s="60"/>
      <c r="C3" s="61"/>
      <c r="D3" s="61"/>
      <c r="E3" s="61"/>
      <c r="F3" s="61"/>
      <c r="G3" s="61"/>
      <c r="H3" s="61"/>
    </row>
    <row r="4" spans="1:15" ht="19.5">
      <c r="A4" s="240" t="s">
        <v>633</v>
      </c>
      <c r="B4" s="60"/>
      <c r="C4" s="61"/>
      <c r="D4" s="61"/>
      <c r="E4" s="61"/>
      <c r="F4" s="61"/>
      <c r="G4" s="61"/>
      <c r="H4" s="61"/>
    </row>
    <row r="5" spans="1:15" ht="15" customHeight="1" thickBot="1">
      <c r="A5" s="59"/>
      <c r="B5" s="60"/>
      <c r="C5" s="61"/>
      <c r="D5" s="61"/>
      <c r="E5" s="61"/>
      <c r="F5" s="61"/>
      <c r="G5" s="61"/>
      <c r="H5" s="61"/>
    </row>
    <row r="6" spans="1:15" ht="15.75" thickBot="1">
      <c r="A6" s="1146" t="str">
        <f>CONCATENATE("Financial Expenses ",'Base Data'!$B$18)</f>
        <v>Financial Expenses Year 0</v>
      </c>
      <c r="B6" s="258" t="s">
        <v>735</v>
      </c>
      <c r="C6" s="422" t="str">
        <f t="array" ref="C6:N6">meses</f>
        <v>January</v>
      </c>
      <c r="D6" s="156" t="str">
        <v>February</v>
      </c>
      <c r="E6" s="156" t="str">
        <v>March</v>
      </c>
      <c r="F6" s="156" t="str">
        <v>April</v>
      </c>
      <c r="G6" s="156" t="str">
        <v>May</v>
      </c>
      <c r="H6" s="156" t="str">
        <v>June</v>
      </c>
      <c r="I6" s="156" t="str">
        <v>July</v>
      </c>
      <c r="J6" s="156" t="str">
        <v>August</v>
      </c>
      <c r="K6" s="156" t="str">
        <v>September</v>
      </c>
      <c r="L6" s="156" t="str">
        <v>October</v>
      </c>
      <c r="M6" s="156" t="str">
        <v>November</v>
      </c>
      <c r="N6" s="157" t="str">
        <v>December</v>
      </c>
      <c r="O6" s="102" t="s">
        <v>736</v>
      </c>
    </row>
    <row r="7" spans="1:15" s="255" customFormat="1">
      <c r="A7" s="2441" t="s">
        <v>741</v>
      </c>
      <c r="B7" s="1776">
        <f t="array" ref="B7:N7">'Cash Flow 0'!B33:N33</f>
        <v>0</v>
      </c>
      <c r="C7" s="1777">
        <f ca="1"/>
        <v>0</v>
      </c>
      <c r="D7" s="1778">
        <f ca="1"/>
        <v>0</v>
      </c>
      <c r="E7" s="1778">
        <f ca="1"/>
        <v>0</v>
      </c>
      <c r="F7" s="1778">
        <f ca="1"/>
        <v>0</v>
      </c>
      <c r="G7" s="1778">
        <f ca="1"/>
        <v>0</v>
      </c>
      <c r="H7" s="1778">
        <f ca="1"/>
        <v>0</v>
      </c>
      <c r="I7" s="1778">
        <f ca="1"/>
        <v>0</v>
      </c>
      <c r="J7" s="1778">
        <f ca="1"/>
        <v>0</v>
      </c>
      <c r="K7" s="1778">
        <f ca="1"/>
        <v>0</v>
      </c>
      <c r="L7" s="1778">
        <f ca="1"/>
        <v>0</v>
      </c>
      <c r="M7" s="1778">
        <f ca="1"/>
        <v>0</v>
      </c>
      <c r="N7" s="1779">
        <f ca="1"/>
        <v>0</v>
      </c>
      <c r="O7" s="1792">
        <f ca="1">AVERAGE(C7:N7)</f>
        <v>0</v>
      </c>
    </row>
    <row r="8" spans="1:15">
      <c r="A8" s="2440" t="s">
        <v>742</v>
      </c>
      <c r="B8" s="1789">
        <f t="array" ref="B8:N8">Funding!$D$49-B7:N7</f>
        <v>0</v>
      </c>
      <c r="C8" s="1786">
        <f ca="1"/>
        <v>0</v>
      </c>
      <c r="D8" s="1787">
        <f ca="1"/>
        <v>0</v>
      </c>
      <c r="E8" s="1787">
        <f ca="1"/>
        <v>0</v>
      </c>
      <c r="F8" s="1787">
        <f ca="1"/>
        <v>0</v>
      </c>
      <c r="G8" s="1787">
        <f ca="1"/>
        <v>0</v>
      </c>
      <c r="H8" s="1787">
        <f ca="1"/>
        <v>0</v>
      </c>
      <c r="I8" s="1787">
        <f ca="1"/>
        <v>0</v>
      </c>
      <c r="J8" s="1787">
        <f ca="1"/>
        <v>0</v>
      </c>
      <c r="K8" s="1787">
        <f ca="1"/>
        <v>0</v>
      </c>
      <c r="L8" s="1787">
        <f ca="1"/>
        <v>0</v>
      </c>
      <c r="M8" s="1787">
        <f ca="1"/>
        <v>0</v>
      </c>
      <c r="N8" s="1788">
        <f ca="1"/>
        <v>0</v>
      </c>
      <c r="O8" s="1775">
        <f ca="1">AVERAGE(C8:N8)</f>
        <v>0</v>
      </c>
    </row>
    <row r="9" spans="1:15" s="255" customFormat="1" ht="15.75" thickBot="1">
      <c r="A9" s="1785" t="s">
        <v>743</v>
      </c>
      <c r="B9" s="1780">
        <f ca="1">-MIN('Cash Flow 0'!B35,0)</f>
        <v>0</v>
      </c>
      <c r="C9" s="1781">
        <f ca="1">-MIN('Cash Flow 0'!C35,0)</f>
        <v>0</v>
      </c>
      <c r="D9" s="1782">
        <f ca="1">-MIN('Cash Flow 0'!D35,0)</f>
        <v>0</v>
      </c>
      <c r="E9" s="1782">
        <f ca="1">-MIN('Cash Flow 0'!E35,0)</f>
        <v>847.12399999999957</v>
      </c>
      <c r="F9" s="1782">
        <f ca="1">-MIN('Cash Flow 0'!F35,0)</f>
        <v>1715.554363636363</v>
      </c>
      <c r="G9" s="1782">
        <f ca="1">-MIN('Cash Flow 0'!G35,0)</f>
        <v>2571.7307272727267</v>
      </c>
      <c r="H9" s="1782">
        <f ca="1">-MIN('Cash Flow 0'!H35,0)</f>
        <v>3363.3325454545447</v>
      </c>
      <c r="I9" s="1782">
        <f ca="1">-MIN('Cash Flow 0'!I35,0)</f>
        <v>4090.3598181818174</v>
      </c>
      <c r="J9" s="1782">
        <f ca="1">-MIN('Cash Flow 0'!J35,0)</f>
        <v>4752.8125454545443</v>
      </c>
      <c r="K9" s="1782">
        <f ca="1">-MIN('Cash Flow 0'!K35,0)</f>
        <v>5350.6907272727258</v>
      </c>
      <c r="L9" s="1782">
        <f ca="1">-MIN('Cash Flow 0'!L35,0)</f>
        <v>5883.9943636363623</v>
      </c>
      <c r="M9" s="1782">
        <f ca="1">-MIN('Cash Flow 0'!M35,0)</f>
        <v>6352.723454545453</v>
      </c>
      <c r="N9" s="1783">
        <f ca="1">-MIN('Cash Flow 0'!N35,0)</f>
        <v>6756.8779999999988</v>
      </c>
      <c r="O9" s="1791">
        <f ca="1">AVERAGE(C9:N9)</f>
        <v>3473.7667121212112</v>
      </c>
    </row>
    <row r="10" spans="1:15" ht="12" customHeight="1" thickBot="1">
      <c r="A10" s="1147"/>
      <c r="B10" s="259"/>
      <c r="C10" s="260"/>
      <c r="D10" s="261"/>
      <c r="E10" s="261"/>
      <c r="F10" s="261"/>
      <c r="G10" s="261"/>
      <c r="H10" s="261"/>
      <c r="I10" s="261"/>
      <c r="J10" s="261"/>
      <c r="K10" s="261"/>
      <c r="L10" s="261"/>
      <c r="M10" s="261"/>
      <c r="N10" s="262"/>
      <c r="O10" s="1784"/>
    </row>
    <row r="11" spans="1:15" ht="14.25" customHeight="1" thickBot="1">
      <c r="A11" s="1147"/>
      <c r="B11" s="1793" t="s">
        <v>195</v>
      </c>
      <c r="C11" s="2197">
        <f>(COLUMN(C$6)-2)</f>
        <v>1</v>
      </c>
      <c r="D11" s="2197">
        <f t="shared" ref="D11:N11" si="0">(COLUMN(D$6)-2)</f>
        <v>2</v>
      </c>
      <c r="E11" s="2197">
        <f t="shared" si="0"/>
        <v>3</v>
      </c>
      <c r="F11" s="2197">
        <f t="shared" si="0"/>
        <v>4</v>
      </c>
      <c r="G11" s="2197">
        <f t="shared" si="0"/>
        <v>5</v>
      </c>
      <c r="H11" s="2197">
        <f t="shared" si="0"/>
        <v>6</v>
      </c>
      <c r="I11" s="2197">
        <f t="shared" si="0"/>
        <v>7</v>
      </c>
      <c r="J11" s="2197">
        <f t="shared" si="0"/>
        <v>8</v>
      </c>
      <c r="K11" s="2197">
        <f t="shared" si="0"/>
        <v>9</v>
      </c>
      <c r="L11" s="2197">
        <f t="shared" si="0"/>
        <v>10</v>
      </c>
      <c r="M11" s="2197">
        <f t="shared" si="0"/>
        <v>11</v>
      </c>
      <c r="N11" s="2197">
        <f t="shared" si="0"/>
        <v>12</v>
      </c>
      <c r="O11" s="1793" t="s">
        <v>554</v>
      </c>
    </row>
    <row r="12" spans="1:15">
      <c r="A12" s="310" t="s">
        <v>744</v>
      </c>
      <c r="B12" s="1150">
        <f>+Funding!D51</f>
        <v>7.0000000000000007E-2</v>
      </c>
      <c r="C12" s="1149">
        <f t="array" ref="C12:N12">IF(C$11:N$11&lt;mes0,0,$B12/12*B7:M7+IF(C$11:N$11=mes0,Funding!$D$50*Funding!$D$49,0))</f>
        <v>0</v>
      </c>
      <c r="D12" s="602">
        <f ca="1"/>
        <v>0</v>
      </c>
      <c r="E12" s="602">
        <f ca="1"/>
        <v>0</v>
      </c>
      <c r="F12" s="602">
        <f ca="1"/>
        <v>0</v>
      </c>
      <c r="G12" s="602">
        <f ca="1"/>
        <v>0</v>
      </c>
      <c r="H12" s="602">
        <f ca="1"/>
        <v>0</v>
      </c>
      <c r="I12" s="602">
        <f ca="1"/>
        <v>0</v>
      </c>
      <c r="J12" s="602">
        <f ca="1"/>
        <v>0</v>
      </c>
      <c r="K12" s="602">
        <f ca="1"/>
        <v>0</v>
      </c>
      <c r="L12" s="602">
        <f ca="1"/>
        <v>0</v>
      </c>
      <c r="M12" s="602">
        <f ca="1"/>
        <v>0</v>
      </c>
      <c r="N12" s="603">
        <f ca="1"/>
        <v>0</v>
      </c>
      <c r="O12" s="605">
        <f t="shared" ref="O12:O18" ca="1" si="1">SUM(C12:N12)</f>
        <v>0</v>
      </c>
    </row>
    <row r="13" spans="1:15">
      <c r="A13" s="1770" t="s">
        <v>745</v>
      </c>
      <c r="B13" s="1771">
        <f>+Funding!$D$52</f>
        <v>0.02</v>
      </c>
      <c r="C13" s="1772">
        <f t="array" ref="C13:N14">IF(C$11:N$11&lt;mes0,0,$B13:$B14/12*B8:M9)</f>
        <v>0</v>
      </c>
      <c r="D13" s="1773">
        <f ca="1"/>
        <v>0</v>
      </c>
      <c r="E13" s="1773">
        <f ca="1"/>
        <v>0</v>
      </c>
      <c r="F13" s="1773">
        <f ca="1"/>
        <v>0</v>
      </c>
      <c r="G13" s="1773">
        <f ca="1"/>
        <v>0</v>
      </c>
      <c r="H13" s="1773">
        <f ca="1"/>
        <v>0</v>
      </c>
      <c r="I13" s="1773">
        <f ca="1"/>
        <v>0</v>
      </c>
      <c r="J13" s="1773">
        <f ca="1"/>
        <v>0</v>
      </c>
      <c r="K13" s="1773">
        <f ca="1"/>
        <v>0</v>
      </c>
      <c r="L13" s="1773">
        <f ca="1"/>
        <v>0</v>
      </c>
      <c r="M13" s="1773">
        <f ca="1"/>
        <v>0</v>
      </c>
      <c r="N13" s="1774">
        <f ca="1"/>
        <v>0</v>
      </c>
      <c r="O13" s="1775">
        <f t="shared" ca="1" si="1"/>
        <v>0</v>
      </c>
    </row>
    <row r="14" spans="1:15">
      <c r="A14" s="1770" t="s">
        <v>746</v>
      </c>
      <c r="B14" s="1771">
        <f>Parameters!$C$6</f>
        <v>0</v>
      </c>
      <c r="C14" s="1772">
        <f ca="1"/>
        <v>0</v>
      </c>
      <c r="D14" s="1773">
        <f ca="1"/>
        <v>0</v>
      </c>
      <c r="E14" s="1773">
        <f ca="1"/>
        <v>0</v>
      </c>
      <c r="F14" s="1773">
        <f ca="1"/>
        <v>0</v>
      </c>
      <c r="G14" s="1773">
        <f ca="1"/>
        <v>0</v>
      </c>
      <c r="H14" s="1773">
        <f ca="1"/>
        <v>0</v>
      </c>
      <c r="I14" s="1773">
        <f ca="1"/>
        <v>0</v>
      </c>
      <c r="J14" s="1773">
        <f ca="1"/>
        <v>0</v>
      </c>
      <c r="K14" s="1773">
        <f ca="1"/>
        <v>0</v>
      </c>
      <c r="L14" s="1773">
        <f ca="1"/>
        <v>0</v>
      </c>
      <c r="M14" s="1773">
        <f ca="1"/>
        <v>0</v>
      </c>
      <c r="N14" s="1774">
        <f ca="1"/>
        <v>0</v>
      </c>
      <c r="O14" s="1775">
        <f t="shared" ca="1" si="1"/>
        <v>0</v>
      </c>
    </row>
    <row r="15" spans="1:15">
      <c r="A15" s="311" t="s">
        <v>749</v>
      </c>
      <c r="B15" s="1151"/>
      <c r="C15" s="1148">
        <f t="array" ref="C15:N15">+Renting!B21:M21</f>
        <v>0</v>
      </c>
      <c r="D15" s="869">
        <v>0</v>
      </c>
      <c r="E15" s="869">
        <v>0</v>
      </c>
      <c r="F15" s="869">
        <v>0</v>
      </c>
      <c r="G15" s="869">
        <v>0</v>
      </c>
      <c r="H15" s="869">
        <v>0</v>
      </c>
      <c r="I15" s="869">
        <v>0</v>
      </c>
      <c r="J15" s="869">
        <v>0</v>
      </c>
      <c r="K15" s="869">
        <v>0</v>
      </c>
      <c r="L15" s="869">
        <v>0</v>
      </c>
      <c r="M15" s="869">
        <v>0</v>
      </c>
      <c r="N15" s="870">
        <v>0</v>
      </c>
      <c r="O15" s="606">
        <f t="shared" si="1"/>
        <v>0</v>
      </c>
    </row>
    <row r="16" spans="1:15">
      <c r="A16" s="1700" t="s">
        <v>747</v>
      </c>
      <c r="B16" s="1678"/>
      <c r="C16" s="1701">
        <f t="array" ref="C16:N16">Leasing!B22:M22</f>
        <v>0</v>
      </c>
      <c r="D16" s="1702">
        <v>0</v>
      </c>
      <c r="E16" s="1702">
        <v>0</v>
      </c>
      <c r="F16" s="1702">
        <v>0</v>
      </c>
      <c r="G16" s="1702">
        <v>0</v>
      </c>
      <c r="H16" s="1702">
        <v>0</v>
      </c>
      <c r="I16" s="1702">
        <v>0</v>
      </c>
      <c r="J16" s="1702">
        <v>0</v>
      </c>
      <c r="K16" s="1702">
        <v>0</v>
      </c>
      <c r="L16" s="1702">
        <v>0</v>
      </c>
      <c r="M16" s="1702">
        <v>0</v>
      </c>
      <c r="N16" s="1703">
        <v>0</v>
      </c>
      <c r="O16" s="606">
        <f t="shared" si="1"/>
        <v>0</v>
      </c>
    </row>
    <row r="17" spans="1:15">
      <c r="A17" s="311" t="s">
        <v>748</v>
      </c>
      <c r="B17" s="2851"/>
      <c r="C17" s="1148">
        <f t="array" ref="C17:N17">Loans!B23:M23</f>
        <v>0</v>
      </c>
      <c r="D17" s="869">
        <v>0</v>
      </c>
      <c r="E17" s="869">
        <v>0</v>
      </c>
      <c r="F17" s="869">
        <v>0</v>
      </c>
      <c r="G17" s="869">
        <v>0</v>
      </c>
      <c r="H17" s="869">
        <v>0</v>
      </c>
      <c r="I17" s="869">
        <v>0</v>
      </c>
      <c r="J17" s="869">
        <v>0</v>
      </c>
      <c r="K17" s="869">
        <v>0</v>
      </c>
      <c r="L17" s="869">
        <v>0</v>
      </c>
      <c r="M17" s="869">
        <v>0</v>
      </c>
      <c r="N17" s="870">
        <v>0</v>
      </c>
      <c r="O17" s="2852">
        <f t="shared" si="1"/>
        <v>0</v>
      </c>
    </row>
    <row r="18" spans="1:15" ht="15.75" thickBot="1">
      <c r="A18" s="2846" t="s">
        <v>1119</v>
      </c>
      <c r="B18" s="2858">
        <f>Parameters!$H$14</f>
        <v>0.01</v>
      </c>
      <c r="C18" s="2847">
        <f t="array" aca="1" ref="C18:N18" ca="1">$B18*'Collections &amp; Payments 0'!$B$28:$M$28</f>
        <v>2.42</v>
      </c>
      <c r="D18" s="2848">
        <f ca="1"/>
        <v>3.3000000000000003</v>
      </c>
      <c r="E18" s="2848">
        <f ca="1"/>
        <v>4.1800000000000006</v>
      </c>
      <c r="F18" s="2848">
        <f ca="1"/>
        <v>5.0600000000000005</v>
      </c>
      <c r="G18" s="2848">
        <f ca="1"/>
        <v>5.94</v>
      </c>
      <c r="H18" s="2848">
        <f ca="1"/>
        <v>6.82</v>
      </c>
      <c r="I18" s="2848">
        <f ca="1"/>
        <v>7.7</v>
      </c>
      <c r="J18" s="2848">
        <f ca="1"/>
        <v>8.5799999999999983</v>
      </c>
      <c r="K18" s="2848">
        <f ca="1"/>
        <v>9.4600000000000009</v>
      </c>
      <c r="L18" s="2848">
        <f ca="1"/>
        <v>10.34</v>
      </c>
      <c r="M18" s="2848">
        <f ca="1"/>
        <v>11.22</v>
      </c>
      <c r="N18" s="2849">
        <f ca="1"/>
        <v>12.1</v>
      </c>
      <c r="O18" s="2850">
        <f t="shared" ca="1" si="1"/>
        <v>87.11999999999999</v>
      </c>
    </row>
    <row r="19" spans="1:15" ht="15.75" thickBot="1">
      <c r="A19" s="256"/>
      <c r="B19" s="257" t="s">
        <v>737</v>
      </c>
      <c r="C19" s="1143">
        <f t="shared" ref="C19:O19" ca="1" si="2">SUM(C12:C18)</f>
        <v>2.42</v>
      </c>
      <c r="D19" s="1144">
        <f t="shared" ca="1" si="2"/>
        <v>3.3000000000000003</v>
      </c>
      <c r="E19" s="1144">
        <f t="shared" ca="1" si="2"/>
        <v>4.1800000000000006</v>
      </c>
      <c r="F19" s="1144">
        <f t="shared" ca="1" si="2"/>
        <v>5.0600000000000005</v>
      </c>
      <c r="G19" s="1144">
        <f t="shared" ca="1" si="2"/>
        <v>5.94</v>
      </c>
      <c r="H19" s="1144">
        <f t="shared" ca="1" si="2"/>
        <v>6.82</v>
      </c>
      <c r="I19" s="1144">
        <f t="shared" ca="1" si="2"/>
        <v>7.7</v>
      </c>
      <c r="J19" s="1144">
        <f t="shared" ca="1" si="2"/>
        <v>8.5799999999999983</v>
      </c>
      <c r="K19" s="1144">
        <f t="shared" ca="1" si="2"/>
        <v>9.4600000000000009</v>
      </c>
      <c r="L19" s="1144">
        <f t="shared" ca="1" si="2"/>
        <v>10.34</v>
      </c>
      <c r="M19" s="1144">
        <f t="shared" ca="1" si="2"/>
        <v>11.22</v>
      </c>
      <c r="N19" s="1145">
        <f t="shared" ca="1" si="2"/>
        <v>12.1</v>
      </c>
      <c r="O19" s="604">
        <f t="shared" ca="1" si="2"/>
        <v>87.11999999999999</v>
      </c>
    </row>
    <row r="20" spans="1:15" ht="36.75" customHeight="1" thickBot="1"/>
    <row r="21" spans="1:15" ht="15.75" thickBot="1">
      <c r="A21" s="1146" t="str">
        <f>CONCATENATE("Financial Expenses Year ",'Base Data'!$C$18)</f>
        <v>Financial Expenses Year 1</v>
      </c>
      <c r="B21" s="258" t="str">
        <f>$B$6</f>
        <v>previous</v>
      </c>
      <c r="C21" s="422" t="str">
        <f t="array" ref="C21:N21">meses</f>
        <v>January</v>
      </c>
      <c r="D21" s="156" t="str">
        <v>February</v>
      </c>
      <c r="E21" s="156" t="str">
        <v>March</v>
      </c>
      <c r="F21" s="156" t="str">
        <v>April</v>
      </c>
      <c r="G21" s="156" t="str">
        <v>May</v>
      </c>
      <c r="H21" s="156" t="str">
        <v>June</v>
      </c>
      <c r="I21" s="156" t="str">
        <v>July</v>
      </c>
      <c r="J21" s="156" t="str">
        <v>August</v>
      </c>
      <c r="K21" s="156" t="str">
        <v>September</v>
      </c>
      <c r="L21" s="156" t="str">
        <v>October</v>
      </c>
      <c r="M21" s="156" t="str">
        <v>November</v>
      </c>
      <c r="N21" s="157" t="str">
        <v>December</v>
      </c>
      <c r="O21" s="102" t="str">
        <f>$O$6</f>
        <v>Yearly Av.</v>
      </c>
    </row>
    <row r="22" spans="1:15" s="255" customFormat="1">
      <c r="A22" s="2441" t="str">
        <f t="array" ref="A22:A24">A$7:A$9</f>
        <v>Credit account amounts used</v>
      </c>
      <c r="B22" s="1776">
        <f t="array" ref="B22:N22" ca="1">'Cash Flow 1'!B33:N33</f>
        <v>0</v>
      </c>
      <c r="C22" s="1777">
        <f ca="1"/>
        <v>0</v>
      </c>
      <c r="D22" s="1778">
        <f ca="1"/>
        <v>0</v>
      </c>
      <c r="E22" s="1778">
        <f ca="1"/>
        <v>0</v>
      </c>
      <c r="F22" s="1778">
        <f ca="1"/>
        <v>0</v>
      </c>
      <c r="G22" s="1778">
        <f ca="1"/>
        <v>0</v>
      </c>
      <c r="H22" s="1778">
        <f ca="1"/>
        <v>0</v>
      </c>
      <c r="I22" s="1778">
        <f ca="1"/>
        <v>0</v>
      </c>
      <c r="J22" s="1778">
        <f ca="1"/>
        <v>0</v>
      </c>
      <c r="K22" s="1778">
        <f ca="1"/>
        <v>0</v>
      </c>
      <c r="L22" s="1778">
        <f ca="1"/>
        <v>0</v>
      </c>
      <c r="M22" s="1778">
        <f ca="1"/>
        <v>0</v>
      </c>
      <c r="N22" s="1779">
        <f ca="1"/>
        <v>0</v>
      </c>
      <c r="O22" s="1790">
        <f ca="1">AVERAGE(C22:N22)</f>
        <v>0</v>
      </c>
    </row>
    <row r="23" spans="1:15">
      <c r="A23" s="2440" t="str">
        <v>Credit account amounts not used</v>
      </c>
      <c r="B23" s="1789">
        <f t="array" ref="B23:N23" ca="1">Funding!$D$49-B22:N22</f>
        <v>0</v>
      </c>
      <c r="C23" s="1786">
        <f ca="1"/>
        <v>0</v>
      </c>
      <c r="D23" s="1787">
        <f ca="1"/>
        <v>0</v>
      </c>
      <c r="E23" s="1787">
        <f ca="1"/>
        <v>0</v>
      </c>
      <c r="F23" s="1787">
        <f ca="1"/>
        <v>0</v>
      </c>
      <c r="G23" s="1787">
        <f ca="1"/>
        <v>0</v>
      </c>
      <c r="H23" s="1787">
        <f ca="1"/>
        <v>0</v>
      </c>
      <c r="I23" s="1787">
        <f ca="1"/>
        <v>0</v>
      </c>
      <c r="J23" s="1787">
        <f ca="1"/>
        <v>0</v>
      </c>
      <c r="K23" s="1787">
        <f ca="1"/>
        <v>0</v>
      </c>
      <c r="L23" s="1787">
        <f ca="1"/>
        <v>0</v>
      </c>
      <c r="M23" s="1787">
        <f ca="1"/>
        <v>0</v>
      </c>
      <c r="N23" s="1788">
        <f ca="1"/>
        <v>0</v>
      </c>
      <c r="O23" s="606">
        <f ca="1">AVERAGE(C23:N23)</f>
        <v>0</v>
      </c>
    </row>
    <row r="24" spans="1:15" s="255" customFormat="1" ht="15.75" thickBot="1">
      <c r="A24" s="1785" t="str">
        <v>Bank overdrafts</v>
      </c>
      <c r="B24" s="1780">
        <f ca="1">-MIN('Cash Flow 1'!B35,0)</f>
        <v>6756.8779999999988</v>
      </c>
      <c r="C24" s="1781">
        <f ca="1">-MIN('Cash Flow 1'!C35,0)</f>
        <v>7200.1671199999992</v>
      </c>
      <c r="D24" s="1782">
        <f ca="1">-MIN('Cash Flow 1'!D35,0)</f>
        <v>7646.4021199999988</v>
      </c>
      <c r="E24" s="1782">
        <f ca="1">-MIN('Cash Flow 1'!E35,0)</f>
        <v>8092.6371199999985</v>
      </c>
      <c r="F24" s="1782">
        <f ca="1">-MIN('Cash Flow 1'!F35,0)</f>
        <v>8538.8721199999982</v>
      </c>
      <c r="G24" s="1782">
        <f ca="1">-MIN('Cash Flow 1'!G35,0)</f>
        <v>8985.1071199999988</v>
      </c>
      <c r="H24" s="1782">
        <f ca="1">-MIN('Cash Flow 1'!H35,0)</f>
        <v>9431.3421199999993</v>
      </c>
      <c r="I24" s="1782">
        <f ca="1">-MIN('Cash Flow 1'!I35,0)</f>
        <v>9877.5771199999999</v>
      </c>
      <c r="J24" s="1782">
        <f ca="1">-MIN('Cash Flow 1'!J35,0)</f>
        <v>10323.812120000001</v>
      </c>
      <c r="K24" s="1782">
        <f ca="1">-MIN('Cash Flow 1'!K35,0)</f>
        <v>10770.047120000001</v>
      </c>
      <c r="L24" s="1782">
        <f ca="1">-MIN('Cash Flow 1'!L35,0)</f>
        <v>11216.282120000002</v>
      </c>
      <c r="M24" s="1782">
        <f ca="1">-MIN('Cash Flow 1'!M35,0)</f>
        <v>11662.517120000002</v>
      </c>
      <c r="N24" s="1783">
        <f ca="1">-MIN('Cash Flow 1'!N35,0)</f>
        <v>12108.752120000003</v>
      </c>
      <c r="O24" s="1791">
        <f ca="1">AVERAGE(C24:N24)</f>
        <v>9654.4596200000015</v>
      </c>
    </row>
    <row r="25" spans="1:15" ht="12" customHeight="1" thickBot="1">
      <c r="A25" s="1147"/>
      <c r="B25" s="259"/>
      <c r="C25" s="260"/>
      <c r="D25" s="261"/>
      <c r="E25" s="261"/>
      <c r="F25" s="261"/>
      <c r="G25" s="261"/>
      <c r="H25" s="261"/>
      <c r="I25" s="261"/>
      <c r="J25" s="261"/>
      <c r="K25" s="261"/>
      <c r="L25" s="261"/>
      <c r="M25" s="261"/>
      <c r="N25" s="262"/>
      <c r="O25" s="259"/>
    </row>
    <row r="26" spans="1:15" ht="14.25" customHeight="1" thickBot="1">
      <c r="A26" s="1147"/>
      <c r="B26" s="1793" t="str">
        <f>$B$11</f>
        <v>rates</v>
      </c>
      <c r="C26" s="260"/>
      <c r="D26" s="261"/>
      <c r="E26" s="261"/>
      <c r="F26" s="261"/>
      <c r="G26" s="261"/>
      <c r="H26" s="261"/>
      <c r="I26" s="261"/>
      <c r="J26" s="261"/>
      <c r="K26" s="261"/>
      <c r="L26" s="261"/>
      <c r="M26" s="261"/>
      <c r="N26" s="262"/>
      <c r="O26" s="1793" t="str">
        <f>$O$11</f>
        <v>Totals</v>
      </c>
    </row>
    <row r="27" spans="1:15">
      <c r="A27" s="310" t="str">
        <f t="array" ref="A27:A33">A$12:A$18</f>
        <v>Credit Account interests</v>
      </c>
      <c r="B27" s="1150">
        <f>+Funding!E51</f>
        <v>7.0000000000000007E-2</v>
      </c>
      <c r="C27" s="1149">
        <f t="array" ref="C27:N27" ca="1">$B27/12*B22:M22+IF(C$11:N$11=1,Funding!$E$50*Funding!$E$49,0)</f>
        <v>0</v>
      </c>
      <c r="D27" s="602">
        <f ca="1"/>
        <v>0</v>
      </c>
      <c r="E27" s="602">
        <f ca="1"/>
        <v>0</v>
      </c>
      <c r="F27" s="602">
        <f ca="1"/>
        <v>0</v>
      </c>
      <c r="G27" s="602">
        <f ca="1"/>
        <v>0</v>
      </c>
      <c r="H27" s="602">
        <f ca="1"/>
        <v>0</v>
      </c>
      <c r="I27" s="602">
        <f ca="1"/>
        <v>0</v>
      </c>
      <c r="J27" s="602">
        <f ca="1"/>
        <v>0</v>
      </c>
      <c r="K27" s="602">
        <f ca="1"/>
        <v>0</v>
      </c>
      <c r="L27" s="602">
        <f ca="1"/>
        <v>0</v>
      </c>
      <c r="M27" s="602">
        <f ca="1"/>
        <v>0</v>
      </c>
      <c r="N27" s="603">
        <f ca="1"/>
        <v>0</v>
      </c>
      <c r="O27" s="605">
        <f t="shared" ref="O27:O33" ca="1" si="3">SUM(C27:N27)</f>
        <v>0</v>
      </c>
    </row>
    <row r="28" spans="1:15">
      <c r="A28" s="1770" t="str">
        <v>Non used credit fees</v>
      </c>
      <c r="B28" s="1771">
        <f>+Funding!$E$52</f>
        <v>0.02</v>
      </c>
      <c r="C28" s="1772">
        <f t="array" ref="C28:N29" ca="1">$B28:$B29/12*B23:M24</f>
        <v>0</v>
      </c>
      <c r="D28" s="1773">
        <f ca="1"/>
        <v>0</v>
      </c>
      <c r="E28" s="1773">
        <f ca="1"/>
        <v>0</v>
      </c>
      <c r="F28" s="1773">
        <f ca="1"/>
        <v>0</v>
      </c>
      <c r="G28" s="1773">
        <f ca="1"/>
        <v>0</v>
      </c>
      <c r="H28" s="1773">
        <f ca="1"/>
        <v>0</v>
      </c>
      <c r="I28" s="1773">
        <f ca="1"/>
        <v>0</v>
      </c>
      <c r="J28" s="1773">
        <f ca="1"/>
        <v>0</v>
      </c>
      <c r="K28" s="1773">
        <f ca="1"/>
        <v>0</v>
      </c>
      <c r="L28" s="1773">
        <f ca="1"/>
        <v>0</v>
      </c>
      <c r="M28" s="1773">
        <f ca="1"/>
        <v>0</v>
      </c>
      <c r="N28" s="1774">
        <f ca="1"/>
        <v>0</v>
      </c>
      <c r="O28" s="1775">
        <f t="shared" ca="1" si="3"/>
        <v>0</v>
      </c>
    </row>
    <row r="29" spans="1:15">
      <c r="A29" s="1770" t="str">
        <v>Bank overdrafts penalties</v>
      </c>
      <c r="B29" s="1771">
        <f>B14</f>
        <v>0</v>
      </c>
      <c r="C29" s="1772">
        <f ca="1"/>
        <v>0</v>
      </c>
      <c r="D29" s="1773">
        <f ca="1"/>
        <v>0</v>
      </c>
      <c r="E29" s="1773">
        <f ca="1"/>
        <v>0</v>
      </c>
      <c r="F29" s="1773">
        <f ca="1"/>
        <v>0</v>
      </c>
      <c r="G29" s="1773">
        <f ca="1"/>
        <v>0</v>
      </c>
      <c r="H29" s="1773">
        <f ca="1"/>
        <v>0</v>
      </c>
      <c r="I29" s="1773">
        <f ca="1"/>
        <v>0</v>
      </c>
      <c r="J29" s="1773">
        <f ca="1"/>
        <v>0</v>
      </c>
      <c r="K29" s="1773">
        <f ca="1"/>
        <v>0</v>
      </c>
      <c r="L29" s="1773">
        <f ca="1"/>
        <v>0</v>
      </c>
      <c r="M29" s="1773">
        <f ca="1"/>
        <v>0</v>
      </c>
      <c r="N29" s="1774">
        <f ca="1"/>
        <v>0</v>
      </c>
      <c r="O29" s="1775">
        <f t="shared" ca="1" si="3"/>
        <v>0</v>
      </c>
    </row>
    <row r="30" spans="1:15">
      <c r="A30" s="311" t="str">
        <v>Renting quotes</v>
      </c>
      <c r="B30" s="1151"/>
      <c r="C30" s="1148">
        <f t="array" ref="C30:N30">+Renting!B28:M28</f>
        <v>0</v>
      </c>
      <c r="D30" s="869">
        <v>0</v>
      </c>
      <c r="E30" s="869">
        <v>0</v>
      </c>
      <c r="F30" s="869">
        <v>0</v>
      </c>
      <c r="G30" s="869">
        <v>0</v>
      </c>
      <c r="H30" s="869">
        <v>0</v>
      </c>
      <c r="I30" s="869">
        <v>0</v>
      </c>
      <c r="J30" s="869">
        <v>0</v>
      </c>
      <c r="K30" s="869">
        <v>0</v>
      </c>
      <c r="L30" s="869">
        <v>0</v>
      </c>
      <c r="M30" s="869">
        <v>0</v>
      </c>
      <c r="N30" s="870">
        <v>0</v>
      </c>
      <c r="O30" s="606">
        <f t="shared" si="3"/>
        <v>0</v>
      </c>
    </row>
    <row r="31" spans="1:15">
      <c r="A31" s="1700" t="str">
        <v>Leasing quotes</v>
      </c>
      <c r="B31" s="1678"/>
      <c r="C31" s="1701">
        <f t="array" ref="C31:N31">Leasing!B29:M29</f>
        <v>0</v>
      </c>
      <c r="D31" s="1702">
        <v>0</v>
      </c>
      <c r="E31" s="1702">
        <v>0</v>
      </c>
      <c r="F31" s="1702">
        <v>0</v>
      </c>
      <c r="G31" s="1702">
        <v>0</v>
      </c>
      <c r="H31" s="1702">
        <v>0</v>
      </c>
      <c r="I31" s="1702">
        <v>0</v>
      </c>
      <c r="J31" s="1702">
        <v>0</v>
      </c>
      <c r="K31" s="1702">
        <v>0</v>
      </c>
      <c r="L31" s="1702">
        <v>0</v>
      </c>
      <c r="M31" s="1702">
        <v>0</v>
      </c>
      <c r="N31" s="1703">
        <v>0</v>
      </c>
      <c r="O31" s="606">
        <f t="shared" si="3"/>
        <v>0</v>
      </c>
    </row>
    <row r="32" spans="1:15">
      <c r="A32" s="311" t="str">
        <v>Mortgage Interests &amp; fees</v>
      </c>
      <c r="B32" s="2851"/>
      <c r="C32" s="1148">
        <f t="array" ref="C32:N32">Loans!B30:M30</f>
        <v>0</v>
      </c>
      <c r="D32" s="869">
        <v>0</v>
      </c>
      <c r="E32" s="869">
        <v>0</v>
      </c>
      <c r="F32" s="869">
        <v>0</v>
      </c>
      <c r="G32" s="869">
        <v>0</v>
      </c>
      <c r="H32" s="869">
        <v>0</v>
      </c>
      <c r="I32" s="869">
        <v>0</v>
      </c>
      <c r="J32" s="869">
        <v>0</v>
      </c>
      <c r="K32" s="869">
        <v>0</v>
      </c>
      <c r="L32" s="869">
        <v>0</v>
      </c>
      <c r="M32" s="869">
        <v>0</v>
      </c>
      <c r="N32" s="2853">
        <v>0</v>
      </c>
      <c r="O32" s="2852">
        <f t="shared" si="3"/>
        <v>0</v>
      </c>
    </row>
    <row r="33" spans="1:15" ht="15.75" thickBot="1">
      <c r="A33" s="2846" t="str">
        <v>Collection expenses (bank fees)</v>
      </c>
      <c r="B33" s="2858">
        <f>Parameters!$H$14</f>
        <v>0.01</v>
      </c>
      <c r="C33" s="2847">
        <f t="array" aca="1" ref="C33:N33" ca="1">$B33*'Collections &amp; Payments 1'!$B$28:$M$28</f>
        <v>12.462999999999999</v>
      </c>
      <c r="D33" s="2848">
        <f ca="1"/>
        <v>12.462999999999999</v>
      </c>
      <c r="E33" s="2848">
        <f ca="1"/>
        <v>12.462999999999999</v>
      </c>
      <c r="F33" s="2848">
        <f ca="1"/>
        <v>12.462999999999999</v>
      </c>
      <c r="G33" s="2848">
        <f ca="1"/>
        <v>12.462999999999999</v>
      </c>
      <c r="H33" s="2848">
        <f ca="1"/>
        <v>12.462999999999999</v>
      </c>
      <c r="I33" s="2848">
        <f ca="1"/>
        <v>12.462999999999999</v>
      </c>
      <c r="J33" s="2848">
        <f ca="1"/>
        <v>12.462999999999999</v>
      </c>
      <c r="K33" s="2848">
        <f ca="1"/>
        <v>12.462999999999999</v>
      </c>
      <c r="L33" s="2848">
        <f ca="1"/>
        <v>12.462999999999999</v>
      </c>
      <c r="M33" s="2848">
        <f ca="1"/>
        <v>12.462999999999999</v>
      </c>
      <c r="N33" s="2849">
        <f ca="1"/>
        <v>12.462999999999999</v>
      </c>
      <c r="O33" s="2850">
        <f t="shared" ca="1" si="3"/>
        <v>149.55599999999995</v>
      </c>
    </row>
    <row r="34" spans="1:15" ht="15.75" thickBot="1">
      <c r="A34" s="256"/>
      <c r="B34" s="257" t="str">
        <f>$B$19</f>
        <v xml:space="preserve">Monthly totals  </v>
      </c>
      <c r="C34" s="1143">
        <f t="shared" ref="C34:O34" ca="1" si="4">SUM(C27:C33)</f>
        <v>12.462999999999999</v>
      </c>
      <c r="D34" s="1144">
        <f t="shared" ca="1" si="4"/>
        <v>12.462999999999999</v>
      </c>
      <c r="E34" s="1144">
        <f t="shared" ca="1" si="4"/>
        <v>12.462999999999999</v>
      </c>
      <c r="F34" s="1144">
        <f t="shared" ca="1" si="4"/>
        <v>12.462999999999999</v>
      </c>
      <c r="G34" s="1144">
        <f t="shared" ca="1" si="4"/>
        <v>12.462999999999999</v>
      </c>
      <c r="H34" s="1144">
        <f t="shared" ca="1" si="4"/>
        <v>12.462999999999999</v>
      </c>
      <c r="I34" s="1144">
        <f t="shared" ca="1" si="4"/>
        <v>12.462999999999999</v>
      </c>
      <c r="J34" s="1144">
        <f t="shared" ca="1" si="4"/>
        <v>12.462999999999999</v>
      </c>
      <c r="K34" s="1144">
        <f t="shared" ca="1" si="4"/>
        <v>12.462999999999999</v>
      </c>
      <c r="L34" s="1144">
        <f t="shared" ca="1" si="4"/>
        <v>12.462999999999999</v>
      </c>
      <c r="M34" s="1144">
        <f t="shared" ca="1" si="4"/>
        <v>12.462999999999999</v>
      </c>
      <c r="N34" s="1145">
        <f t="shared" ca="1" si="4"/>
        <v>12.462999999999999</v>
      </c>
      <c r="O34" s="604">
        <f t="shared" ca="1" si="4"/>
        <v>149.55599999999995</v>
      </c>
    </row>
    <row r="35" spans="1:15" ht="36.75" customHeight="1" thickBot="1">
      <c r="B35" s="253"/>
      <c r="C35" s="230"/>
      <c r="D35" s="230"/>
      <c r="E35" s="230"/>
      <c r="F35" s="230"/>
      <c r="G35" s="230"/>
      <c r="H35" s="230"/>
      <c r="I35" s="230"/>
      <c r="J35" s="230"/>
      <c r="K35" s="230"/>
      <c r="L35" s="230"/>
      <c r="M35" s="230"/>
      <c r="N35" s="230"/>
      <c r="O35" s="230"/>
    </row>
    <row r="36" spans="1:15" ht="15.75" thickBot="1">
      <c r="A36" s="1146" t="str">
        <f>CONCATENATE("Financial Expenses Year ",'Base Data'!$D$18)</f>
        <v>Financial Expenses Year 2</v>
      </c>
      <c r="B36" s="258" t="str">
        <f>$B$6</f>
        <v>previous</v>
      </c>
      <c r="C36" s="422" t="str">
        <f t="array" ref="C36:N36">meses</f>
        <v>January</v>
      </c>
      <c r="D36" s="156" t="str">
        <v>February</v>
      </c>
      <c r="E36" s="156" t="str">
        <v>March</v>
      </c>
      <c r="F36" s="156" t="str">
        <v>April</v>
      </c>
      <c r="G36" s="156" t="str">
        <v>May</v>
      </c>
      <c r="H36" s="156" t="str">
        <v>June</v>
      </c>
      <c r="I36" s="156" t="str">
        <v>July</v>
      </c>
      <c r="J36" s="156" t="str">
        <v>August</v>
      </c>
      <c r="K36" s="156" t="str">
        <v>September</v>
      </c>
      <c r="L36" s="156" t="str">
        <v>October</v>
      </c>
      <c r="M36" s="156" t="str">
        <v>November</v>
      </c>
      <c r="N36" s="157" t="str">
        <v>December</v>
      </c>
      <c r="O36" s="102" t="str">
        <f>$O$6</f>
        <v>Yearly Av.</v>
      </c>
    </row>
    <row r="37" spans="1:15" s="255" customFormat="1">
      <c r="A37" s="2441" t="str">
        <f t="array" ref="A37:A39">A$7:A$9</f>
        <v>Credit account amounts used</v>
      </c>
      <c r="B37" s="1776">
        <f t="array" ref="B37:N37" ca="1">'Cash Flow 2'!B33:N33</f>
        <v>0</v>
      </c>
      <c r="C37" s="1777">
        <f ca="1"/>
        <v>0</v>
      </c>
      <c r="D37" s="1778">
        <f ca="1"/>
        <v>0</v>
      </c>
      <c r="E37" s="1778">
        <f ca="1"/>
        <v>0</v>
      </c>
      <c r="F37" s="1778">
        <f ca="1"/>
        <v>0</v>
      </c>
      <c r="G37" s="1778">
        <f ca="1"/>
        <v>0</v>
      </c>
      <c r="H37" s="1778">
        <f ca="1"/>
        <v>0</v>
      </c>
      <c r="I37" s="1778">
        <f ca="1"/>
        <v>0</v>
      </c>
      <c r="J37" s="1778">
        <f ca="1"/>
        <v>0</v>
      </c>
      <c r="K37" s="1778">
        <f ca="1"/>
        <v>0</v>
      </c>
      <c r="L37" s="1778">
        <f ca="1"/>
        <v>0</v>
      </c>
      <c r="M37" s="1778">
        <f ca="1"/>
        <v>0</v>
      </c>
      <c r="N37" s="1779">
        <f ca="1"/>
        <v>0</v>
      </c>
      <c r="O37" s="1790">
        <f ca="1">AVERAGE(C37:N37)</f>
        <v>0</v>
      </c>
    </row>
    <row r="38" spans="1:15">
      <c r="A38" s="2440" t="str">
        <v>Credit account amounts not used</v>
      </c>
      <c r="B38" s="1789">
        <f t="array" ref="B38:N38" ca="1">Funding!$E$49-B37:N37</f>
        <v>0</v>
      </c>
      <c r="C38" s="1786">
        <f ca="1"/>
        <v>0</v>
      </c>
      <c r="D38" s="1787">
        <f ca="1"/>
        <v>0</v>
      </c>
      <c r="E38" s="1787">
        <f ca="1"/>
        <v>0</v>
      </c>
      <c r="F38" s="1787">
        <f ca="1"/>
        <v>0</v>
      </c>
      <c r="G38" s="1787">
        <f ca="1"/>
        <v>0</v>
      </c>
      <c r="H38" s="1787">
        <f ca="1"/>
        <v>0</v>
      </c>
      <c r="I38" s="1787">
        <f ca="1"/>
        <v>0</v>
      </c>
      <c r="J38" s="1787">
        <f ca="1"/>
        <v>0</v>
      </c>
      <c r="K38" s="1787">
        <f ca="1"/>
        <v>0</v>
      </c>
      <c r="L38" s="1787">
        <f ca="1"/>
        <v>0</v>
      </c>
      <c r="M38" s="1787">
        <f ca="1"/>
        <v>0</v>
      </c>
      <c r="N38" s="1788">
        <f ca="1"/>
        <v>0</v>
      </c>
      <c r="O38" s="606">
        <f ca="1">AVERAGE(C38:N38)</f>
        <v>0</v>
      </c>
    </row>
    <row r="39" spans="1:15" s="255" customFormat="1" ht="15.75" thickBot="1">
      <c r="A39" s="1785" t="str">
        <v>Bank overdrafts</v>
      </c>
      <c r="B39" s="1780">
        <f ca="1">-MIN('Cash Flow 2'!B35,0)</f>
        <v>12108.752120000003</v>
      </c>
      <c r="C39" s="1781">
        <f ca="1">-MIN('Cash Flow 2'!C35,0)</f>
        <v>12517.644557800004</v>
      </c>
      <c r="D39" s="1782">
        <f ca="1">-MIN('Cash Flow 2'!D35,0)</f>
        <v>12941.858022300004</v>
      </c>
      <c r="E39" s="1782">
        <f ca="1">-MIN('Cash Flow 2'!E35,0)</f>
        <v>13366.071486800005</v>
      </c>
      <c r="F39" s="1782">
        <f ca="1">-MIN('Cash Flow 2'!F35,0)</f>
        <v>13790.284951300006</v>
      </c>
      <c r="G39" s="1782">
        <f ca="1">-MIN('Cash Flow 2'!G35,0)</f>
        <v>14214.498415800006</v>
      </c>
      <c r="H39" s="1782">
        <f ca="1">-MIN('Cash Flow 2'!H35,0)</f>
        <v>14638.711880300007</v>
      </c>
      <c r="I39" s="1782">
        <f ca="1">-MIN('Cash Flow 2'!I35,0)</f>
        <v>15062.925344800007</v>
      </c>
      <c r="J39" s="1782">
        <f ca="1">-MIN('Cash Flow 2'!J35,0)</f>
        <v>15487.138809300008</v>
      </c>
      <c r="K39" s="1782">
        <f ca="1">-MIN('Cash Flow 2'!K35,0)</f>
        <v>15911.352273800008</v>
      </c>
      <c r="L39" s="1782">
        <f ca="1">-MIN('Cash Flow 2'!L35,0)</f>
        <v>16335.565738300009</v>
      </c>
      <c r="M39" s="1782">
        <f ca="1">-MIN('Cash Flow 2'!M35,0)</f>
        <v>16759.779202800008</v>
      </c>
      <c r="N39" s="1783">
        <f ca="1">-MIN('Cash Flow 2'!N35,0)</f>
        <v>17183.992667300008</v>
      </c>
      <c r="O39" s="1791">
        <f ca="1">AVERAGE(C39:N39)</f>
        <v>14850.818612550007</v>
      </c>
    </row>
    <row r="40" spans="1:15" ht="12" customHeight="1" thickBot="1">
      <c r="A40" s="1147"/>
      <c r="B40" s="259"/>
      <c r="C40" s="260"/>
      <c r="D40" s="261"/>
      <c r="E40" s="261"/>
      <c r="F40" s="261"/>
      <c r="G40" s="261"/>
      <c r="H40" s="261"/>
      <c r="I40" s="261"/>
      <c r="J40" s="261"/>
      <c r="K40" s="261"/>
      <c r="L40" s="261"/>
      <c r="M40" s="261"/>
      <c r="N40" s="262"/>
      <c r="O40" s="259"/>
    </row>
    <row r="41" spans="1:15" ht="14.25" customHeight="1" thickBot="1">
      <c r="A41" s="1147"/>
      <c r="B41" s="1793" t="str">
        <f>$B$11</f>
        <v>rates</v>
      </c>
      <c r="C41" s="260"/>
      <c r="D41" s="261"/>
      <c r="E41" s="261"/>
      <c r="F41" s="261"/>
      <c r="G41" s="261"/>
      <c r="H41" s="261"/>
      <c r="I41" s="261"/>
      <c r="J41" s="261"/>
      <c r="K41" s="261"/>
      <c r="L41" s="261"/>
      <c r="M41" s="261"/>
      <c r="N41" s="262"/>
      <c r="O41" s="1793" t="str">
        <f>$O$11</f>
        <v>Totals</v>
      </c>
    </row>
    <row r="42" spans="1:15">
      <c r="A42" s="310" t="str">
        <f t="array" ref="A42:A48">A$12:A$18</f>
        <v>Credit Account interests</v>
      </c>
      <c r="B42" s="1150">
        <f>+Funding!F51</f>
        <v>7.0000000000000007E-2</v>
      </c>
      <c r="C42" s="1149">
        <f t="array" ref="C42:N42" ca="1">$B42/12*B37:M37+IF(C$11:N$11=1,Funding!$F$50*Funding!$F$49,0)</f>
        <v>0</v>
      </c>
      <c r="D42" s="602">
        <f ca="1"/>
        <v>0</v>
      </c>
      <c r="E42" s="602">
        <f ca="1"/>
        <v>0</v>
      </c>
      <c r="F42" s="602">
        <f ca="1"/>
        <v>0</v>
      </c>
      <c r="G42" s="602">
        <f ca="1"/>
        <v>0</v>
      </c>
      <c r="H42" s="602">
        <f ca="1"/>
        <v>0</v>
      </c>
      <c r="I42" s="602">
        <f ca="1"/>
        <v>0</v>
      </c>
      <c r="J42" s="602">
        <f ca="1"/>
        <v>0</v>
      </c>
      <c r="K42" s="602">
        <f ca="1"/>
        <v>0</v>
      </c>
      <c r="L42" s="602">
        <f ca="1"/>
        <v>0</v>
      </c>
      <c r="M42" s="602">
        <f ca="1"/>
        <v>0</v>
      </c>
      <c r="N42" s="603">
        <f ca="1"/>
        <v>0</v>
      </c>
      <c r="O42" s="605">
        <f t="shared" ref="O42:O47" ca="1" si="5">SUM(C42:N42)</f>
        <v>0</v>
      </c>
    </row>
    <row r="43" spans="1:15">
      <c r="A43" s="1770" t="str">
        <v>Non used credit fees</v>
      </c>
      <c r="B43" s="1771">
        <f>+Funding!$F$52</f>
        <v>0.02</v>
      </c>
      <c r="C43" s="1772">
        <f t="array" ref="C43:N44" ca="1">$B43:$B44/12*B38:M39</f>
        <v>0</v>
      </c>
      <c r="D43" s="1773">
        <f ca="1"/>
        <v>0</v>
      </c>
      <c r="E43" s="1773">
        <f ca="1"/>
        <v>0</v>
      </c>
      <c r="F43" s="1773">
        <f ca="1"/>
        <v>0</v>
      </c>
      <c r="G43" s="1773">
        <f ca="1"/>
        <v>0</v>
      </c>
      <c r="H43" s="1773">
        <f ca="1"/>
        <v>0</v>
      </c>
      <c r="I43" s="1773">
        <f ca="1"/>
        <v>0</v>
      </c>
      <c r="J43" s="1773">
        <f ca="1"/>
        <v>0</v>
      </c>
      <c r="K43" s="1773">
        <f ca="1"/>
        <v>0</v>
      </c>
      <c r="L43" s="1773">
        <f ca="1"/>
        <v>0</v>
      </c>
      <c r="M43" s="1773">
        <f ca="1"/>
        <v>0</v>
      </c>
      <c r="N43" s="1774">
        <f ca="1"/>
        <v>0</v>
      </c>
      <c r="O43" s="1775">
        <f t="shared" ca="1" si="5"/>
        <v>0</v>
      </c>
    </row>
    <row r="44" spans="1:15">
      <c r="A44" s="1770" t="str">
        <v>Bank overdrafts penalties</v>
      </c>
      <c r="B44" s="1771">
        <f>B29</f>
        <v>0</v>
      </c>
      <c r="C44" s="1772">
        <f ca="1"/>
        <v>0</v>
      </c>
      <c r="D44" s="1773">
        <f ca="1"/>
        <v>0</v>
      </c>
      <c r="E44" s="1773">
        <f ca="1"/>
        <v>0</v>
      </c>
      <c r="F44" s="1773">
        <f ca="1"/>
        <v>0</v>
      </c>
      <c r="G44" s="1773">
        <f ca="1"/>
        <v>0</v>
      </c>
      <c r="H44" s="1773">
        <f ca="1"/>
        <v>0</v>
      </c>
      <c r="I44" s="1773">
        <f ca="1"/>
        <v>0</v>
      </c>
      <c r="J44" s="1773">
        <f ca="1"/>
        <v>0</v>
      </c>
      <c r="K44" s="1773">
        <f ca="1"/>
        <v>0</v>
      </c>
      <c r="L44" s="1773">
        <f ca="1"/>
        <v>0</v>
      </c>
      <c r="M44" s="1773">
        <f ca="1"/>
        <v>0</v>
      </c>
      <c r="N44" s="1774">
        <f ca="1"/>
        <v>0</v>
      </c>
      <c r="O44" s="1775">
        <f t="shared" ca="1" si="5"/>
        <v>0</v>
      </c>
    </row>
    <row r="45" spans="1:15">
      <c r="A45" s="311" t="str">
        <v>Renting quotes</v>
      </c>
      <c r="B45" s="1151"/>
      <c r="C45" s="1148">
        <f t="array" ref="C45:N45">+Renting!B35:M35</f>
        <v>0</v>
      </c>
      <c r="D45" s="869">
        <v>0</v>
      </c>
      <c r="E45" s="869">
        <v>0</v>
      </c>
      <c r="F45" s="869">
        <v>0</v>
      </c>
      <c r="G45" s="869">
        <v>0</v>
      </c>
      <c r="H45" s="869">
        <v>0</v>
      </c>
      <c r="I45" s="869">
        <v>0</v>
      </c>
      <c r="J45" s="869">
        <v>0</v>
      </c>
      <c r="K45" s="869">
        <v>0</v>
      </c>
      <c r="L45" s="869">
        <v>0</v>
      </c>
      <c r="M45" s="869">
        <v>0</v>
      </c>
      <c r="N45" s="870">
        <v>0</v>
      </c>
      <c r="O45" s="606">
        <f t="shared" si="5"/>
        <v>0</v>
      </c>
    </row>
    <row r="46" spans="1:15">
      <c r="A46" s="1700" t="str">
        <v>Leasing quotes</v>
      </c>
      <c r="B46" s="1678"/>
      <c r="C46" s="1701">
        <f t="array" ref="C46:N46">Leasing!B37:M37</f>
        <v>0</v>
      </c>
      <c r="D46" s="1702">
        <v>0</v>
      </c>
      <c r="E46" s="1702">
        <v>0</v>
      </c>
      <c r="F46" s="1702">
        <v>0</v>
      </c>
      <c r="G46" s="1702">
        <v>0</v>
      </c>
      <c r="H46" s="1702">
        <v>0</v>
      </c>
      <c r="I46" s="1702">
        <v>0</v>
      </c>
      <c r="J46" s="1702">
        <v>0</v>
      </c>
      <c r="K46" s="1702">
        <v>0</v>
      </c>
      <c r="L46" s="1702">
        <v>0</v>
      </c>
      <c r="M46" s="1702">
        <v>0</v>
      </c>
      <c r="N46" s="1703">
        <v>0</v>
      </c>
      <c r="O46" s="606">
        <f t="shared" si="5"/>
        <v>0</v>
      </c>
    </row>
    <row r="47" spans="1:15">
      <c r="A47" s="311" t="str">
        <v>Mortgage Interests &amp; fees</v>
      </c>
      <c r="B47" s="2851"/>
      <c r="C47" s="1148">
        <f t="array" ref="C47:N47">Loans!B38:M38</f>
        <v>0</v>
      </c>
      <c r="D47" s="869">
        <v>0</v>
      </c>
      <c r="E47" s="869">
        <v>0</v>
      </c>
      <c r="F47" s="869">
        <v>0</v>
      </c>
      <c r="G47" s="869">
        <v>0</v>
      </c>
      <c r="H47" s="869">
        <v>0</v>
      </c>
      <c r="I47" s="869">
        <v>0</v>
      </c>
      <c r="J47" s="869">
        <v>0</v>
      </c>
      <c r="K47" s="869">
        <v>0</v>
      </c>
      <c r="L47" s="869">
        <v>0</v>
      </c>
      <c r="M47" s="869">
        <v>0</v>
      </c>
      <c r="N47" s="870">
        <v>0</v>
      </c>
      <c r="O47" s="2852">
        <f t="shared" si="5"/>
        <v>0</v>
      </c>
    </row>
    <row r="48" spans="1:15" ht="15.75" thickBot="1">
      <c r="A48" s="2846" t="str">
        <v>Collection expenses (bank fees)</v>
      </c>
      <c r="B48" s="2858">
        <f>Parameters!$H$14</f>
        <v>0.01</v>
      </c>
      <c r="C48" s="2847">
        <f t="array" aca="1" ref="C48:N48" ca="1">$B48*'Collections &amp; Payments 2'!$B$28:$M$28</f>
        <v>13.478734499999998</v>
      </c>
      <c r="D48" s="2848">
        <f ca="1"/>
        <v>13.478734499999998</v>
      </c>
      <c r="E48" s="2848">
        <f ca="1"/>
        <v>13.478734499999998</v>
      </c>
      <c r="F48" s="2848">
        <f ca="1"/>
        <v>13.478734499999998</v>
      </c>
      <c r="G48" s="2848">
        <f ca="1"/>
        <v>13.478734499999998</v>
      </c>
      <c r="H48" s="2848">
        <f ca="1"/>
        <v>13.478734499999998</v>
      </c>
      <c r="I48" s="2848">
        <f ca="1"/>
        <v>13.478734499999998</v>
      </c>
      <c r="J48" s="2848">
        <f ca="1"/>
        <v>13.478734499999998</v>
      </c>
      <c r="K48" s="2848">
        <f ca="1"/>
        <v>13.478734499999998</v>
      </c>
      <c r="L48" s="2848">
        <f ca="1"/>
        <v>13.478734499999998</v>
      </c>
      <c r="M48" s="2848">
        <f ca="1"/>
        <v>13.478734499999998</v>
      </c>
      <c r="N48" s="2849">
        <f ca="1"/>
        <v>13.478734499999998</v>
      </c>
      <c r="O48" s="2850">
        <f ca="1">SUM(C48:N48)</f>
        <v>161.74481399999999</v>
      </c>
    </row>
    <row r="49" spans="1:15" ht="15.75" thickBot="1">
      <c r="A49" s="256"/>
      <c r="B49" s="257" t="str">
        <f>$B$19</f>
        <v xml:space="preserve">Monthly totals  </v>
      </c>
      <c r="C49" s="1143">
        <f t="shared" ref="C49:O49" ca="1" si="6">SUM(C42:C48)</f>
        <v>13.478734499999998</v>
      </c>
      <c r="D49" s="1144">
        <f t="shared" ca="1" si="6"/>
        <v>13.478734499999998</v>
      </c>
      <c r="E49" s="1144">
        <f t="shared" ca="1" si="6"/>
        <v>13.478734499999998</v>
      </c>
      <c r="F49" s="1144">
        <f t="shared" ca="1" si="6"/>
        <v>13.478734499999998</v>
      </c>
      <c r="G49" s="1144">
        <f t="shared" ca="1" si="6"/>
        <v>13.478734499999998</v>
      </c>
      <c r="H49" s="1144">
        <f t="shared" ca="1" si="6"/>
        <v>13.478734499999998</v>
      </c>
      <c r="I49" s="1144">
        <f t="shared" ca="1" si="6"/>
        <v>13.478734499999998</v>
      </c>
      <c r="J49" s="1144">
        <f t="shared" ca="1" si="6"/>
        <v>13.478734499999998</v>
      </c>
      <c r="K49" s="1144">
        <f t="shared" ca="1" si="6"/>
        <v>13.478734499999998</v>
      </c>
      <c r="L49" s="1144">
        <f t="shared" ca="1" si="6"/>
        <v>13.478734499999998</v>
      </c>
      <c r="M49" s="1144">
        <f t="shared" ca="1" si="6"/>
        <v>13.478734499999998</v>
      </c>
      <c r="N49" s="1145">
        <f t="shared" ca="1" si="6"/>
        <v>13.478734499999998</v>
      </c>
      <c r="O49" s="604">
        <f t="shared" ca="1" si="6"/>
        <v>161.74481399999999</v>
      </c>
    </row>
    <row r="50" spans="1:15" ht="36.75" customHeight="1" thickBot="1"/>
    <row r="51" spans="1:15" ht="15.75" thickBot="1">
      <c r="A51" s="1146" t="str">
        <f>CONCATENATE("Financial Expenses Year ",'Base Data'!$D$18+1)</f>
        <v>Financial Expenses Year 3</v>
      </c>
      <c r="B51" s="258" t="str">
        <f>$B$6</f>
        <v>previous</v>
      </c>
      <c r="C51" s="422" t="str">
        <f t="array" ref="C51:N51">meses</f>
        <v>January</v>
      </c>
      <c r="D51" s="156" t="str">
        <v>February</v>
      </c>
      <c r="E51" s="156" t="str">
        <v>March</v>
      </c>
      <c r="F51" s="156" t="str">
        <v>April</v>
      </c>
      <c r="G51" s="156" t="str">
        <v>May</v>
      </c>
      <c r="H51" s="156" t="str">
        <v>June</v>
      </c>
      <c r="I51" s="156" t="str">
        <v>July</v>
      </c>
      <c r="J51" s="156" t="str">
        <v>August</v>
      </c>
      <c r="K51" s="156" t="str">
        <v>September</v>
      </c>
      <c r="L51" s="156" t="str">
        <v>October</v>
      </c>
      <c r="M51" s="156" t="str">
        <v>November</v>
      </c>
      <c r="N51" s="157" t="str">
        <v>December</v>
      </c>
      <c r="O51" s="102" t="str">
        <f>$O$6</f>
        <v>Yearly Av.</v>
      </c>
    </row>
    <row r="52" spans="1:15" s="255" customFormat="1">
      <c r="A52" s="2441" t="str">
        <f t="array" ref="A52:A54">A$7:A$9</f>
        <v>Credit account amounts used</v>
      </c>
      <c r="B52" s="1776">
        <f t="array" ref="B52:N52" ca="1">'Cash Flow 3'!B33:N33</f>
        <v>0</v>
      </c>
      <c r="C52" s="1777">
        <f ca="1"/>
        <v>0</v>
      </c>
      <c r="D52" s="1778">
        <f ca="1"/>
        <v>0</v>
      </c>
      <c r="E52" s="1778">
        <f ca="1"/>
        <v>0</v>
      </c>
      <c r="F52" s="1778">
        <f ca="1"/>
        <v>0</v>
      </c>
      <c r="G52" s="1778">
        <f ca="1"/>
        <v>0</v>
      </c>
      <c r="H52" s="1778">
        <f ca="1"/>
        <v>0</v>
      </c>
      <c r="I52" s="1778">
        <f ca="1"/>
        <v>0</v>
      </c>
      <c r="J52" s="1778">
        <f ca="1"/>
        <v>0</v>
      </c>
      <c r="K52" s="1778">
        <f ca="1"/>
        <v>0</v>
      </c>
      <c r="L52" s="1778">
        <f ca="1"/>
        <v>0</v>
      </c>
      <c r="M52" s="1778">
        <f ca="1"/>
        <v>0</v>
      </c>
      <c r="N52" s="1779">
        <f ca="1"/>
        <v>0</v>
      </c>
      <c r="O52" s="1790">
        <f ca="1">AVERAGE(C52:N52)</f>
        <v>0</v>
      </c>
    </row>
    <row r="53" spans="1:15">
      <c r="A53" s="2440" t="str">
        <v>Credit account amounts not used</v>
      </c>
      <c r="B53" s="1789">
        <f t="array" ref="B53:N53" ca="1">Funding!$F$49-B52:N52</f>
        <v>0</v>
      </c>
      <c r="C53" s="1786">
        <f ca="1"/>
        <v>0</v>
      </c>
      <c r="D53" s="1787">
        <f ca="1"/>
        <v>0</v>
      </c>
      <c r="E53" s="1787">
        <f ca="1"/>
        <v>0</v>
      </c>
      <c r="F53" s="1787">
        <f ca="1"/>
        <v>0</v>
      </c>
      <c r="G53" s="1787">
        <f ca="1"/>
        <v>0</v>
      </c>
      <c r="H53" s="1787">
        <f ca="1"/>
        <v>0</v>
      </c>
      <c r="I53" s="1787">
        <f ca="1"/>
        <v>0</v>
      </c>
      <c r="J53" s="1787">
        <f ca="1"/>
        <v>0</v>
      </c>
      <c r="K53" s="1787">
        <f ca="1"/>
        <v>0</v>
      </c>
      <c r="L53" s="1787">
        <f ca="1"/>
        <v>0</v>
      </c>
      <c r="M53" s="1787">
        <f ca="1"/>
        <v>0</v>
      </c>
      <c r="N53" s="1788">
        <f ca="1"/>
        <v>0</v>
      </c>
      <c r="O53" s="606">
        <f ca="1">AVERAGE(C53:N53)</f>
        <v>0</v>
      </c>
    </row>
    <row r="54" spans="1:15" s="255" customFormat="1" ht="15.75" thickBot="1">
      <c r="A54" s="1785" t="str">
        <v>Bank overdrafts</v>
      </c>
      <c r="B54" s="1780">
        <f ca="1">-MIN('Cash Flow 3'!B35,0)</f>
        <v>17183.992667300008</v>
      </c>
      <c r="C54" s="1781">
        <f ca="1">-MIN('Cash Flow 3'!C35,0)</f>
        <v>17565.17616482341</v>
      </c>
      <c r="D54" s="1782">
        <f ca="1">-MIN('Cash Flow 3'!D35,0)</f>
        <v>17963.029825913509</v>
      </c>
      <c r="E54" s="1782">
        <f ca="1">-MIN('Cash Flow 3'!E35,0)</f>
        <v>18360.883487003608</v>
      </c>
      <c r="F54" s="1782">
        <f ca="1">-MIN('Cash Flow 3'!F35,0)</f>
        <v>18758.737148093707</v>
      </c>
      <c r="G54" s="1782">
        <f ca="1">-MIN('Cash Flow 3'!G35,0)</f>
        <v>19156.590809183806</v>
      </c>
      <c r="H54" s="1782">
        <f ca="1">-MIN('Cash Flow 3'!H35,0)</f>
        <v>19554.444470273906</v>
      </c>
      <c r="I54" s="1782">
        <f ca="1">-MIN('Cash Flow 3'!I35,0)</f>
        <v>19952.298131364005</v>
      </c>
      <c r="J54" s="1782">
        <f ca="1">-MIN('Cash Flow 3'!J35,0)</f>
        <v>20350.151792454104</v>
      </c>
      <c r="K54" s="1782">
        <f ca="1">-MIN('Cash Flow 3'!K35,0)</f>
        <v>20748.005453544203</v>
      </c>
      <c r="L54" s="1782">
        <f ca="1">-MIN('Cash Flow 3'!L35,0)</f>
        <v>21145.859114634302</v>
      </c>
      <c r="M54" s="1782">
        <f ca="1">-MIN('Cash Flow 3'!M35,0)</f>
        <v>21543.712775724402</v>
      </c>
      <c r="N54" s="1783">
        <f ca="1">-MIN('Cash Flow 3'!N35,0)</f>
        <v>21941.566436814501</v>
      </c>
      <c r="O54" s="1791">
        <f ca="1">AVERAGE(C54:N54)</f>
        <v>19753.371300818955</v>
      </c>
    </row>
    <row r="55" spans="1:15" ht="12" customHeight="1" thickBot="1">
      <c r="A55" s="1147"/>
      <c r="B55" s="259"/>
      <c r="C55" s="260"/>
      <c r="D55" s="261"/>
      <c r="E55" s="261"/>
      <c r="F55" s="261"/>
      <c r="G55" s="261"/>
      <c r="H55" s="261"/>
      <c r="I55" s="261"/>
      <c r="J55" s="261"/>
      <c r="K55" s="261"/>
      <c r="L55" s="261"/>
      <c r="M55" s="261"/>
      <c r="N55" s="262"/>
      <c r="O55" s="259"/>
    </row>
    <row r="56" spans="1:15" ht="14.25" customHeight="1" thickBot="1">
      <c r="A56" s="1147"/>
      <c r="B56" s="1793" t="str">
        <f>$B$11</f>
        <v>rates</v>
      </c>
      <c r="C56" s="260"/>
      <c r="D56" s="261"/>
      <c r="E56" s="261"/>
      <c r="F56" s="261"/>
      <c r="G56" s="261"/>
      <c r="H56" s="261"/>
      <c r="I56" s="261"/>
      <c r="J56" s="261"/>
      <c r="K56" s="261"/>
      <c r="L56" s="261"/>
      <c r="M56" s="261"/>
      <c r="N56" s="262"/>
      <c r="O56" s="1793" t="str">
        <f>$O$11</f>
        <v>Totals</v>
      </c>
    </row>
    <row r="57" spans="1:15">
      <c r="A57" s="310" t="str">
        <f t="array" ref="A57:A63">A$12:A$18</f>
        <v>Credit Account interests</v>
      </c>
      <c r="B57" s="1150">
        <f>+Funding!G51</f>
        <v>7.0000000000000007E-2</v>
      </c>
      <c r="C57" s="1149">
        <f t="array" ref="C57:N57" ca="1">$B57/12*B52:M52+IF(C$11:N$11=1,Funding!$G$50*Funding!$G$49,0)</f>
        <v>0</v>
      </c>
      <c r="D57" s="602">
        <f ca="1"/>
        <v>0</v>
      </c>
      <c r="E57" s="602">
        <f ca="1"/>
        <v>0</v>
      </c>
      <c r="F57" s="602">
        <f ca="1"/>
        <v>0</v>
      </c>
      <c r="G57" s="602">
        <f ca="1"/>
        <v>0</v>
      </c>
      <c r="H57" s="602">
        <f ca="1"/>
        <v>0</v>
      </c>
      <c r="I57" s="602">
        <f ca="1"/>
        <v>0</v>
      </c>
      <c r="J57" s="602">
        <f ca="1"/>
        <v>0</v>
      </c>
      <c r="K57" s="602">
        <f ca="1"/>
        <v>0</v>
      </c>
      <c r="L57" s="602">
        <f ca="1"/>
        <v>0</v>
      </c>
      <c r="M57" s="602">
        <f ca="1"/>
        <v>0</v>
      </c>
      <c r="N57" s="603">
        <f ca="1"/>
        <v>0</v>
      </c>
      <c r="O57" s="605">
        <f t="shared" ref="O57:O62" ca="1" si="7">SUM(C57:N57)</f>
        <v>0</v>
      </c>
    </row>
    <row r="58" spans="1:15">
      <c r="A58" s="1770" t="str">
        <v>Non used credit fees</v>
      </c>
      <c r="B58" s="1771">
        <f>+Funding!$G$52</f>
        <v>0.02</v>
      </c>
      <c r="C58" s="1772">
        <f t="array" ref="C58:N59" ca="1">$B58:$B59/12*B53:M54</f>
        <v>0</v>
      </c>
      <c r="D58" s="1773">
        <f ca="1"/>
        <v>0</v>
      </c>
      <c r="E58" s="1773">
        <f ca="1"/>
        <v>0</v>
      </c>
      <c r="F58" s="1773">
        <f ca="1"/>
        <v>0</v>
      </c>
      <c r="G58" s="1773">
        <f ca="1"/>
        <v>0</v>
      </c>
      <c r="H58" s="1773">
        <f ca="1"/>
        <v>0</v>
      </c>
      <c r="I58" s="1773">
        <f ca="1"/>
        <v>0</v>
      </c>
      <c r="J58" s="1773">
        <f ca="1"/>
        <v>0</v>
      </c>
      <c r="K58" s="1773">
        <f ca="1"/>
        <v>0</v>
      </c>
      <c r="L58" s="1773">
        <f ca="1"/>
        <v>0</v>
      </c>
      <c r="M58" s="1773">
        <f ca="1"/>
        <v>0</v>
      </c>
      <c r="N58" s="1774">
        <f ca="1"/>
        <v>0</v>
      </c>
      <c r="O58" s="1775">
        <f t="shared" ca="1" si="7"/>
        <v>0</v>
      </c>
    </row>
    <row r="59" spans="1:15">
      <c r="A59" s="1770" t="str">
        <v>Bank overdrafts penalties</v>
      </c>
      <c r="B59" s="1771">
        <f>B44</f>
        <v>0</v>
      </c>
      <c r="C59" s="1772">
        <f ca="1"/>
        <v>0</v>
      </c>
      <c r="D59" s="1773">
        <f ca="1"/>
        <v>0</v>
      </c>
      <c r="E59" s="1773">
        <f ca="1"/>
        <v>0</v>
      </c>
      <c r="F59" s="1773">
        <f ca="1"/>
        <v>0</v>
      </c>
      <c r="G59" s="1773">
        <f ca="1"/>
        <v>0</v>
      </c>
      <c r="H59" s="1773">
        <f ca="1"/>
        <v>0</v>
      </c>
      <c r="I59" s="1773">
        <f ca="1"/>
        <v>0</v>
      </c>
      <c r="J59" s="1773">
        <f ca="1"/>
        <v>0</v>
      </c>
      <c r="K59" s="1773">
        <f ca="1"/>
        <v>0</v>
      </c>
      <c r="L59" s="1773">
        <f ca="1"/>
        <v>0</v>
      </c>
      <c r="M59" s="1773">
        <f ca="1"/>
        <v>0</v>
      </c>
      <c r="N59" s="1774">
        <f ca="1"/>
        <v>0</v>
      </c>
      <c r="O59" s="1775">
        <f t="shared" ca="1" si="7"/>
        <v>0</v>
      </c>
    </row>
    <row r="60" spans="1:15">
      <c r="A60" s="311" t="str">
        <v>Renting quotes</v>
      </c>
      <c r="B60" s="1151"/>
      <c r="C60" s="1148">
        <f t="array" ref="C60:N60">+Renting!B42:M42</f>
        <v>0</v>
      </c>
      <c r="D60" s="869">
        <v>0</v>
      </c>
      <c r="E60" s="869">
        <v>0</v>
      </c>
      <c r="F60" s="869">
        <v>0</v>
      </c>
      <c r="G60" s="869">
        <v>0</v>
      </c>
      <c r="H60" s="869">
        <v>0</v>
      </c>
      <c r="I60" s="869">
        <v>0</v>
      </c>
      <c r="J60" s="869">
        <v>0</v>
      </c>
      <c r="K60" s="869">
        <v>0</v>
      </c>
      <c r="L60" s="869">
        <v>0</v>
      </c>
      <c r="M60" s="869">
        <v>0</v>
      </c>
      <c r="N60" s="870">
        <v>0</v>
      </c>
      <c r="O60" s="606">
        <f t="shared" si="7"/>
        <v>0</v>
      </c>
    </row>
    <row r="61" spans="1:15">
      <c r="A61" s="1700" t="str">
        <v>Leasing quotes</v>
      </c>
      <c r="B61" s="1678"/>
      <c r="C61" s="1701">
        <f t="array" ref="C61:N61">Leasing!B45:M45</f>
        <v>0</v>
      </c>
      <c r="D61" s="1702">
        <v>0</v>
      </c>
      <c r="E61" s="1702">
        <v>0</v>
      </c>
      <c r="F61" s="1702">
        <v>0</v>
      </c>
      <c r="G61" s="1702">
        <v>0</v>
      </c>
      <c r="H61" s="1702">
        <v>0</v>
      </c>
      <c r="I61" s="1702">
        <v>0</v>
      </c>
      <c r="J61" s="1702">
        <v>0</v>
      </c>
      <c r="K61" s="1702">
        <v>0</v>
      </c>
      <c r="L61" s="1702">
        <v>0</v>
      </c>
      <c r="M61" s="1702">
        <v>0</v>
      </c>
      <c r="N61" s="1703">
        <v>0</v>
      </c>
      <c r="O61" s="606">
        <f t="shared" si="7"/>
        <v>0</v>
      </c>
    </row>
    <row r="62" spans="1:15">
      <c r="A62" s="311" t="str">
        <v>Mortgage Interests &amp; fees</v>
      </c>
      <c r="B62" s="2851"/>
      <c r="C62" s="1148">
        <f t="array" ref="C62:N62">Loans!B46:M46</f>
        <v>0</v>
      </c>
      <c r="D62" s="869">
        <v>0</v>
      </c>
      <c r="E62" s="869">
        <v>0</v>
      </c>
      <c r="F62" s="869">
        <v>0</v>
      </c>
      <c r="G62" s="869">
        <v>0</v>
      </c>
      <c r="H62" s="869">
        <v>0</v>
      </c>
      <c r="I62" s="869">
        <v>0</v>
      </c>
      <c r="J62" s="869">
        <v>0</v>
      </c>
      <c r="K62" s="869">
        <v>0</v>
      </c>
      <c r="L62" s="869">
        <v>0</v>
      </c>
      <c r="M62" s="869">
        <v>0</v>
      </c>
      <c r="N62" s="870">
        <v>0</v>
      </c>
      <c r="O62" s="2852">
        <f t="shared" si="7"/>
        <v>0</v>
      </c>
    </row>
    <row r="63" spans="1:15" ht="15.75" thickBot="1">
      <c r="A63" s="2846" t="str">
        <v>Collection expenses (bank fees)</v>
      </c>
      <c r="B63" s="2858">
        <f>Parameters!$H$14</f>
        <v>0.01</v>
      </c>
      <c r="C63" s="2847">
        <f t="array" aca="1" ref="C63:N63" ca="1">$B63*'Collections &amp; Payments 3'!$B$28:$M$28</f>
        <v>14.583862360099999</v>
      </c>
      <c r="D63" s="2848">
        <f ca="1"/>
        <v>14.583862360099999</v>
      </c>
      <c r="E63" s="2848">
        <f ca="1"/>
        <v>14.583862360099999</v>
      </c>
      <c r="F63" s="2848">
        <f ca="1"/>
        <v>14.583862360099999</v>
      </c>
      <c r="G63" s="2848">
        <f ca="1"/>
        <v>14.583862360099999</v>
      </c>
      <c r="H63" s="2848">
        <f ca="1"/>
        <v>14.583862360099999</v>
      </c>
      <c r="I63" s="2848">
        <f ca="1"/>
        <v>14.583862360099999</v>
      </c>
      <c r="J63" s="2848">
        <f ca="1"/>
        <v>14.583862360099999</v>
      </c>
      <c r="K63" s="2848">
        <f ca="1"/>
        <v>14.583862360099999</v>
      </c>
      <c r="L63" s="2848">
        <f ca="1"/>
        <v>14.583862360099999</v>
      </c>
      <c r="M63" s="2848">
        <f ca="1"/>
        <v>14.583862360099999</v>
      </c>
      <c r="N63" s="2849">
        <f ca="1"/>
        <v>14.583862360099999</v>
      </c>
      <c r="O63" s="2850">
        <f ca="1">SUM(C63:N63)</f>
        <v>175.00634832119999</v>
      </c>
    </row>
    <row r="64" spans="1:15" ht="15.75" thickBot="1">
      <c r="A64" s="256"/>
      <c r="B64" s="257" t="str">
        <f>$B$19</f>
        <v xml:space="preserve">Monthly totals  </v>
      </c>
      <c r="C64" s="1143">
        <f t="shared" ref="C64:O64" ca="1" si="8">SUM(C57:C63)</f>
        <v>14.583862360099999</v>
      </c>
      <c r="D64" s="1144">
        <f t="shared" ca="1" si="8"/>
        <v>14.583862360099999</v>
      </c>
      <c r="E64" s="1144">
        <f t="shared" ca="1" si="8"/>
        <v>14.583862360099999</v>
      </c>
      <c r="F64" s="1144">
        <f t="shared" ca="1" si="8"/>
        <v>14.583862360099999</v>
      </c>
      <c r="G64" s="1144">
        <f t="shared" ca="1" si="8"/>
        <v>14.583862360099999</v>
      </c>
      <c r="H64" s="1144">
        <f t="shared" ca="1" si="8"/>
        <v>14.583862360099999</v>
      </c>
      <c r="I64" s="1144">
        <f t="shared" ca="1" si="8"/>
        <v>14.583862360099999</v>
      </c>
      <c r="J64" s="1144">
        <f t="shared" ca="1" si="8"/>
        <v>14.583862360099999</v>
      </c>
      <c r="K64" s="1144">
        <f t="shared" ca="1" si="8"/>
        <v>14.583862360099999</v>
      </c>
      <c r="L64" s="1144">
        <f t="shared" ca="1" si="8"/>
        <v>14.583862360099999</v>
      </c>
      <c r="M64" s="1144">
        <f t="shared" ca="1" si="8"/>
        <v>14.583862360099999</v>
      </c>
      <c r="N64" s="1145">
        <f t="shared" ca="1" si="8"/>
        <v>14.583862360099999</v>
      </c>
      <c r="O64" s="604">
        <f t="shared" ca="1" si="8"/>
        <v>175.00634832119999</v>
      </c>
    </row>
    <row r="65" spans="1:15" ht="36.75" customHeight="1" thickBot="1">
      <c r="B65" s="254"/>
      <c r="C65" s="230"/>
      <c r="D65" s="230"/>
      <c r="E65" s="230"/>
      <c r="F65" s="230"/>
      <c r="G65" s="230"/>
      <c r="H65" s="230"/>
      <c r="I65" s="230"/>
      <c r="J65" s="230"/>
      <c r="K65" s="230"/>
      <c r="L65" s="230"/>
      <c r="M65" s="230"/>
      <c r="N65" s="230"/>
      <c r="O65" s="230"/>
    </row>
    <row r="66" spans="1:15" ht="15.75" thickBot="1">
      <c r="A66" s="1146" t="str">
        <f>CONCATENATE("Financial Expenses Year ",'Base Data'!$D$18+2)</f>
        <v>Financial Expenses Year 4</v>
      </c>
      <c r="B66" s="258" t="str">
        <f>$B$6</f>
        <v>previous</v>
      </c>
      <c r="C66" s="422" t="str">
        <f t="array" ref="C66:N66">meses</f>
        <v>January</v>
      </c>
      <c r="D66" s="156" t="str">
        <v>February</v>
      </c>
      <c r="E66" s="156" t="str">
        <v>March</v>
      </c>
      <c r="F66" s="156" t="str">
        <v>April</v>
      </c>
      <c r="G66" s="156" t="str">
        <v>May</v>
      </c>
      <c r="H66" s="156" t="str">
        <v>June</v>
      </c>
      <c r="I66" s="156" t="str">
        <v>July</v>
      </c>
      <c r="J66" s="156" t="str">
        <v>August</v>
      </c>
      <c r="K66" s="156" t="str">
        <v>September</v>
      </c>
      <c r="L66" s="156" t="str">
        <v>October</v>
      </c>
      <c r="M66" s="156" t="str">
        <v>November</v>
      </c>
      <c r="N66" s="157" t="str">
        <v>December</v>
      </c>
      <c r="O66" s="102" t="str">
        <f>$O$6</f>
        <v>Yearly Av.</v>
      </c>
    </row>
    <row r="67" spans="1:15" s="255" customFormat="1">
      <c r="A67" s="2441" t="str">
        <f t="array" ref="A67:A69">A$7:A$9</f>
        <v>Credit account amounts used</v>
      </c>
      <c r="B67" s="1776">
        <f t="array" ref="B67:N67" ca="1">'Cash Flow 4'!B33:N33</f>
        <v>0</v>
      </c>
      <c r="C67" s="1777">
        <f ca="1"/>
        <v>0</v>
      </c>
      <c r="D67" s="1778">
        <f ca="1"/>
        <v>0</v>
      </c>
      <c r="E67" s="1778">
        <f ca="1"/>
        <v>0</v>
      </c>
      <c r="F67" s="1778">
        <f ca="1"/>
        <v>0</v>
      </c>
      <c r="G67" s="1778">
        <f ca="1"/>
        <v>0</v>
      </c>
      <c r="H67" s="1778">
        <f ca="1"/>
        <v>0</v>
      </c>
      <c r="I67" s="1778">
        <f ca="1"/>
        <v>0</v>
      </c>
      <c r="J67" s="1778">
        <f ca="1"/>
        <v>0</v>
      </c>
      <c r="K67" s="1778">
        <f ca="1"/>
        <v>0</v>
      </c>
      <c r="L67" s="1778">
        <f ca="1"/>
        <v>0</v>
      </c>
      <c r="M67" s="1778">
        <f ca="1"/>
        <v>0</v>
      </c>
      <c r="N67" s="1779">
        <f ca="1"/>
        <v>0</v>
      </c>
      <c r="O67" s="1790">
        <f ca="1">AVERAGE(C67:N67)</f>
        <v>0</v>
      </c>
    </row>
    <row r="68" spans="1:15">
      <c r="A68" s="2440" t="str">
        <v>Credit account amounts not used</v>
      </c>
      <c r="B68" s="1789">
        <f t="array" ref="B68:N68" ca="1">Funding!$G$49-B67:N67</f>
        <v>0</v>
      </c>
      <c r="C68" s="1786">
        <f ca="1"/>
        <v>0</v>
      </c>
      <c r="D68" s="1787">
        <f ca="1"/>
        <v>0</v>
      </c>
      <c r="E68" s="1787">
        <f ca="1"/>
        <v>0</v>
      </c>
      <c r="F68" s="1787">
        <f ca="1"/>
        <v>0</v>
      </c>
      <c r="G68" s="1787">
        <f ca="1"/>
        <v>0</v>
      </c>
      <c r="H68" s="1787">
        <f ca="1"/>
        <v>0</v>
      </c>
      <c r="I68" s="1787">
        <f ca="1"/>
        <v>0</v>
      </c>
      <c r="J68" s="1787">
        <f ca="1"/>
        <v>0</v>
      </c>
      <c r="K68" s="1787">
        <f ca="1"/>
        <v>0</v>
      </c>
      <c r="L68" s="1787">
        <f ca="1"/>
        <v>0</v>
      </c>
      <c r="M68" s="1787">
        <f ca="1"/>
        <v>0</v>
      </c>
      <c r="N68" s="1788">
        <f ca="1"/>
        <v>0</v>
      </c>
      <c r="O68" s="606">
        <f ca="1">AVERAGE(C68:N68)</f>
        <v>0</v>
      </c>
    </row>
    <row r="69" spans="1:15" s="255" customFormat="1" ht="15.75" thickBot="1">
      <c r="A69" s="1785" t="str">
        <v>Bank overdrafts</v>
      </c>
      <c r="B69" s="1780">
        <f ca="1">-MIN('Cash Flow 4'!B35,0)</f>
        <v>21941.566436814501</v>
      </c>
      <c r="C69" s="1781">
        <f ca="1">-MIN('Cash Flow 4'!C35,0)</f>
        <v>22291.468957444493</v>
      </c>
      <c r="D69" s="1782">
        <f ca="1">-MIN('Cash Flow 4'!D35,0)</f>
        <v>22659.270273473852</v>
      </c>
      <c r="E69" s="1782">
        <f ca="1">-MIN('Cash Flow 4'!E35,0)</f>
        <v>23027.071589503212</v>
      </c>
      <c r="F69" s="1782">
        <f ca="1">-MIN('Cash Flow 4'!F35,0)</f>
        <v>23394.872905532571</v>
      </c>
      <c r="G69" s="1782">
        <f ca="1">-MIN('Cash Flow 4'!G35,0)</f>
        <v>23762.674221561931</v>
      </c>
      <c r="H69" s="1782">
        <f ca="1">-MIN('Cash Flow 4'!H35,0)</f>
        <v>24130.47553759129</v>
      </c>
      <c r="I69" s="1782">
        <f ca="1">-MIN('Cash Flow 4'!I35,0)</f>
        <v>24498.276853620649</v>
      </c>
      <c r="J69" s="1782">
        <f ca="1">-MIN('Cash Flow 4'!J35,0)</f>
        <v>24866.078169650009</v>
      </c>
      <c r="K69" s="1782">
        <f ca="1">-MIN('Cash Flow 4'!K35,0)</f>
        <v>25233.879485679368</v>
      </c>
      <c r="L69" s="1782">
        <f ca="1">-MIN('Cash Flow 4'!L35,0)</f>
        <v>25601.680801708728</v>
      </c>
      <c r="M69" s="1782">
        <f ca="1">-MIN('Cash Flow 4'!M35,0)</f>
        <v>25969.482117738087</v>
      </c>
      <c r="N69" s="1783">
        <f ca="1">-MIN('Cash Flow 4'!N35,0)</f>
        <v>26337.283433767447</v>
      </c>
      <c r="O69" s="1791">
        <f ca="1">AVERAGE(C69:N69)</f>
        <v>24314.376195605972</v>
      </c>
    </row>
    <row r="70" spans="1:15" ht="12" customHeight="1" thickBot="1">
      <c r="A70" s="1147"/>
      <c r="B70" s="259"/>
      <c r="C70" s="260"/>
      <c r="D70" s="261"/>
      <c r="E70" s="261"/>
      <c r="F70" s="261"/>
      <c r="G70" s="261"/>
      <c r="H70" s="261"/>
      <c r="I70" s="261"/>
      <c r="J70" s="261"/>
      <c r="K70" s="261"/>
      <c r="L70" s="261"/>
      <c r="M70" s="261"/>
      <c r="N70" s="262"/>
      <c r="O70" s="259"/>
    </row>
    <row r="71" spans="1:15" ht="14.25" customHeight="1" thickBot="1">
      <c r="A71" s="1147"/>
      <c r="B71" s="1793" t="str">
        <f>$B$11</f>
        <v>rates</v>
      </c>
      <c r="C71" s="260"/>
      <c r="D71" s="261"/>
      <c r="E71" s="261"/>
      <c r="F71" s="261"/>
      <c r="G71" s="261"/>
      <c r="H71" s="261"/>
      <c r="I71" s="261"/>
      <c r="J71" s="261"/>
      <c r="K71" s="261"/>
      <c r="L71" s="261"/>
      <c r="M71" s="261"/>
      <c r="N71" s="262"/>
      <c r="O71" s="1793" t="str">
        <f>$O$11</f>
        <v>Totals</v>
      </c>
    </row>
    <row r="72" spans="1:15">
      <c r="A72" s="310" t="str">
        <f t="array" ref="A72:A78">A$12:A$18</f>
        <v>Credit Account interests</v>
      </c>
      <c r="B72" s="1150">
        <f>+Funding!H51</f>
        <v>7.0000000000000007E-2</v>
      </c>
      <c r="C72" s="1149">
        <f t="array" ref="C72:N72" ca="1">$B72/12*B67:M67+IF(C$11:N$11=1,Funding!$H$50*Funding!$H$49,0)</f>
        <v>0</v>
      </c>
      <c r="D72" s="602">
        <f ca="1"/>
        <v>0</v>
      </c>
      <c r="E72" s="602">
        <f ca="1"/>
        <v>0</v>
      </c>
      <c r="F72" s="602">
        <f ca="1"/>
        <v>0</v>
      </c>
      <c r="G72" s="602">
        <f ca="1"/>
        <v>0</v>
      </c>
      <c r="H72" s="602">
        <f ca="1"/>
        <v>0</v>
      </c>
      <c r="I72" s="602">
        <f ca="1"/>
        <v>0</v>
      </c>
      <c r="J72" s="602">
        <f ca="1"/>
        <v>0</v>
      </c>
      <c r="K72" s="602">
        <f ca="1"/>
        <v>0</v>
      </c>
      <c r="L72" s="602">
        <f ca="1"/>
        <v>0</v>
      </c>
      <c r="M72" s="602">
        <f ca="1"/>
        <v>0</v>
      </c>
      <c r="N72" s="603">
        <f ca="1"/>
        <v>0</v>
      </c>
      <c r="O72" s="605">
        <f t="shared" ref="O72:O77" ca="1" si="9">SUM(C72:N72)</f>
        <v>0</v>
      </c>
    </row>
    <row r="73" spans="1:15">
      <c r="A73" s="1770" t="str">
        <v>Non used credit fees</v>
      </c>
      <c r="B73" s="1771">
        <f>+Funding!$H$52</f>
        <v>0.02</v>
      </c>
      <c r="C73" s="1772">
        <f t="array" ref="C73:N74" ca="1">$B73:$B74/12*B68:M69</f>
        <v>0</v>
      </c>
      <c r="D73" s="1773">
        <f ca="1"/>
        <v>0</v>
      </c>
      <c r="E73" s="1773">
        <f ca="1"/>
        <v>0</v>
      </c>
      <c r="F73" s="1773">
        <f ca="1"/>
        <v>0</v>
      </c>
      <c r="G73" s="1773">
        <f ca="1"/>
        <v>0</v>
      </c>
      <c r="H73" s="1773">
        <f ca="1"/>
        <v>0</v>
      </c>
      <c r="I73" s="1773">
        <f ca="1"/>
        <v>0</v>
      </c>
      <c r="J73" s="1773">
        <f ca="1"/>
        <v>0</v>
      </c>
      <c r="K73" s="1773">
        <f ca="1"/>
        <v>0</v>
      </c>
      <c r="L73" s="1773">
        <f ca="1"/>
        <v>0</v>
      </c>
      <c r="M73" s="1773">
        <f ca="1"/>
        <v>0</v>
      </c>
      <c r="N73" s="1774">
        <f ca="1"/>
        <v>0</v>
      </c>
      <c r="O73" s="1775">
        <f t="shared" ca="1" si="9"/>
        <v>0</v>
      </c>
    </row>
    <row r="74" spans="1:15">
      <c r="A74" s="1770" t="str">
        <v>Bank overdrafts penalties</v>
      </c>
      <c r="B74" s="1771">
        <f>B59</f>
        <v>0</v>
      </c>
      <c r="C74" s="1772">
        <f ca="1"/>
        <v>0</v>
      </c>
      <c r="D74" s="1773">
        <f ca="1"/>
        <v>0</v>
      </c>
      <c r="E74" s="1773">
        <f ca="1"/>
        <v>0</v>
      </c>
      <c r="F74" s="1773">
        <f ca="1"/>
        <v>0</v>
      </c>
      <c r="G74" s="1773">
        <f ca="1"/>
        <v>0</v>
      </c>
      <c r="H74" s="1773">
        <f ca="1"/>
        <v>0</v>
      </c>
      <c r="I74" s="1773">
        <f ca="1"/>
        <v>0</v>
      </c>
      <c r="J74" s="1773">
        <f ca="1"/>
        <v>0</v>
      </c>
      <c r="K74" s="1773">
        <f ca="1"/>
        <v>0</v>
      </c>
      <c r="L74" s="1773">
        <f ca="1"/>
        <v>0</v>
      </c>
      <c r="M74" s="1773">
        <f ca="1"/>
        <v>0</v>
      </c>
      <c r="N74" s="1774">
        <f ca="1"/>
        <v>0</v>
      </c>
      <c r="O74" s="1775">
        <f t="shared" ca="1" si="9"/>
        <v>0</v>
      </c>
    </row>
    <row r="75" spans="1:15">
      <c r="A75" s="311" t="str">
        <v>Renting quotes</v>
      </c>
      <c r="B75" s="1151"/>
      <c r="C75" s="1148">
        <f t="array" ref="C75:N75">+Renting!B49:M49</f>
        <v>0</v>
      </c>
      <c r="D75" s="869">
        <v>0</v>
      </c>
      <c r="E75" s="869">
        <v>0</v>
      </c>
      <c r="F75" s="869">
        <v>0</v>
      </c>
      <c r="G75" s="869">
        <v>0</v>
      </c>
      <c r="H75" s="869">
        <v>0</v>
      </c>
      <c r="I75" s="869">
        <v>0</v>
      </c>
      <c r="J75" s="869">
        <v>0</v>
      </c>
      <c r="K75" s="869">
        <v>0</v>
      </c>
      <c r="L75" s="869">
        <v>0</v>
      </c>
      <c r="M75" s="869">
        <v>0</v>
      </c>
      <c r="N75" s="870">
        <v>0</v>
      </c>
      <c r="O75" s="606">
        <f t="shared" si="9"/>
        <v>0</v>
      </c>
    </row>
    <row r="76" spans="1:15">
      <c r="A76" s="1700" t="str">
        <v>Leasing quotes</v>
      </c>
      <c r="B76" s="1678"/>
      <c r="C76" s="1701">
        <f t="array" ref="C76:N76">Leasing!B53:M53</f>
        <v>0</v>
      </c>
      <c r="D76" s="1702">
        <v>0</v>
      </c>
      <c r="E76" s="1702">
        <v>0</v>
      </c>
      <c r="F76" s="1702">
        <v>0</v>
      </c>
      <c r="G76" s="1702">
        <v>0</v>
      </c>
      <c r="H76" s="1702">
        <v>0</v>
      </c>
      <c r="I76" s="1702">
        <v>0</v>
      </c>
      <c r="J76" s="1702">
        <v>0</v>
      </c>
      <c r="K76" s="1702">
        <v>0</v>
      </c>
      <c r="L76" s="1702">
        <v>0</v>
      </c>
      <c r="M76" s="1702">
        <v>0</v>
      </c>
      <c r="N76" s="1703">
        <v>0</v>
      </c>
      <c r="O76" s="606">
        <f t="shared" si="9"/>
        <v>0</v>
      </c>
    </row>
    <row r="77" spans="1:15">
      <c r="A77" s="311" t="str">
        <v>Mortgage Interests &amp; fees</v>
      </c>
      <c r="B77" s="2851"/>
      <c r="C77" s="1148">
        <f t="array" ref="C77:N77">Loans!B54:M54</f>
        <v>0</v>
      </c>
      <c r="D77" s="869">
        <v>0</v>
      </c>
      <c r="E77" s="869">
        <v>0</v>
      </c>
      <c r="F77" s="869">
        <v>0</v>
      </c>
      <c r="G77" s="869">
        <v>0</v>
      </c>
      <c r="H77" s="869">
        <v>0</v>
      </c>
      <c r="I77" s="869">
        <v>0</v>
      </c>
      <c r="J77" s="869">
        <v>0</v>
      </c>
      <c r="K77" s="869">
        <v>0</v>
      </c>
      <c r="L77" s="869">
        <v>0</v>
      </c>
      <c r="M77" s="869">
        <v>0</v>
      </c>
      <c r="N77" s="870">
        <v>0</v>
      </c>
      <c r="O77" s="2852">
        <f t="shared" si="9"/>
        <v>0</v>
      </c>
    </row>
    <row r="78" spans="1:15" ht="15.75" thickBot="1">
      <c r="A78" s="2846" t="str">
        <v>Collection expenses (bank fees)</v>
      </c>
      <c r="B78" s="2858">
        <f>Parameters!$H$14</f>
        <v>0.01</v>
      </c>
      <c r="C78" s="2847">
        <f t="array" aca="1" ref="C78:N78" ca="1">$B78*'Collections &amp; Payments 4'!$B$28:$M$28</f>
        <v>15.770404343958001</v>
      </c>
      <c r="D78" s="2848">
        <f ca="1"/>
        <v>15.770404343958001</v>
      </c>
      <c r="E78" s="2848">
        <f ca="1"/>
        <v>15.770404343958001</v>
      </c>
      <c r="F78" s="2848">
        <f ca="1"/>
        <v>15.770404343958001</v>
      </c>
      <c r="G78" s="2848">
        <f ca="1"/>
        <v>15.770404343958001</v>
      </c>
      <c r="H78" s="2848">
        <f ca="1"/>
        <v>15.770404343958001</v>
      </c>
      <c r="I78" s="2848">
        <f ca="1"/>
        <v>15.770404343958001</v>
      </c>
      <c r="J78" s="2848">
        <f ca="1"/>
        <v>15.770404343958001</v>
      </c>
      <c r="K78" s="2848">
        <f ca="1"/>
        <v>15.770404343958001</v>
      </c>
      <c r="L78" s="2848">
        <f ca="1"/>
        <v>15.770404343958001</v>
      </c>
      <c r="M78" s="2848">
        <f ca="1"/>
        <v>15.770404343958001</v>
      </c>
      <c r="N78" s="2849">
        <f ca="1"/>
        <v>15.770404343958001</v>
      </c>
      <c r="O78" s="2850">
        <f ca="1">SUM(C78:N78)</f>
        <v>189.24485212749605</v>
      </c>
    </row>
    <row r="79" spans="1:15" ht="15.75" thickBot="1">
      <c r="A79" s="256"/>
      <c r="B79" s="257" t="str">
        <f>$B$19</f>
        <v xml:space="preserve">Monthly totals  </v>
      </c>
      <c r="C79" s="1143">
        <f t="shared" ref="C79:O79" ca="1" si="10">SUM(C72:C78)</f>
        <v>15.770404343958001</v>
      </c>
      <c r="D79" s="1144">
        <f t="shared" ca="1" si="10"/>
        <v>15.770404343958001</v>
      </c>
      <c r="E79" s="1144">
        <f t="shared" ca="1" si="10"/>
        <v>15.770404343958001</v>
      </c>
      <c r="F79" s="1144">
        <f t="shared" ca="1" si="10"/>
        <v>15.770404343958001</v>
      </c>
      <c r="G79" s="1144">
        <f t="shared" ca="1" si="10"/>
        <v>15.770404343958001</v>
      </c>
      <c r="H79" s="1144">
        <f t="shared" ca="1" si="10"/>
        <v>15.770404343958001</v>
      </c>
      <c r="I79" s="1144">
        <f t="shared" ca="1" si="10"/>
        <v>15.770404343958001</v>
      </c>
      <c r="J79" s="1144">
        <f t="shared" ca="1" si="10"/>
        <v>15.770404343958001</v>
      </c>
      <c r="K79" s="1144">
        <f t="shared" ca="1" si="10"/>
        <v>15.770404343958001</v>
      </c>
      <c r="L79" s="1144">
        <f t="shared" ca="1" si="10"/>
        <v>15.770404343958001</v>
      </c>
      <c r="M79" s="1144">
        <f t="shared" ca="1" si="10"/>
        <v>15.770404343958001</v>
      </c>
      <c r="N79" s="1145">
        <f t="shared" ca="1" si="10"/>
        <v>15.770404343958001</v>
      </c>
      <c r="O79" s="604">
        <f t="shared" ca="1" si="10"/>
        <v>189.24485212749605</v>
      </c>
    </row>
    <row r="80" spans="1:15">
      <c r="B80" s="254"/>
      <c r="C80" s="230"/>
      <c r="D80" s="230"/>
      <c r="E80" s="230"/>
      <c r="F80" s="230"/>
      <c r="G80" s="230"/>
      <c r="H80" s="230"/>
      <c r="I80" s="230"/>
      <c r="J80" s="230"/>
      <c r="K80" s="230"/>
      <c r="L80" s="230"/>
      <c r="M80" s="230"/>
      <c r="N80" s="230"/>
      <c r="O80" s="230"/>
    </row>
    <row r="81" spans="1:15">
      <c r="B81" s="254"/>
      <c r="C81" s="230"/>
      <c r="D81" s="230"/>
      <c r="E81" s="230"/>
      <c r="F81" s="230"/>
      <c r="G81" s="230"/>
      <c r="H81" s="230"/>
      <c r="I81" s="230"/>
      <c r="J81" s="230"/>
      <c r="K81" s="230"/>
      <c r="L81" s="230"/>
      <c r="M81" s="230"/>
      <c r="N81" s="230"/>
      <c r="O81" s="230"/>
    </row>
    <row r="82" spans="1:15" ht="19.5">
      <c r="A82" s="240" t="s">
        <v>632</v>
      </c>
    </row>
    <row r="83" spans="1:15" ht="11.25" customHeight="1" thickBot="1"/>
    <row r="84" spans="1:15" ht="15.75" thickBot="1">
      <c r="A84" s="247" t="str">
        <f>CONCATENATE("Financial Income ",'Base Data'!$B$18)</f>
        <v>Financial Income Year 0</v>
      </c>
      <c r="B84" s="1793" t="str">
        <f>$B$11</f>
        <v>rates</v>
      </c>
      <c r="C84" s="422" t="str">
        <f t="array" ref="C84:N84">meses</f>
        <v>January</v>
      </c>
      <c r="D84" s="156" t="str">
        <v>February</v>
      </c>
      <c r="E84" s="156" t="str">
        <v>March</v>
      </c>
      <c r="F84" s="156" t="str">
        <v>April</v>
      </c>
      <c r="G84" s="156" t="str">
        <v>May</v>
      </c>
      <c r="H84" s="156" t="str">
        <v>June</v>
      </c>
      <c r="I84" s="156" t="str">
        <v>July</v>
      </c>
      <c r="J84" s="156" t="str">
        <v>August</v>
      </c>
      <c r="K84" s="156" t="str">
        <v>September</v>
      </c>
      <c r="L84" s="156" t="str">
        <v>October</v>
      </c>
      <c r="M84" s="156" t="str">
        <v>November</v>
      </c>
      <c r="N84" s="157" t="str">
        <v>December</v>
      </c>
      <c r="O84" s="102" t="str">
        <f>$O$11</f>
        <v>Totals</v>
      </c>
    </row>
    <row r="85" spans="1:15">
      <c r="A85" s="265" t="s">
        <v>739</v>
      </c>
      <c r="B85" s="268">
        <f>Parameters!$C$7</f>
        <v>0</v>
      </c>
      <c r="C85" s="607">
        <f ca="1">IF(C$11&lt;mes0,0,$B85*'Cash Flow 0'!B$35/12)</f>
        <v>0</v>
      </c>
      <c r="D85" s="602">
        <f ca="1">IF(D$11&lt;mes0,0,$B85*'Cash Flow 0'!C$35/12)</f>
        <v>0</v>
      </c>
      <c r="E85" s="602">
        <f ca="1">IF(E$11&lt;mes0,0,$B85*'Cash Flow 0'!D$35/12)</f>
        <v>0</v>
      </c>
      <c r="F85" s="602">
        <f ca="1">IF(F$11&lt;mes0,0,$B85*'Cash Flow 0'!E$35/12)</f>
        <v>0</v>
      </c>
      <c r="G85" s="602">
        <f ca="1">IF(G$11&lt;mes0,0,$B85*'Cash Flow 0'!F$35/12)</f>
        <v>0</v>
      </c>
      <c r="H85" s="602">
        <f ca="1">IF(H$11&lt;mes0,0,$B85*'Cash Flow 0'!G$35/12)</f>
        <v>0</v>
      </c>
      <c r="I85" s="602">
        <f ca="1">IF(I$11&lt;mes0,0,$B85*'Cash Flow 0'!H$35/12)</f>
        <v>0</v>
      </c>
      <c r="J85" s="602">
        <f ca="1">IF(J$11&lt;mes0,0,$B85*'Cash Flow 0'!I$35/12)</f>
        <v>0</v>
      </c>
      <c r="K85" s="602">
        <f ca="1">IF(K$11&lt;mes0,0,$B85*'Cash Flow 0'!J$35/12)</f>
        <v>0</v>
      </c>
      <c r="L85" s="602">
        <f ca="1">IF(L$11&lt;mes0,0,$B85*'Cash Flow 0'!K$35/12)</f>
        <v>0</v>
      </c>
      <c r="M85" s="602">
        <f ca="1">IF(M$11&lt;mes0,0,$B85*'Cash Flow 0'!L$35/12)</f>
        <v>0</v>
      </c>
      <c r="N85" s="603">
        <f ca="1">IF(N$11&lt;mes0,0,$B85*'Cash Flow 0'!M$35/12)</f>
        <v>0</v>
      </c>
      <c r="O85" s="605">
        <f ca="1">SUM(C85:N85)</f>
        <v>0</v>
      </c>
    </row>
    <row r="86" spans="1:15" ht="15.75" thickBot="1">
      <c r="A86" s="266" t="s">
        <v>738</v>
      </c>
      <c r="B86" s="269"/>
      <c r="C86" s="263"/>
      <c r="D86" s="264"/>
      <c r="E86" s="264"/>
      <c r="F86" s="264"/>
      <c r="G86" s="264"/>
      <c r="H86" s="264"/>
      <c r="I86" s="264"/>
      <c r="J86" s="264"/>
      <c r="K86" s="264"/>
      <c r="L86" s="264"/>
      <c r="M86" s="264"/>
      <c r="N86" s="267"/>
      <c r="O86" s="608">
        <f>SUM(C86:N86)</f>
        <v>0</v>
      </c>
    </row>
    <row r="87" spans="1:15" ht="15.75" thickBot="1">
      <c r="A87" s="256"/>
      <c r="B87" s="257" t="str">
        <f>$B$19</f>
        <v xml:space="preserve">Monthly totals  </v>
      </c>
      <c r="C87" s="1140">
        <f ca="1">SUM(C85:C86)</f>
        <v>0</v>
      </c>
      <c r="D87" s="1141">
        <f t="shared" ref="D87:N87" ca="1" si="11">SUM(D85:D86)</f>
        <v>0</v>
      </c>
      <c r="E87" s="1141">
        <f t="shared" ca="1" si="11"/>
        <v>0</v>
      </c>
      <c r="F87" s="1141">
        <f t="shared" ca="1" si="11"/>
        <v>0</v>
      </c>
      <c r="G87" s="1141">
        <f t="shared" ca="1" si="11"/>
        <v>0</v>
      </c>
      <c r="H87" s="1141">
        <f t="shared" ca="1" si="11"/>
        <v>0</v>
      </c>
      <c r="I87" s="1141">
        <f t="shared" ca="1" si="11"/>
        <v>0</v>
      </c>
      <c r="J87" s="1141">
        <f t="shared" ca="1" si="11"/>
        <v>0</v>
      </c>
      <c r="K87" s="1141">
        <f t="shared" ca="1" si="11"/>
        <v>0</v>
      </c>
      <c r="L87" s="1141">
        <f t="shared" ca="1" si="11"/>
        <v>0</v>
      </c>
      <c r="M87" s="1141">
        <f t="shared" ca="1" si="11"/>
        <v>0</v>
      </c>
      <c r="N87" s="1142">
        <f t="shared" ca="1" si="11"/>
        <v>0</v>
      </c>
      <c r="O87" s="609">
        <f ca="1">SUM(O85:O86)</f>
        <v>0</v>
      </c>
    </row>
    <row r="88" spans="1:15" ht="15.75" thickBot="1">
      <c r="B88" s="253"/>
      <c r="C88" s="230"/>
      <c r="D88" s="230"/>
      <c r="E88" s="230"/>
      <c r="F88" s="230"/>
      <c r="G88" s="230"/>
      <c r="H88" s="230"/>
      <c r="I88" s="230"/>
      <c r="J88" s="230"/>
      <c r="K88" s="230"/>
      <c r="L88" s="230"/>
      <c r="M88" s="230"/>
      <c r="N88" s="230"/>
      <c r="O88" s="230"/>
    </row>
    <row r="89" spans="1:15" ht="15.75" thickBot="1">
      <c r="A89" s="247" t="str">
        <f>CONCATENATE("Financial Income Year ",'Base Data'!$C$18)</f>
        <v>Financial Income Year 1</v>
      </c>
      <c r="B89" s="1793" t="str">
        <f>$B$11</f>
        <v>rates</v>
      </c>
      <c r="C89" s="422" t="str">
        <f t="array" ref="C89:N89">meses</f>
        <v>January</v>
      </c>
      <c r="D89" s="156" t="str">
        <v>February</v>
      </c>
      <c r="E89" s="156" t="str">
        <v>March</v>
      </c>
      <c r="F89" s="156" t="str">
        <v>April</v>
      </c>
      <c r="G89" s="156" t="str">
        <v>May</v>
      </c>
      <c r="H89" s="156" t="str">
        <v>June</v>
      </c>
      <c r="I89" s="156" t="str">
        <v>July</v>
      </c>
      <c r="J89" s="156" t="str">
        <v>August</v>
      </c>
      <c r="K89" s="156" t="str">
        <v>September</v>
      </c>
      <c r="L89" s="156" t="str">
        <v>October</v>
      </c>
      <c r="M89" s="156" t="str">
        <v>November</v>
      </c>
      <c r="N89" s="157" t="str">
        <v>December</v>
      </c>
      <c r="O89" s="102" t="str">
        <f>$O$11</f>
        <v>Totals</v>
      </c>
    </row>
    <row r="90" spans="1:15">
      <c r="A90" s="265" t="str">
        <f t="array" ref="A90:A91">A$85:A$86</f>
        <v>Bank account interests</v>
      </c>
      <c r="B90" s="268">
        <f>$B$85</f>
        <v>0</v>
      </c>
      <c r="C90" s="607">
        <f t="array" ref="C90:N90" ca="1">$B90*'Cash Flow 1'!B$35:M$35/12</f>
        <v>0</v>
      </c>
      <c r="D90" s="602">
        <f ca="1"/>
        <v>0</v>
      </c>
      <c r="E90" s="602">
        <f ca="1"/>
        <v>0</v>
      </c>
      <c r="F90" s="602">
        <f ca="1"/>
        <v>0</v>
      </c>
      <c r="G90" s="602">
        <f ca="1"/>
        <v>0</v>
      </c>
      <c r="H90" s="602">
        <f ca="1"/>
        <v>0</v>
      </c>
      <c r="I90" s="602">
        <f ca="1"/>
        <v>0</v>
      </c>
      <c r="J90" s="602">
        <f ca="1"/>
        <v>0</v>
      </c>
      <c r="K90" s="602">
        <f ca="1"/>
        <v>0</v>
      </c>
      <c r="L90" s="602">
        <f ca="1"/>
        <v>0</v>
      </c>
      <c r="M90" s="602">
        <f ca="1"/>
        <v>0</v>
      </c>
      <c r="N90" s="603">
        <f ca="1"/>
        <v>0</v>
      </c>
      <c r="O90" s="605">
        <f ca="1">SUM(C90:N90)</f>
        <v>0</v>
      </c>
    </row>
    <row r="91" spans="1:15" ht="15.75" thickBot="1">
      <c r="A91" s="266" t="str">
        <v>Other Financial Income</v>
      </c>
      <c r="B91" s="269"/>
      <c r="C91" s="263"/>
      <c r="D91" s="264"/>
      <c r="E91" s="264"/>
      <c r="F91" s="264"/>
      <c r="G91" s="264"/>
      <c r="H91" s="264"/>
      <c r="I91" s="264"/>
      <c r="J91" s="264"/>
      <c r="K91" s="264"/>
      <c r="L91" s="264"/>
      <c r="M91" s="264"/>
      <c r="N91" s="267"/>
      <c r="O91" s="608">
        <f>SUM(C91:N91)</f>
        <v>0</v>
      </c>
    </row>
    <row r="92" spans="1:15" ht="15.75" thickBot="1">
      <c r="A92" s="256"/>
      <c r="B92" s="257" t="str">
        <f>$B$19</f>
        <v xml:space="preserve">Monthly totals  </v>
      </c>
      <c r="C92" s="1140">
        <f t="shared" ref="C92:O92" ca="1" si="12">SUM(C90:C91)</f>
        <v>0</v>
      </c>
      <c r="D92" s="1141">
        <f t="shared" ca="1" si="12"/>
        <v>0</v>
      </c>
      <c r="E92" s="1141">
        <f t="shared" ca="1" si="12"/>
        <v>0</v>
      </c>
      <c r="F92" s="1141">
        <f t="shared" ca="1" si="12"/>
        <v>0</v>
      </c>
      <c r="G92" s="1141">
        <f t="shared" ca="1" si="12"/>
        <v>0</v>
      </c>
      <c r="H92" s="1141">
        <f t="shared" ca="1" si="12"/>
        <v>0</v>
      </c>
      <c r="I92" s="1141">
        <f t="shared" ca="1" si="12"/>
        <v>0</v>
      </c>
      <c r="J92" s="1141">
        <f t="shared" ca="1" si="12"/>
        <v>0</v>
      </c>
      <c r="K92" s="1141">
        <f t="shared" ca="1" si="12"/>
        <v>0</v>
      </c>
      <c r="L92" s="1141">
        <f t="shared" ca="1" si="12"/>
        <v>0</v>
      </c>
      <c r="M92" s="1141">
        <f t="shared" ca="1" si="12"/>
        <v>0</v>
      </c>
      <c r="N92" s="1142">
        <f t="shared" ca="1" si="12"/>
        <v>0</v>
      </c>
      <c r="O92" s="609">
        <f t="shared" ca="1" si="12"/>
        <v>0</v>
      </c>
    </row>
    <row r="93" spans="1:15" ht="15.75" thickBot="1">
      <c r="B93" s="253"/>
      <c r="C93" s="230"/>
      <c r="D93" s="230"/>
      <c r="E93" s="230"/>
      <c r="F93" s="230"/>
      <c r="G93" s="230"/>
      <c r="H93" s="230"/>
      <c r="I93" s="230"/>
      <c r="J93" s="230"/>
      <c r="K93" s="230"/>
      <c r="L93" s="230"/>
      <c r="M93" s="230"/>
      <c r="N93" s="230"/>
      <c r="O93" s="230"/>
    </row>
    <row r="94" spans="1:15" ht="15.75" thickBot="1">
      <c r="A94" s="247" t="str">
        <f>CONCATENATE("Financial Income Year ",'Base Data'!$D$18)</f>
        <v>Financial Income Year 2</v>
      </c>
      <c r="B94" s="1793" t="str">
        <f>$B$11</f>
        <v>rates</v>
      </c>
      <c r="C94" s="422" t="str">
        <f t="array" ref="C94:N94">meses</f>
        <v>January</v>
      </c>
      <c r="D94" s="156" t="str">
        <v>February</v>
      </c>
      <c r="E94" s="156" t="str">
        <v>March</v>
      </c>
      <c r="F94" s="156" t="str">
        <v>April</v>
      </c>
      <c r="G94" s="156" t="str">
        <v>May</v>
      </c>
      <c r="H94" s="156" t="str">
        <v>June</v>
      </c>
      <c r="I94" s="156" t="str">
        <v>July</v>
      </c>
      <c r="J94" s="156" t="str">
        <v>August</v>
      </c>
      <c r="K94" s="156" t="str">
        <v>September</v>
      </c>
      <c r="L94" s="156" t="str">
        <v>October</v>
      </c>
      <c r="M94" s="156" t="str">
        <v>November</v>
      </c>
      <c r="N94" s="157" t="str">
        <v>December</v>
      </c>
      <c r="O94" s="102" t="str">
        <f>$O$11</f>
        <v>Totals</v>
      </c>
    </row>
    <row r="95" spans="1:15">
      <c r="A95" s="265" t="str">
        <f t="array" ref="A95:A96">A$85:A$86</f>
        <v>Bank account interests</v>
      </c>
      <c r="B95" s="268">
        <f>$B$85</f>
        <v>0</v>
      </c>
      <c r="C95" s="607">
        <f t="array" ref="C95:N95" ca="1">$B95*'Cash Flow 2'!B$35:M$35/12</f>
        <v>0</v>
      </c>
      <c r="D95" s="602">
        <f ca="1"/>
        <v>0</v>
      </c>
      <c r="E95" s="602">
        <f ca="1"/>
        <v>0</v>
      </c>
      <c r="F95" s="602">
        <f ca="1"/>
        <v>0</v>
      </c>
      <c r="G95" s="602">
        <f ca="1"/>
        <v>0</v>
      </c>
      <c r="H95" s="602">
        <f ca="1"/>
        <v>0</v>
      </c>
      <c r="I95" s="602">
        <f ca="1"/>
        <v>0</v>
      </c>
      <c r="J95" s="602">
        <f ca="1"/>
        <v>0</v>
      </c>
      <c r="K95" s="602">
        <f ca="1"/>
        <v>0</v>
      </c>
      <c r="L95" s="602">
        <f ca="1"/>
        <v>0</v>
      </c>
      <c r="M95" s="602">
        <f ca="1"/>
        <v>0</v>
      </c>
      <c r="N95" s="603">
        <f ca="1"/>
        <v>0</v>
      </c>
      <c r="O95" s="605">
        <f ca="1">SUM(C95:N95)</f>
        <v>0</v>
      </c>
    </row>
    <row r="96" spans="1:15" ht="15.75" thickBot="1">
      <c r="A96" s="266" t="str">
        <v>Other Financial Income</v>
      </c>
      <c r="B96" s="269"/>
      <c r="C96" s="263"/>
      <c r="D96" s="264"/>
      <c r="E96" s="264"/>
      <c r="F96" s="264"/>
      <c r="G96" s="264"/>
      <c r="H96" s="264"/>
      <c r="I96" s="264"/>
      <c r="J96" s="264"/>
      <c r="K96" s="264"/>
      <c r="L96" s="264"/>
      <c r="M96" s="264"/>
      <c r="N96" s="267"/>
      <c r="O96" s="608">
        <f>SUM(C96:N96)</f>
        <v>0</v>
      </c>
    </row>
    <row r="97" spans="1:15" ht="15.75" thickBot="1">
      <c r="A97" s="256"/>
      <c r="B97" s="257" t="str">
        <f>$B$19</f>
        <v xml:space="preserve">Monthly totals  </v>
      </c>
      <c r="C97" s="1140">
        <f t="shared" ref="C97:O97" ca="1" si="13">SUM(C95:C96)</f>
        <v>0</v>
      </c>
      <c r="D97" s="1141">
        <f t="shared" ca="1" si="13"/>
        <v>0</v>
      </c>
      <c r="E97" s="1141">
        <f t="shared" ca="1" si="13"/>
        <v>0</v>
      </c>
      <c r="F97" s="1141">
        <f t="shared" ca="1" si="13"/>
        <v>0</v>
      </c>
      <c r="G97" s="1141">
        <f t="shared" ca="1" si="13"/>
        <v>0</v>
      </c>
      <c r="H97" s="1141">
        <f t="shared" ca="1" si="13"/>
        <v>0</v>
      </c>
      <c r="I97" s="1141">
        <f t="shared" ca="1" si="13"/>
        <v>0</v>
      </c>
      <c r="J97" s="1141">
        <f t="shared" ca="1" si="13"/>
        <v>0</v>
      </c>
      <c r="K97" s="1141">
        <f t="shared" ca="1" si="13"/>
        <v>0</v>
      </c>
      <c r="L97" s="1141">
        <f t="shared" ca="1" si="13"/>
        <v>0</v>
      </c>
      <c r="M97" s="1141">
        <f t="shared" ca="1" si="13"/>
        <v>0</v>
      </c>
      <c r="N97" s="1142">
        <f t="shared" ca="1" si="13"/>
        <v>0</v>
      </c>
      <c r="O97" s="609">
        <f t="shared" ca="1" si="13"/>
        <v>0</v>
      </c>
    </row>
    <row r="98" spans="1:15" ht="15.75" thickBot="1"/>
    <row r="99" spans="1:15" ht="15.75" thickBot="1">
      <c r="A99" s="247" t="str">
        <f>CONCATENATE("Financial Income Year ",'Base Data'!$D$18+1)</f>
        <v>Financial Income Year 3</v>
      </c>
      <c r="B99" s="1793" t="str">
        <f>$B$11</f>
        <v>rates</v>
      </c>
      <c r="C99" s="422" t="str">
        <f t="array" ref="C99:N99">meses</f>
        <v>January</v>
      </c>
      <c r="D99" s="156" t="str">
        <v>February</v>
      </c>
      <c r="E99" s="156" t="str">
        <v>March</v>
      </c>
      <c r="F99" s="156" t="str">
        <v>April</v>
      </c>
      <c r="G99" s="156" t="str">
        <v>May</v>
      </c>
      <c r="H99" s="156" t="str">
        <v>June</v>
      </c>
      <c r="I99" s="156" t="str">
        <v>July</v>
      </c>
      <c r="J99" s="156" t="str">
        <v>August</v>
      </c>
      <c r="K99" s="156" t="str">
        <v>September</v>
      </c>
      <c r="L99" s="156" t="str">
        <v>October</v>
      </c>
      <c r="M99" s="156" t="str">
        <v>November</v>
      </c>
      <c r="N99" s="157" t="str">
        <v>December</v>
      </c>
      <c r="O99" s="102" t="str">
        <f>$O$11</f>
        <v>Totals</v>
      </c>
    </row>
    <row r="100" spans="1:15">
      <c r="A100" s="265" t="str">
        <f t="array" ref="A100:A101">A$85:A$86</f>
        <v>Bank account interests</v>
      </c>
      <c r="B100" s="268">
        <f>$B$85</f>
        <v>0</v>
      </c>
      <c r="C100" s="607">
        <f t="array" ref="C100:N100" ca="1">$B100*'Cash Flow 3'!B$35:M$35/12</f>
        <v>0</v>
      </c>
      <c r="D100" s="602">
        <f ca="1"/>
        <v>0</v>
      </c>
      <c r="E100" s="602">
        <f ca="1"/>
        <v>0</v>
      </c>
      <c r="F100" s="602">
        <f ca="1"/>
        <v>0</v>
      </c>
      <c r="G100" s="602">
        <f ca="1"/>
        <v>0</v>
      </c>
      <c r="H100" s="602">
        <f ca="1"/>
        <v>0</v>
      </c>
      <c r="I100" s="602">
        <f ca="1"/>
        <v>0</v>
      </c>
      <c r="J100" s="602">
        <f ca="1"/>
        <v>0</v>
      </c>
      <c r="K100" s="602">
        <f ca="1"/>
        <v>0</v>
      </c>
      <c r="L100" s="602">
        <f ca="1"/>
        <v>0</v>
      </c>
      <c r="M100" s="602">
        <f ca="1"/>
        <v>0</v>
      </c>
      <c r="N100" s="603">
        <f ca="1"/>
        <v>0</v>
      </c>
      <c r="O100" s="605">
        <f ca="1">SUM(C100:N100)</f>
        <v>0</v>
      </c>
    </row>
    <row r="101" spans="1:15" ht="15.75" thickBot="1">
      <c r="A101" s="266" t="str">
        <v>Other Financial Income</v>
      </c>
      <c r="B101" s="269"/>
      <c r="C101" s="263"/>
      <c r="D101" s="264"/>
      <c r="E101" s="264"/>
      <c r="F101" s="264"/>
      <c r="G101" s="264"/>
      <c r="H101" s="264"/>
      <c r="I101" s="264"/>
      <c r="J101" s="264"/>
      <c r="K101" s="264"/>
      <c r="L101" s="264"/>
      <c r="M101" s="264"/>
      <c r="N101" s="267"/>
      <c r="O101" s="608">
        <f>SUM(C101:N101)</f>
        <v>0</v>
      </c>
    </row>
    <row r="102" spans="1:15" ht="15.75" thickBot="1">
      <c r="A102" s="256"/>
      <c r="B102" s="257" t="str">
        <f>$B$19</f>
        <v xml:space="preserve">Monthly totals  </v>
      </c>
      <c r="C102" s="1140">
        <f t="shared" ref="C102:O102" ca="1" si="14">SUM(C100:C101)</f>
        <v>0</v>
      </c>
      <c r="D102" s="1141">
        <f t="shared" ca="1" si="14"/>
        <v>0</v>
      </c>
      <c r="E102" s="1141">
        <f t="shared" ca="1" si="14"/>
        <v>0</v>
      </c>
      <c r="F102" s="1141">
        <f t="shared" ca="1" si="14"/>
        <v>0</v>
      </c>
      <c r="G102" s="1141">
        <f t="shared" ca="1" si="14"/>
        <v>0</v>
      </c>
      <c r="H102" s="1141">
        <f t="shared" ca="1" si="14"/>
        <v>0</v>
      </c>
      <c r="I102" s="1141">
        <f t="shared" ca="1" si="14"/>
        <v>0</v>
      </c>
      <c r="J102" s="1141">
        <f t="shared" ca="1" si="14"/>
        <v>0</v>
      </c>
      <c r="K102" s="1141">
        <f t="shared" ca="1" si="14"/>
        <v>0</v>
      </c>
      <c r="L102" s="1141">
        <f t="shared" ca="1" si="14"/>
        <v>0</v>
      </c>
      <c r="M102" s="1141">
        <f t="shared" ca="1" si="14"/>
        <v>0</v>
      </c>
      <c r="N102" s="1142">
        <f t="shared" ca="1" si="14"/>
        <v>0</v>
      </c>
      <c r="O102" s="609">
        <f t="shared" ca="1" si="14"/>
        <v>0</v>
      </c>
    </row>
    <row r="103" spans="1:15" ht="15.75" thickBot="1"/>
    <row r="104" spans="1:15" ht="15.75" thickBot="1">
      <c r="A104" s="247" t="str">
        <f>CONCATENATE("Financial Income Year ",'Base Data'!$D$18+2)</f>
        <v>Financial Income Year 4</v>
      </c>
      <c r="B104" s="1793" t="str">
        <f>$B$11</f>
        <v>rates</v>
      </c>
      <c r="C104" s="422" t="str">
        <f t="array" ref="C104:N104">meses</f>
        <v>January</v>
      </c>
      <c r="D104" s="156" t="str">
        <v>February</v>
      </c>
      <c r="E104" s="156" t="str">
        <v>March</v>
      </c>
      <c r="F104" s="156" t="str">
        <v>April</v>
      </c>
      <c r="G104" s="156" t="str">
        <v>May</v>
      </c>
      <c r="H104" s="156" t="str">
        <v>June</v>
      </c>
      <c r="I104" s="156" t="str">
        <v>July</v>
      </c>
      <c r="J104" s="156" t="str">
        <v>August</v>
      </c>
      <c r="K104" s="156" t="str">
        <v>September</v>
      </c>
      <c r="L104" s="156" t="str">
        <v>October</v>
      </c>
      <c r="M104" s="156" t="str">
        <v>November</v>
      </c>
      <c r="N104" s="157" t="str">
        <v>December</v>
      </c>
      <c r="O104" s="102" t="str">
        <f>$O$11</f>
        <v>Totals</v>
      </c>
    </row>
    <row r="105" spans="1:15">
      <c r="A105" s="265" t="str">
        <f t="array" ref="A105:A106">A$85:A$86</f>
        <v>Bank account interests</v>
      </c>
      <c r="B105" s="268">
        <f>$B$85</f>
        <v>0</v>
      </c>
      <c r="C105" s="607">
        <f t="array" ref="C105:N105" ca="1">$B105*'Cash Flow 4'!B$35:M$35/12</f>
        <v>0</v>
      </c>
      <c r="D105" s="602">
        <f ca="1"/>
        <v>0</v>
      </c>
      <c r="E105" s="602">
        <f ca="1"/>
        <v>0</v>
      </c>
      <c r="F105" s="602">
        <f ca="1"/>
        <v>0</v>
      </c>
      <c r="G105" s="602">
        <f ca="1"/>
        <v>0</v>
      </c>
      <c r="H105" s="602">
        <f ca="1"/>
        <v>0</v>
      </c>
      <c r="I105" s="602">
        <f ca="1"/>
        <v>0</v>
      </c>
      <c r="J105" s="602">
        <f ca="1"/>
        <v>0</v>
      </c>
      <c r="K105" s="602">
        <f ca="1"/>
        <v>0</v>
      </c>
      <c r="L105" s="602">
        <f ca="1"/>
        <v>0</v>
      </c>
      <c r="M105" s="602">
        <f ca="1"/>
        <v>0</v>
      </c>
      <c r="N105" s="603">
        <f ca="1"/>
        <v>0</v>
      </c>
      <c r="O105" s="605">
        <f ca="1">SUM(C105:N105)</f>
        <v>0</v>
      </c>
    </row>
    <row r="106" spans="1:15" ht="15.75" thickBot="1">
      <c r="A106" s="266" t="str">
        <v>Other Financial Income</v>
      </c>
      <c r="B106" s="269"/>
      <c r="C106" s="263"/>
      <c r="D106" s="264"/>
      <c r="E106" s="264"/>
      <c r="F106" s="264"/>
      <c r="G106" s="264"/>
      <c r="H106" s="264"/>
      <c r="I106" s="264"/>
      <c r="J106" s="264"/>
      <c r="K106" s="264"/>
      <c r="L106" s="264"/>
      <c r="M106" s="264"/>
      <c r="N106" s="267"/>
      <c r="O106" s="608">
        <f>SUM(C106:N106)</f>
        <v>0</v>
      </c>
    </row>
    <row r="107" spans="1:15" ht="15.75" thickBot="1">
      <c r="A107" s="256"/>
      <c r="B107" s="257" t="str">
        <f>$B$19</f>
        <v xml:space="preserve">Monthly totals  </v>
      </c>
      <c r="C107" s="1140">
        <f t="shared" ref="C107:O107" ca="1" si="15">SUM(C105:C106)</f>
        <v>0</v>
      </c>
      <c r="D107" s="1141">
        <f t="shared" ca="1" si="15"/>
        <v>0</v>
      </c>
      <c r="E107" s="1141">
        <f t="shared" ca="1" si="15"/>
        <v>0</v>
      </c>
      <c r="F107" s="1141">
        <f t="shared" ca="1" si="15"/>
        <v>0</v>
      </c>
      <c r="G107" s="1141">
        <f t="shared" ca="1" si="15"/>
        <v>0</v>
      </c>
      <c r="H107" s="1141">
        <f t="shared" ca="1" si="15"/>
        <v>0</v>
      </c>
      <c r="I107" s="1141">
        <f t="shared" ca="1" si="15"/>
        <v>0</v>
      </c>
      <c r="J107" s="1141">
        <f t="shared" ca="1" si="15"/>
        <v>0</v>
      </c>
      <c r="K107" s="1141">
        <f t="shared" ca="1" si="15"/>
        <v>0</v>
      </c>
      <c r="L107" s="1141">
        <f t="shared" ca="1" si="15"/>
        <v>0</v>
      </c>
      <c r="M107" s="1141">
        <f t="shared" ca="1" si="15"/>
        <v>0</v>
      </c>
      <c r="N107" s="1142">
        <f t="shared" ca="1" si="15"/>
        <v>0</v>
      </c>
      <c r="O107" s="609">
        <f t="shared" ca="1" si="15"/>
        <v>0</v>
      </c>
    </row>
  </sheetData>
  <sheetProtection sheet="1" objects="1" scenarios="1"/>
  <phoneticPr fontId="7" type="noConversion"/>
  <printOptions horizontalCentered="1"/>
  <pageMargins left="0.75" right="0.75" top="0.4" bottom="0.41" header="0" footer="0"/>
  <pageSetup paperSize="9" scale="68" fitToHeight="2" orientation="landscape" horizontalDpi="300" r:id="rId1"/>
  <headerFooter alignWithMargins="0"/>
  <rowBreaks count="2" manualBreakCount="2">
    <brk id="50" max="16383" man="1"/>
    <brk id="80" max="16383" man="1"/>
  </rowBreaks>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30">
    <tabColor indexed="43"/>
    <pageSetUpPr fitToPage="1"/>
  </sheetPr>
  <dimension ref="A1:Q60"/>
  <sheetViews>
    <sheetView zoomScale="75" zoomScaleNormal="75" workbookViewId="0">
      <pane xSplit="2" ySplit="4" topLeftCell="C8"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6" width="12.625" style="86" customWidth="1"/>
    <col min="7" max="7" width="13" style="86" customWidth="1"/>
    <col min="8" max="8" width="12.25" style="86" bestFit="1" customWidth="1"/>
    <col min="9" max="9" width="12" style="86" bestFit="1" customWidth="1"/>
    <col min="10" max="10" width="12.25" style="86" bestFit="1" customWidth="1"/>
    <col min="11" max="11" width="12" style="86" bestFit="1" customWidth="1"/>
    <col min="12" max="12" width="12.25" style="86" bestFit="1" customWidth="1"/>
    <col min="13" max="13" width="14.125" style="86" bestFit="1" customWidth="1"/>
    <col min="14" max="14" width="12.25" style="86" bestFit="1" customWidth="1"/>
    <col min="15" max="15" width="12.75" style="275" customWidth="1"/>
    <col min="16" max="16384" width="11" style="86"/>
  </cols>
  <sheetData>
    <row r="1" spans="1:17" ht="22.5">
      <c r="A1" s="289" t="s">
        <v>785</v>
      </c>
      <c r="B1" s="271"/>
      <c r="E1" s="273"/>
      <c r="F1" s="2731" t="str">
        <f>Parameters!B$77</f>
        <v>Year 0:   2026</v>
      </c>
      <c r="G1" s="291"/>
      <c r="H1" s="273"/>
      <c r="I1" s="159"/>
      <c r="J1" s="274"/>
      <c r="K1" s="159"/>
    </row>
    <row r="2" spans="1:17" ht="25.5">
      <c r="A2" s="290" t="str">
        <f>'Base Data'!B9</f>
        <v>WWW, Ltd.</v>
      </c>
      <c r="B2" s="276"/>
      <c r="D2" s="270"/>
      <c r="F2" s="273"/>
      <c r="G2" s="159"/>
      <c r="H2" s="159"/>
      <c r="I2" s="159"/>
      <c r="J2" s="159"/>
      <c r="K2" s="159"/>
    </row>
    <row r="3" spans="1:17" ht="15.75" thickBot="1">
      <c r="A3" s="35"/>
      <c r="B3" s="35"/>
    </row>
    <row r="4" spans="1:17"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7" s="277" customFormat="1" ht="18" customHeight="1" thickBot="1">
      <c r="A5" s="2782" t="s">
        <v>712</v>
      </c>
      <c r="B5" s="278"/>
      <c r="C5" s="278"/>
      <c r="D5" s="278"/>
      <c r="E5" s="278"/>
      <c r="F5" s="278"/>
      <c r="G5" s="278"/>
      <c r="H5" s="278"/>
      <c r="I5" s="278"/>
      <c r="J5" s="278"/>
      <c r="K5" s="278"/>
      <c r="L5" s="278"/>
      <c r="M5" s="278"/>
      <c r="O5" s="299"/>
    </row>
    <row r="6" spans="1:17" ht="21" customHeight="1">
      <c r="A6" s="1178" t="s">
        <v>750</v>
      </c>
      <c r="B6" s="1172"/>
      <c r="C6" s="2442">
        <f t="array" aca="1" ref="C6:N6" ca="1">'Collections &amp; Payments 0'!B28:M28</f>
        <v>242</v>
      </c>
      <c r="D6" s="2442">
        <f ca="1"/>
        <v>330</v>
      </c>
      <c r="E6" s="2442">
        <f ca="1"/>
        <v>418.00000000000006</v>
      </c>
      <c r="F6" s="2442">
        <f ca="1"/>
        <v>506</v>
      </c>
      <c r="G6" s="2442">
        <f ca="1"/>
        <v>594</v>
      </c>
      <c r="H6" s="2442">
        <f ca="1"/>
        <v>682</v>
      </c>
      <c r="I6" s="2442">
        <f ca="1"/>
        <v>770</v>
      </c>
      <c r="J6" s="2442">
        <f ca="1"/>
        <v>857.99999999999989</v>
      </c>
      <c r="K6" s="2442">
        <f ca="1"/>
        <v>946</v>
      </c>
      <c r="L6" s="2442">
        <f ca="1"/>
        <v>1034</v>
      </c>
      <c r="M6" s="2442">
        <f ca="1"/>
        <v>1122</v>
      </c>
      <c r="N6" s="2443">
        <f ca="1"/>
        <v>1210</v>
      </c>
      <c r="O6" s="2444">
        <f t="shared" ref="O6:O21" ca="1" si="0">SUM(C6:N6)</f>
        <v>8712</v>
      </c>
    </row>
    <row r="7" spans="1:17" ht="21" customHeight="1">
      <c r="A7" s="1179" t="s">
        <v>751</v>
      </c>
      <c r="B7" s="1175"/>
      <c r="C7" s="2445">
        <f>'Current Asset Invest.'!$G$24*IF(OR(mes0&gt;COLUMN(B4)-1,COLUMN(B4)-mes0&gt;6),0,INDEX('Cashing &amp; Payment Policies'!$C$19:$H$19,1,COLUMN(B11)-mes0))
+IF(mes0=COLUMN(B4)-1,'Current Asset Invest.'!$I$23*SUM(Parameters!$B53:C53),0)
+IF(mes0&gt;COLUMN(B4)-2,0,'Current Asset Invest.'!$I$23*Parameters!B53)</f>
        <v>0</v>
      </c>
      <c r="D7" s="2445">
        <f>'Current Asset Invest.'!$G$24*IF(OR(mes0&gt;COLUMN(C4)-1,COLUMN(C4)-mes0&gt;6),0,INDEX('Cashing &amp; Payment Policies'!$C$19:$H$19,1,COLUMN(C11)-mes0))
+IF(mes0=COLUMN(C4)-1,'Current Asset Invest.'!$I$23*SUM(Parameters!$B53:D53),0)
+IF(mes0&gt;COLUMN(C4)-2,0,'Current Asset Invest.'!$I$23*Parameters!C53)</f>
        <v>0</v>
      </c>
      <c r="E7" s="2445">
        <f>'Current Asset Invest.'!$G$24*IF(OR(mes0&gt;COLUMN(D4)-1,COLUMN(D4)-mes0&gt;6),0,INDEX('Cashing &amp; Payment Policies'!$C$19:$H$19,1,COLUMN(D11)-mes0))
+IF(mes0=COLUMN(D4)-1,'Current Asset Invest.'!$I$23*SUM(Parameters!$B53:E53),0)
+IF(mes0&gt;COLUMN(D4)-2,0,'Current Asset Invest.'!$I$23*Parameters!D53)</f>
        <v>0</v>
      </c>
      <c r="F7" s="2445">
        <f>'Current Asset Invest.'!$G$24*IF(OR(mes0&gt;COLUMN(E4)-1,COLUMN(E4)-mes0&gt;6),0,INDEX('Cashing &amp; Payment Policies'!$C$19:$H$19,1,COLUMN(E11)-mes0))
+IF(mes0=COLUMN(E4)-1,'Current Asset Invest.'!$I$23*SUM(Parameters!$B53:F53),0)
+IF(mes0&gt;COLUMN(E4)-2,0,'Current Asset Invest.'!$I$23*Parameters!E53)</f>
        <v>0</v>
      </c>
      <c r="G7" s="2445">
        <f>'Current Asset Invest.'!$G$24*IF(OR(mes0&gt;COLUMN(F4)-1,COLUMN(F4)-mes0&gt;6),0,INDEX('Cashing &amp; Payment Policies'!$C$19:$H$19,1,COLUMN(F11)-mes0))
+IF(mes0=COLUMN(F4)-1,'Current Asset Invest.'!$I$23*SUM(Parameters!$B53:G53),0)
+IF(mes0&gt;COLUMN(F4)-2,0,'Current Asset Invest.'!$I$23*Parameters!F53)</f>
        <v>0</v>
      </c>
      <c r="H7" s="2445">
        <f>'Current Asset Invest.'!$G$24*IF(OR(mes0&gt;COLUMN(G4)-1,COLUMN(G4)-mes0&gt;6),0,INDEX('Cashing &amp; Payment Policies'!$C$19:$H$19,1,COLUMN(G11)-mes0))
+IF(mes0=COLUMN(G4)-1,'Current Asset Invest.'!$I$23*SUM(Parameters!$B53:H53),0)
+IF(mes0&gt;COLUMN(G4)-2,0,'Current Asset Invest.'!$I$23*Parameters!G53)</f>
        <v>0</v>
      </c>
      <c r="I7" s="2445">
        <f>'Current Asset Invest.'!$G$24*IF(OR(mes0&gt;COLUMN(H4)-1,COLUMN(H4)-mes0&gt;6),0,INDEX('Cashing &amp; Payment Policies'!$C$19:$H$19,1,COLUMN(H11)-mes0))
+IF(mes0=COLUMN(H4)-1,'Current Asset Invest.'!$I$23*SUM(Parameters!$B53:I53),0)
+IF(mes0&gt;COLUMN(H4)-2,0,'Current Asset Invest.'!$I$23*Parameters!H53)</f>
        <v>0</v>
      </c>
      <c r="J7" s="2445">
        <f>'Current Asset Invest.'!$G$24*IF(OR(mes0&gt;COLUMN(I4)-1,COLUMN(I4)-mes0&gt;6),0,INDEX('Cashing &amp; Payment Policies'!$C$19:$H$19,1,COLUMN(I11)-mes0))
+IF(mes0=COLUMN(I4)-1,'Current Asset Invest.'!$I$23*SUM(Parameters!$B53:J53),0)
+IF(mes0&gt;COLUMN(I4)-2,0,'Current Asset Invest.'!$I$23*Parameters!I53)</f>
        <v>0</v>
      </c>
      <c r="K7" s="2445">
        <f>'Current Asset Invest.'!$G$24*IF(OR(mes0&gt;COLUMN(J4)-1,COLUMN(J4)-mes0&gt;6),0,INDEX('Cashing &amp; Payment Policies'!$C$19:$H$19,1,COLUMN(J11)-mes0))
+IF(mes0=COLUMN(J4)-1,'Current Asset Invest.'!$I$23*SUM(Parameters!$B53:K53),0)
+IF(mes0&gt;COLUMN(J4)-2,0,'Current Asset Invest.'!$I$23*Parameters!J53)</f>
        <v>0</v>
      </c>
      <c r="L7" s="2445">
        <f>'Current Asset Invest.'!$G$24*IF(OR(mes0&gt;COLUMN(K4)-1,COLUMN(K4)-mes0&gt;6),0,INDEX('Cashing &amp; Payment Policies'!$C$19:$H$19,1,COLUMN(K11)-mes0))
+IF(mes0=COLUMN(K4)-1,'Current Asset Invest.'!$I$23*SUM(Parameters!$B53:L53),0)
+IF(mes0&gt;COLUMN(K4)-2,0,'Current Asset Invest.'!$I$23*Parameters!K53)</f>
        <v>0</v>
      </c>
      <c r="M7" s="2445">
        <f>'Current Asset Invest.'!$G$24*IF(OR(mes0&gt;COLUMN(L4)-1,COLUMN(L4)-mes0&gt;6),0,INDEX('Cashing &amp; Payment Policies'!$C$19:$H$19,1,COLUMN(L11)-mes0))
+IF(mes0=COLUMN(L4)-1,'Current Asset Invest.'!$I$23*SUM(Parameters!$B53:M53),0)
+IF(mes0&gt;COLUMN(L4)-2,0,'Current Asset Invest.'!$I$23*Parameters!L53)</f>
        <v>0</v>
      </c>
      <c r="N7" s="2446">
        <f>'Current Asset Invest.'!$G$24*IF(OR(mes0&gt;COLUMN(M4)-1,COLUMN(M4)-mes0&gt;6),0,INDEX('Cashing &amp; Payment Policies'!$C$19:$H$19,1,COLUMN(M11)-mes0))
+IF(mes0=COLUMN(M4)-1,'Current Asset Invest.'!$I$23*SUM(Parameters!$B53:N53),0)
+IF(mes0&gt;COLUMN(M4)-2,0,'Current Asset Invest.'!$I$23*Parameters!M53)</f>
        <v>0</v>
      </c>
      <c r="O7" s="2447">
        <f t="shared" si="0"/>
        <v>0</v>
      </c>
    </row>
    <row r="8" spans="1:17" ht="21" customHeight="1">
      <c r="A8" s="1179" t="s">
        <v>752</v>
      </c>
      <c r="B8" s="1173"/>
      <c r="C8" s="2445">
        <v>0</v>
      </c>
      <c r="D8" s="2445">
        <v>0</v>
      </c>
      <c r="E8" s="2445">
        <v>0</v>
      </c>
      <c r="F8" s="2445">
        <v>0</v>
      </c>
      <c r="G8" s="2445">
        <v>0</v>
      </c>
      <c r="H8" s="2445">
        <v>0</v>
      </c>
      <c r="I8" s="2445">
        <v>0</v>
      </c>
      <c r="J8" s="2445">
        <v>0</v>
      </c>
      <c r="K8" s="2445">
        <v>0</v>
      </c>
      <c r="L8" s="2445">
        <v>0</v>
      </c>
      <c r="M8" s="2445">
        <v>0</v>
      </c>
      <c r="N8" s="2446">
        <f>IF(AND(isoc&lt;&gt;0,'Current Asset Invest.'!G22&gt;'Initial Funding'!B29),'Current Asset Invest.'!G22-'Initial Funding'!B29,0)</f>
        <v>0</v>
      </c>
      <c r="O8" s="2447">
        <f t="shared" si="0"/>
        <v>0</v>
      </c>
    </row>
    <row r="9" spans="1:17" ht="21" customHeight="1">
      <c r="A9" s="1179" t="str">
        <f>'Base Data'!$A$28&amp;" Refunds"</f>
        <v>VAT Refunds</v>
      </c>
      <c r="B9" s="1173"/>
      <c r="C9" s="2445">
        <f t="array" ref="C9:N9">'VAT 0'!C26:N26</f>
        <v>0</v>
      </c>
      <c r="D9" s="2445">
        <v>0</v>
      </c>
      <c r="E9" s="2445">
        <v>0</v>
      </c>
      <c r="F9" s="2445">
        <v>0</v>
      </c>
      <c r="G9" s="2445">
        <v>0</v>
      </c>
      <c r="H9" s="2445">
        <v>0</v>
      </c>
      <c r="I9" s="2445">
        <v>0</v>
      </c>
      <c r="J9" s="2445">
        <v>0</v>
      </c>
      <c r="K9" s="2445">
        <v>0</v>
      </c>
      <c r="L9" s="2445">
        <v>0</v>
      </c>
      <c r="M9" s="2445">
        <v>0</v>
      </c>
      <c r="N9" s="2446">
        <v>0</v>
      </c>
      <c r="O9" s="2447">
        <f t="shared" si="0"/>
        <v>0</v>
      </c>
    </row>
    <row r="10" spans="1:17" ht="21" customHeight="1">
      <c r="A10" s="1181" t="s">
        <v>1077</v>
      </c>
      <c r="B10" s="1175"/>
      <c r="C10" s="2445">
        <f t="array" ref="C10:N10" ca="1">'Financial Expenses'!C87:N87</f>
        <v>0</v>
      </c>
      <c r="D10" s="2445">
        <f ca="1"/>
        <v>0</v>
      </c>
      <c r="E10" s="2445">
        <f ca="1"/>
        <v>0</v>
      </c>
      <c r="F10" s="2445">
        <f ca="1"/>
        <v>0</v>
      </c>
      <c r="G10" s="2445">
        <f ca="1"/>
        <v>0</v>
      </c>
      <c r="H10" s="2445">
        <f ca="1"/>
        <v>0</v>
      </c>
      <c r="I10" s="2445">
        <f ca="1"/>
        <v>0</v>
      </c>
      <c r="J10" s="2445">
        <f ca="1"/>
        <v>0</v>
      </c>
      <c r="K10" s="2445">
        <f ca="1"/>
        <v>0</v>
      </c>
      <c r="L10" s="2445">
        <f ca="1"/>
        <v>0</v>
      </c>
      <c r="M10" s="2445">
        <f ca="1"/>
        <v>0</v>
      </c>
      <c r="N10" s="2446">
        <f ca="1"/>
        <v>0</v>
      </c>
      <c r="O10" s="2447">
        <f t="shared" ca="1" si="0"/>
        <v>0</v>
      </c>
    </row>
    <row r="11" spans="1:17" s="275" customFormat="1" ht="21" customHeight="1" thickBot="1">
      <c r="A11" s="1176" t="s">
        <v>764</v>
      </c>
      <c r="B11" s="1177"/>
      <c r="C11" s="2448">
        <f ca="1">SUM(C6:C10)</f>
        <v>242</v>
      </c>
      <c r="D11" s="2448">
        <f t="shared" ref="D11:K11" ca="1" si="1">SUM(D6:D10)</f>
        <v>330</v>
      </c>
      <c r="E11" s="2448">
        <f t="shared" ca="1" si="1"/>
        <v>418.00000000000006</v>
      </c>
      <c r="F11" s="2448">
        <f t="shared" ca="1" si="1"/>
        <v>506</v>
      </c>
      <c r="G11" s="2448">
        <f t="shared" ca="1" si="1"/>
        <v>594</v>
      </c>
      <c r="H11" s="2448">
        <f t="shared" ca="1" si="1"/>
        <v>682</v>
      </c>
      <c r="I11" s="2448">
        <f t="shared" ca="1" si="1"/>
        <v>770</v>
      </c>
      <c r="J11" s="2448">
        <f t="shared" ca="1" si="1"/>
        <v>857.99999999999989</v>
      </c>
      <c r="K11" s="2448">
        <f t="shared" ca="1" si="1"/>
        <v>946</v>
      </c>
      <c r="L11" s="2448">
        <f ca="1">SUM(L6:L10)</f>
        <v>1034</v>
      </c>
      <c r="M11" s="2448">
        <f ca="1">SUM(M6:M10)</f>
        <v>1122</v>
      </c>
      <c r="N11" s="2449">
        <f ca="1">SUM(N6:N10)</f>
        <v>1210</v>
      </c>
      <c r="O11" s="2450">
        <f t="shared" ca="1" si="0"/>
        <v>8712</v>
      </c>
    </row>
    <row r="12" spans="1:17" s="275" customFormat="1" ht="9.75" customHeight="1">
      <c r="A12" s="294"/>
      <c r="B12" s="280"/>
      <c r="C12" s="280"/>
      <c r="D12" s="280"/>
      <c r="E12" s="280"/>
      <c r="F12" s="280"/>
      <c r="G12" s="280"/>
      <c r="H12" s="280"/>
      <c r="I12" s="280"/>
      <c r="J12" s="280"/>
      <c r="K12" s="280"/>
      <c r="L12" s="280"/>
      <c r="M12" s="280"/>
      <c r="N12" s="280"/>
      <c r="O12" s="300"/>
    </row>
    <row r="13" spans="1:17" s="275" customFormat="1" ht="21" customHeight="1" thickBot="1">
      <c r="A13" s="296" t="s">
        <v>753</v>
      </c>
      <c r="B13" s="281"/>
      <c r="C13" s="281"/>
      <c r="D13" s="281"/>
      <c r="E13" s="281"/>
      <c r="F13" s="281"/>
      <c r="G13" s="281"/>
      <c r="H13" s="281"/>
      <c r="I13" s="281"/>
      <c r="J13" s="281"/>
      <c r="K13" s="281"/>
      <c r="L13" s="281"/>
      <c r="M13" s="281"/>
      <c r="N13" s="281"/>
      <c r="O13" s="301"/>
    </row>
    <row r="14" spans="1:17" s="288" customFormat="1" ht="21" customHeight="1">
      <c r="A14" s="1178" t="str">
        <f>"Fixed Expenses payments ( "&amp;'Base Data'!$A$28&amp;" incl.)"</f>
        <v>Fixed Expenses payments ( VAT incl.)</v>
      </c>
      <c r="B14" s="1172"/>
      <c r="C14" s="1184">
        <f ca="1">'Fixed Expenses 0'!B58+'Fixed Expenses 0'!B60
+IF(COLUMN(C$4)-2&lt;mes0,0,IF(COLUMN(C$4)-2&lt;mes0+'Fixed Expenses Data'!$C$33,-'Fixed Expenses Data'!$B$21,0))</f>
        <v>1309.9579999999999</v>
      </c>
      <c r="D14" s="1184">
        <f ca="1">'Fixed Expenses 0'!C58+'Fixed Expenses 0'!C60
+IF(COLUMN(D$4)-2&lt;mes0,0,IF(COLUMN(D$4)-2&lt;mes0+'Fixed Expenses Data'!$C$33,-'Fixed Expenses Data'!$B$21,0))</f>
        <v>1309.9579999999999</v>
      </c>
      <c r="E14" s="1184">
        <f ca="1">'Fixed Expenses 0'!D58+'Fixed Expenses 0'!D60
+IF(COLUMN(E$4)-2&lt;mes0,0,IF(COLUMN(E$4)-2&lt;mes0+'Fixed Expenses Data'!$C$33,-'Fixed Expenses Data'!$B$21,0))</f>
        <v>1309.9579999999999</v>
      </c>
      <c r="F14" s="1184">
        <f ca="1">'Fixed Expenses 0'!E58+'Fixed Expenses 0'!E60
+IF(COLUMN(F$4)-2&lt;mes0,0,IF(COLUMN(F$4)-2&lt;mes0+'Fixed Expenses Data'!$C$33,-'Fixed Expenses Data'!$B$21,0))</f>
        <v>1309.9579999999999</v>
      </c>
      <c r="G14" s="1184">
        <f ca="1">'Fixed Expenses 0'!F58+'Fixed Expenses 0'!F60
+IF(COLUMN(G$4)-2&lt;mes0,0,IF(COLUMN(G$4)-2&lt;mes0+'Fixed Expenses Data'!$C$33,-'Fixed Expenses Data'!$B$21,0))</f>
        <v>1309.9579999999999</v>
      </c>
      <c r="H14" s="1184">
        <f ca="1">'Fixed Expenses 0'!G58+'Fixed Expenses 0'!G60
+IF(COLUMN(H$4)-2&lt;mes0,0,IF(COLUMN(H$4)-2&lt;mes0+'Fixed Expenses Data'!$C$33,-'Fixed Expenses Data'!$B$21,0))</f>
        <v>1309.9579999999999</v>
      </c>
      <c r="I14" s="1184">
        <f ca="1">'Fixed Expenses 0'!H58+'Fixed Expenses 0'!H60
+IF(COLUMN(I$4)-2&lt;mes0,0,IF(COLUMN(I$4)-2&lt;mes0+'Fixed Expenses Data'!$C$33,-'Fixed Expenses Data'!$B$21,0))</f>
        <v>1309.9579999999999</v>
      </c>
      <c r="J14" s="1184">
        <f ca="1">'Fixed Expenses 0'!I58+'Fixed Expenses 0'!I60
+IF(COLUMN(J$4)-2&lt;mes0,0,IF(COLUMN(J$4)-2&lt;mes0+'Fixed Expenses Data'!$C$33,-'Fixed Expenses Data'!$B$21,0))</f>
        <v>1309.9579999999999</v>
      </c>
      <c r="K14" s="1184">
        <f ca="1">'Fixed Expenses 0'!J58+'Fixed Expenses 0'!J60
+IF(COLUMN(K$4)-2&lt;mes0,0,IF(COLUMN(K$4)-2&lt;mes0+'Fixed Expenses Data'!$C$33,-'Fixed Expenses Data'!$B$21,0))</f>
        <v>1309.9579999999999</v>
      </c>
      <c r="L14" s="1184">
        <f ca="1">'Fixed Expenses 0'!K58+'Fixed Expenses 0'!K60
+IF(COLUMN(L$4)-2&lt;mes0,0,IF(COLUMN(L$4)-2&lt;mes0+'Fixed Expenses Data'!$C$33,-'Fixed Expenses Data'!$B$21,0))</f>
        <v>1309.9579999999999</v>
      </c>
      <c r="M14" s="1184">
        <f ca="1">'Fixed Expenses 0'!L58+'Fixed Expenses 0'!L60
+IF(COLUMN(M$4)-2&lt;mes0,0,IF(COLUMN(M$4)-2&lt;mes0+'Fixed Expenses Data'!$C$33,-'Fixed Expenses Data'!$B$21,0))</f>
        <v>1309.9579999999999</v>
      </c>
      <c r="N14" s="1185">
        <f ca="1">'Fixed Expenses 0'!M58+'Fixed Expenses 0'!M60
+IF(COLUMN(N$4)-2&lt;mes0,0,IF(COLUMN(N$4)-2&lt;mes0+'Fixed Expenses Data'!$C$33,-'Fixed Expenses Data'!$B$21,0))</f>
        <v>1309.9579999999999</v>
      </c>
      <c r="O14" s="1186">
        <f t="shared" ca="1" si="0"/>
        <v>15719.496000000001</v>
      </c>
      <c r="Q14" s="275"/>
    </row>
    <row r="15" spans="1:17" s="287" customFormat="1" ht="21" customHeight="1">
      <c r="A15" s="1181" t="str">
        <f>"Purchases &amp; Direct Costs payments  ( "&amp;'Base Data'!$A$28&amp;" incl.)"</f>
        <v>Purchases &amp; Direct Costs payments  ( VAT incl.)</v>
      </c>
      <c r="B15" s="1173"/>
      <c r="C15" s="1187">
        <f t="array" aca="1" ref="C15:N15" ca="1">'Collections &amp; Payments 0'!B55:M55</f>
        <v>24.2</v>
      </c>
      <c r="D15" s="1187">
        <f ca="1"/>
        <v>33.000000000000007</v>
      </c>
      <c r="E15" s="1187">
        <f ca="1"/>
        <v>41.800000000000011</v>
      </c>
      <c r="F15" s="1187">
        <f ca="1"/>
        <v>50.6</v>
      </c>
      <c r="G15" s="1187">
        <f ca="1"/>
        <v>59.400000000000006</v>
      </c>
      <c r="H15" s="1187">
        <f ca="1"/>
        <v>68.2</v>
      </c>
      <c r="I15" s="1187">
        <f ca="1"/>
        <v>77</v>
      </c>
      <c r="J15" s="1187">
        <f ca="1"/>
        <v>85.8</v>
      </c>
      <c r="K15" s="1187">
        <f ca="1"/>
        <v>94.600000000000009</v>
      </c>
      <c r="L15" s="1187">
        <f ca="1"/>
        <v>103.4</v>
      </c>
      <c r="M15" s="1187">
        <f ca="1"/>
        <v>112.2</v>
      </c>
      <c r="N15" s="1188">
        <f ca="1"/>
        <v>121</v>
      </c>
      <c r="O15" s="1189">
        <f t="shared" ca="1" si="0"/>
        <v>871.2</v>
      </c>
      <c r="Q15" s="275"/>
    </row>
    <row r="16" spans="1:17" s="287" customFormat="1" ht="21" customHeight="1">
      <c r="A16" s="1181" t="s">
        <v>754</v>
      </c>
      <c r="B16" s="1175"/>
      <c r="C16" s="1187">
        <f t="array" ref="C16:N16" ca="1">'Financial Expenses'!C19:N19+'Financial Expenses'!C15:N15*Parameters!$F$33*0</f>
        <v>2.42</v>
      </c>
      <c r="D16" s="1187">
        <f ca="1"/>
        <v>3.3000000000000003</v>
      </c>
      <c r="E16" s="1187">
        <f ca="1"/>
        <v>4.1800000000000006</v>
      </c>
      <c r="F16" s="1187">
        <f ca="1"/>
        <v>5.0600000000000005</v>
      </c>
      <c r="G16" s="1187">
        <f ca="1"/>
        <v>5.94</v>
      </c>
      <c r="H16" s="1187">
        <f ca="1"/>
        <v>6.82</v>
      </c>
      <c r="I16" s="1187">
        <f ca="1"/>
        <v>7.7</v>
      </c>
      <c r="J16" s="1187">
        <f ca="1"/>
        <v>8.5799999999999983</v>
      </c>
      <c r="K16" s="1187">
        <f ca="1"/>
        <v>9.4600000000000009</v>
      </c>
      <c r="L16" s="1187">
        <f ca="1"/>
        <v>10.34</v>
      </c>
      <c r="M16" s="1187">
        <f ca="1"/>
        <v>11.22</v>
      </c>
      <c r="N16" s="1188">
        <f ca="1"/>
        <v>12.1</v>
      </c>
      <c r="O16" s="1189">
        <f t="shared" ca="1" si="0"/>
        <v>87.11999999999999</v>
      </c>
      <c r="Q16" s="275"/>
    </row>
    <row r="17" spans="1:17" s="287" customFormat="1" ht="21" customHeight="1">
      <c r="A17" s="1181" t="str">
        <f>"Leasing / Renting quotes input "&amp;'Base Data'!$A$28&amp;" payments"</f>
        <v>Leasing / Renting quotes input VAT payments</v>
      </c>
      <c r="B17" s="1175"/>
      <c r="C17" s="1187">
        <f t="array" ref="C17:N17">Leasing!B24:M24+Renting!B24:M24</f>
        <v>0</v>
      </c>
      <c r="D17" s="1187">
        <v>0</v>
      </c>
      <c r="E17" s="1187">
        <v>0</v>
      </c>
      <c r="F17" s="1187">
        <v>0</v>
      </c>
      <c r="G17" s="1187">
        <v>0</v>
      </c>
      <c r="H17" s="1187">
        <v>0</v>
      </c>
      <c r="I17" s="1187">
        <v>0</v>
      </c>
      <c r="J17" s="1187">
        <v>0</v>
      </c>
      <c r="K17" s="1187">
        <v>0</v>
      </c>
      <c r="L17" s="1187">
        <v>0</v>
      </c>
      <c r="M17" s="1187">
        <v>0</v>
      </c>
      <c r="N17" s="1188">
        <v>0</v>
      </c>
      <c r="O17" s="1189">
        <f t="shared" si="0"/>
        <v>0</v>
      </c>
      <c r="Q17" s="275"/>
    </row>
    <row r="18" spans="1:17" s="287" customFormat="1" ht="19.5" customHeight="1">
      <c r="A18" s="1180"/>
      <c r="C18" s="1706"/>
      <c r="D18" s="1707"/>
      <c r="E18" s="1708"/>
      <c r="F18" s="1707"/>
      <c r="G18" s="1707"/>
      <c r="H18" s="1707"/>
      <c r="I18" s="1707"/>
      <c r="J18" s="1707"/>
      <c r="K18" s="1707"/>
      <c r="L18" s="1707"/>
      <c r="M18" s="1707"/>
      <c r="N18" s="1709"/>
      <c r="O18" s="1710"/>
      <c r="Q18" s="275"/>
    </row>
    <row r="19" spans="1:17" s="287" customFormat="1" ht="21" customHeight="1">
      <c r="A19" s="1182" t="s">
        <v>755</v>
      </c>
      <c r="B19" s="1174"/>
      <c r="C19" s="1190"/>
      <c r="D19" s="1191"/>
      <c r="E19" s="1192"/>
      <c r="F19" s="1191"/>
      <c r="G19" s="1191"/>
      <c r="H19" s="1191"/>
      <c r="I19" s="1191"/>
      <c r="J19" s="1191"/>
      <c r="K19" s="1191"/>
      <c r="L19" s="1191"/>
      <c r="M19" s="1191"/>
      <c r="N19" s="1193"/>
      <c r="O19" s="1194"/>
      <c r="Q19" s="275"/>
    </row>
    <row r="20" spans="1:17" s="287" customFormat="1" ht="21" customHeight="1">
      <c r="A20" s="1181" t="s">
        <v>787</v>
      </c>
      <c r="B20" s="1175"/>
      <c r="C20" s="1187">
        <f t="array" ref="C20:N20">Loans!B24:M24+Leasing!B23:M23</f>
        <v>0</v>
      </c>
      <c r="D20" s="1187">
        <v>0</v>
      </c>
      <c r="E20" s="1187">
        <v>0</v>
      </c>
      <c r="F20" s="1187">
        <v>0</v>
      </c>
      <c r="G20" s="1187">
        <v>0</v>
      </c>
      <c r="H20" s="1187">
        <v>0</v>
      </c>
      <c r="I20" s="1187">
        <v>0</v>
      </c>
      <c r="J20" s="1187">
        <v>0</v>
      </c>
      <c r="K20" s="1187">
        <v>0</v>
      </c>
      <c r="L20" s="1187">
        <v>0</v>
      </c>
      <c r="M20" s="1187">
        <v>0</v>
      </c>
      <c r="N20" s="1188">
        <v>0</v>
      </c>
      <c r="O20" s="1189">
        <f t="shared" si="0"/>
        <v>0</v>
      </c>
      <c r="Q20" s="275"/>
    </row>
    <row r="21" spans="1:17" s="287" customFormat="1" ht="21" customHeight="1">
      <c r="A21" s="1179" t="s">
        <v>768</v>
      </c>
      <c r="B21" s="1173"/>
      <c r="C21" s="1187">
        <f ca="1">('Initial Funding'!$C$26+'Initial Funding'!$B$27)*IF(OR(mes0&gt;COLUMN(B4)-1,COLUMN(B4)-mes0&gt;6),0,INDEX('Cashing &amp; Payment Policies'!$C$67:$H$67,1,COLUMN(B11)-mes0))</f>
        <v>0</v>
      </c>
      <c r="D21" s="1187">
        <f ca="1">('Initial Funding'!$C$26+'Initial Funding'!$B$27)*IF(OR(mes0&gt;COLUMN(C4)-1,COLUMN(C4)-mes0&gt;6),0,INDEX('Cashing &amp; Payment Policies'!$C$67:$H$67,1,COLUMN(C11)-mes0))</f>
        <v>0</v>
      </c>
      <c r="E21" s="1187">
        <f ca="1">('Initial Funding'!$C$26+'Initial Funding'!$B$27)*IF(OR(mes0&gt;COLUMN(D4)-1,COLUMN(D4)-mes0&gt;6),0,INDEX('Cashing &amp; Payment Policies'!$C$67:$H$67,1,COLUMN(D11)-mes0))</f>
        <v>0</v>
      </c>
      <c r="F21" s="1187">
        <f ca="1">('Initial Funding'!$C$26+'Initial Funding'!$B$27)*IF(OR(mes0&gt;COLUMN(E4)-1,COLUMN(E4)-mes0&gt;6),0,INDEX('Cashing &amp; Payment Policies'!$C$67:$H$67,1,COLUMN(E11)-mes0))</f>
        <v>0</v>
      </c>
      <c r="G21" s="1187">
        <f ca="1">('Initial Funding'!$C$26+'Initial Funding'!$B$27)*IF(OR(mes0&gt;COLUMN(F4)-1,COLUMN(F4)-mes0&gt;6),0,INDEX('Cashing &amp; Payment Policies'!$C$67:$H$67,1,COLUMN(F11)-mes0))</f>
        <v>0</v>
      </c>
      <c r="H21" s="1187">
        <f ca="1">('Initial Funding'!$C$26+'Initial Funding'!$B$27)*IF(OR(mes0&gt;COLUMN(G4)-1,COLUMN(G4)-mes0&gt;6),0,INDEX('Cashing &amp; Payment Policies'!$C$67:$H$67,1,COLUMN(G11)-mes0))</f>
        <v>0</v>
      </c>
      <c r="I21" s="1187">
        <f ca="1">('Initial Funding'!$C$26+'Initial Funding'!$B$27)*IF(OR(mes0&gt;COLUMN(H4)-1,COLUMN(H4)-mes0&gt;6),0,INDEX('Cashing &amp; Payment Policies'!$C$67:$H$67,1,COLUMN(H11)-mes0))</f>
        <v>0</v>
      </c>
      <c r="J21" s="1187">
        <f ca="1">('Initial Funding'!$C$26+'Initial Funding'!$B$27)*IF(OR(mes0&gt;COLUMN(I4)-1,COLUMN(I4)-mes0&gt;6),0,INDEX('Cashing &amp; Payment Policies'!$C$67:$H$67,1,COLUMN(I11)-mes0))</f>
        <v>0</v>
      </c>
      <c r="K21" s="1187">
        <f ca="1">('Initial Funding'!$C$26+'Initial Funding'!$B$27)*IF(OR(mes0&gt;COLUMN(J4)-1,COLUMN(J4)-mes0&gt;6),0,INDEX('Cashing &amp; Payment Policies'!$C$67:$H$67,1,COLUMN(J11)-mes0))</f>
        <v>0</v>
      </c>
      <c r="L21" s="1187">
        <f ca="1">('Initial Funding'!$C$26+'Initial Funding'!$B$27)*IF(OR(mes0&gt;COLUMN(K4)-1,COLUMN(K4)-mes0&gt;6),0,INDEX('Cashing &amp; Payment Policies'!$C$67:$H$67,1,COLUMN(K11)-mes0))</f>
        <v>0</v>
      </c>
      <c r="M21" s="1187">
        <f ca="1">('Initial Funding'!$C$26+'Initial Funding'!$B$27)*IF(OR(mes0&gt;COLUMN(L4)-1,COLUMN(L4)-mes0&gt;6),0,INDEX('Cashing &amp; Payment Policies'!$C$67:$H$67,1,COLUMN(L11)-mes0))</f>
        <v>0</v>
      </c>
      <c r="N21" s="1188">
        <f ca="1">('Initial Funding'!$C$26+'Initial Funding'!$B$27)*IF(OR(mes0&gt;COLUMN(M4)-1,COLUMN(M4)-mes0&gt;6),0,INDEX('Cashing &amp; Payment Policies'!$C$67:$H$67,1,COLUMN(M11)-mes0))</f>
        <v>0</v>
      </c>
      <c r="O21" s="1189">
        <f t="shared" ca="1" si="0"/>
        <v>0</v>
      </c>
      <c r="Q21" s="275"/>
    </row>
    <row r="22" spans="1:17" s="287" customFormat="1" ht="21" customHeight="1">
      <c r="A22" s="1179" t="str">
        <f>'Base Data'!$A$28&amp;" Settlements payments"</f>
        <v>VAT Settlements payments</v>
      </c>
      <c r="B22" s="1173"/>
      <c r="C22" s="1187">
        <f t="array" ref="C22:N22" ca="1">'VAT 0'!C24:N24</f>
        <v>0</v>
      </c>
      <c r="D22" s="1187">
        <f ca="1"/>
        <v>0</v>
      </c>
      <c r="E22" s="1187">
        <f ca="1"/>
        <v>0</v>
      </c>
      <c r="F22" s="1187">
        <f ca="1"/>
        <v>8.8123636363636422</v>
      </c>
      <c r="G22" s="1187">
        <f ca="1"/>
        <v>74.87836363636363</v>
      </c>
      <c r="H22" s="1187">
        <f ca="1"/>
        <v>88.62381818181818</v>
      </c>
      <c r="I22" s="1187">
        <f ca="1"/>
        <v>102.36927272727273</v>
      </c>
      <c r="J22" s="1187">
        <f ca="1"/>
        <v>116.11472727272727</v>
      </c>
      <c r="K22" s="1187">
        <f ca="1"/>
        <v>129.86018181818179</v>
      </c>
      <c r="L22" s="1187">
        <f ca="1"/>
        <v>143.60563636363636</v>
      </c>
      <c r="M22" s="1187">
        <f ca="1"/>
        <v>157.35109090909089</v>
      </c>
      <c r="N22" s="1188">
        <f ca="1"/>
        <v>171.09654545454543</v>
      </c>
      <c r="O22" s="1189">
        <f ca="1">SUM(C22:N22)</f>
        <v>992.71199999999988</v>
      </c>
      <c r="Q22" s="275"/>
    </row>
    <row r="23" spans="1:17" s="287" customFormat="1" ht="21" customHeight="1">
      <c r="A23" s="1179" t="s">
        <v>756</v>
      </c>
      <c r="B23" s="1173"/>
      <c r="C23" s="1187">
        <v>0</v>
      </c>
      <c r="D23" s="1187">
        <v>0</v>
      </c>
      <c r="E23" s="1187">
        <v>0</v>
      </c>
      <c r="F23" s="1187">
        <f ca="1">'Corporate Income Tax'!B18+'Personal Income Tax Calc.'!E13</f>
        <v>0</v>
      </c>
      <c r="G23" s="1187">
        <v>0</v>
      </c>
      <c r="H23" s="1187">
        <f>IF(AND(irpf&lt;&gt;0,('Initial Funding'!B29&gt;'Current Asset Invest.'!G22)),'Initial Funding'!B29-'Current Asset Invest.'!G22,0)</f>
        <v>0</v>
      </c>
      <c r="I23" s="1187">
        <f ca="1">IF(AND(isoc&lt;&gt;0,('Initial Funding'!B29&gt;'Current Asset Invest.'!B22)),'Initial Funding'!B29-'Current Asset Invest.'!B22,0)+'Personal Income Tax Calc.'!H13</f>
        <v>0</v>
      </c>
      <c r="J23" s="1187">
        <v>0</v>
      </c>
      <c r="K23" s="1187">
        <v>0</v>
      </c>
      <c r="L23" s="1187">
        <f ca="1">'Personal Income Tax Calc.'!K13+'Corporate Income Tax'!B19</f>
        <v>0</v>
      </c>
      <c r="M23" s="1187">
        <v>0</v>
      </c>
      <c r="N23" s="1188">
        <f ca="1">'Corporate Income Tax'!B20</f>
        <v>0</v>
      </c>
      <c r="O23" s="1189">
        <f ca="1">SUM(C23:N23)</f>
        <v>0</v>
      </c>
    </row>
    <row r="24" spans="1:17" s="287" customFormat="1" ht="21" customHeight="1">
      <c r="A24" s="1179" t="s">
        <v>757</v>
      </c>
      <c r="B24" s="1173"/>
      <c r="C24" s="1187">
        <f t="array" ref="C24:N24">'Unusual payments &amp; Collections'!B64:M64</f>
        <v>0</v>
      </c>
      <c r="D24" s="1187">
        <v>0</v>
      </c>
      <c r="E24" s="1187">
        <v>0</v>
      </c>
      <c r="F24" s="1187">
        <v>0</v>
      </c>
      <c r="G24" s="1187">
        <v>0</v>
      </c>
      <c r="H24" s="1187">
        <v>0</v>
      </c>
      <c r="I24" s="1187">
        <v>0</v>
      </c>
      <c r="J24" s="1187">
        <v>0</v>
      </c>
      <c r="K24" s="1187">
        <v>0</v>
      </c>
      <c r="L24" s="1187">
        <v>0</v>
      </c>
      <c r="M24" s="1187">
        <v>0</v>
      </c>
      <c r="N24" s="1188">
        <v>0</v>
      </c>
      <c r="O24" s="1189">
        <f>SUM(C24:N24)</f>
        <v>0</v>
      </c>
    </row>
    <row r="25" spans="1:17" s="288" customFormat="1" ht="21" customHeight="1" thickBot="1">
      <c r="A25" s="1183" t="s">
        <v>758</v>
      </c>
      <c r="B25" s="1177"/>
      <c r="C25" s="1195">
        <f t="shared" ref="C25:N25" ca="1" si="2">SUM(C14:C24)</f>
        <v>1336.578</v>
      </c>
      <c r="D25" s="1195">
        <f t="shared" ca="1" si="2"/>
        <v>1346.2579999999998</v>
      </c>
      <c r="E25" s="1195">
        <f t="shared" ca="1" si="2"/>
        <v>1355.9379999999999</v>
      </c>
      <c r="F25" s="1195">
        <f t="shared" ca="1" si="2"/>
        <v>1374.4303636363634</v>
      </c>
      <c r="G25" s="1195">
        <f t="shared" ca="1" si="2"/>
        <v>1450.1763636363637</v>
      </c>
      <c r="H25" s="1195">
        <f t="shared" ca="1" si="2"/>
        <v>1473.6018181818181</v>
      </c>
      <c r="I25" s="1195">
        <f t="shared" ca="1" si="2"/>
        <v>1497.0272727272727</v>
      </c>
      <c r="J25" s="1195">
        <f t="shared" ca="1" si="2"/>
        <v>1520.4527272727271</v>
      </c>
      <c r="K25" s="1195">
        <f t="shared" ca="1" si="2"/>
        <v>1543.8781818181815</v>
      </c>
      <c r="L25" s="1195">
        <f t="shared" ca="1" si="2"/>
        <v>1567.3036363636363</v>
      </c>
      <c r="M25" s="1195">
        <f ca="1">SUM(M14:M24)</f>
        <v>1590.7290909090907</v>
      </c>
      <c r="N25" s="1196">
        <f t="shared" ca="1" si="2"/>
        <v>1614.1545454545453</v>
      </c>
      <c r="O25" s="1197">
        <f ca="1">SUM(O14:O24)</f>
        <v>17670.527999999998</v>
      </c>
    </row>
    <row r="26" spans="1:17" s="275" customFormat="1" ht="21" customHeight="1">
      <c r="A26" s="294"/>
      <c r="B26" s="315"/>
      <c r="C26" s="283"/>
      <c r="D26" s="283"/>
      <c r="E26" s="283"/>
      <c r="F26" s="283"/>
      <c r="G26" s="283"/>
      <c r="H26" s="283"/>
      <c r="I26" s="283"/>
      <c r="J26" s="283"/>
      <c r="K26" s="283"/>
      <c r="L26" s="283"/>
      <c r="M26" s="283"/>
      <c r="O26" s="302"/>
    </row>
    <row r="27" spans="1:17" s="275" customFormat="1" ht="21" customHeight="1" thickBot="1">
      <c r="A27" s="294"/>
      <c r="B27" s="282"/>
      <c r="C27" s="283"/>
      <c r="D27" s="283"/>
      <c r="E27" s="283"/>
      <c r="F27" s="283"/>
      <c r="G27" s="283"/>
      <c r="H27" s="283"/>
      <c r="I27" s="283"/>
      <c r="J27" s="283"/>
      <c r="K27" s="283"/>
      <c r="L27" s="283"/>
      <c r="M27" s="283"/>
      <c r="O27" s="302"/>
    </row>
    <row r="28" spans="1:17" s="277" customFormat="1" ht="18" customHeight="1" thickBot="1">
      <c r="A28" s="312" t="s">
        <v>763</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7" s="275" customFormat="1" ht="21" customHeight="1" thickBot="1">
      <c r="A29" s="313" t="s">
        <v>759</v>
      </c>
      <c r="B29" s="284"/>
      <c r="C29" s="610">
        <f t="array" ref="C29:N29" ca="1">C11:N11</f>
        <v>242</v>
      </c>
      <c r="D29" s="610">
        <f ca="1"/>
        <v>330</v>
      </c>
      <c r="E29" s="610">
        <f ca="1"/>
        <v>418.00000000000006</v>
      </c>
      <c r="F29" s="610">
        <f ca="1"/>
        <v>506</v>
      </c>
      <c r="G29" s="610">
        <f ca="1"/>
        <v>594</v>
      </c>
      <c r="H29" s="610">
        <f ca="1"/>
        <v>682</v>
      </c>
      <c r="I29" s="610">
        <f ca="1"/>
        <v>770</v>
      </c>
      <c r="J29" s="610">
        <f ca="1"/>
        <v>857.99999999999989</v>
      </c>
      <c r="K29" s="610">
        <f ca="1"/>
        <v>946</v>
      </c>
      <c r="L29" s="610">
        <f ca="1"/>
        <v>1034</v>
      </c>
      <c r="M29" s="610">
        <f ca="1"/>
        <v>1122</v>
      </c>
      <c r="N29" s="611">
        <f ca="1"/>
        <v>1210</v>
      </c>
      <c r="O29" s="612">
        <f ca="1">SUM(C29:N29)</f>
        <v>8712</v>
      </c>
    </row>
    <row r="30" spans="1:17" s="275" customFormat="1" ht="21" customHeight="1" thickBot="1">
      <c r="A30" s="313" t="s">
        <v>760</v>
      </c>
      <c r="B30" s="279"/>
      <c r="C30" s="613">
        <f t="array" ref="C30:N30" ca="1">C25:N25</f>
        <v>1336.578</v>
      </c>
      <c r="D30" s="613">
        <f ca="1"/>
        <v>1346.2579999999998</v>
      </c>
      <c r="E30" s="613">
        <f ca="1"/>
        <v>1355.9379999999999</v>
      </c>
      <c r="F30" s="613">
        <f ca="1"/>
        <v>1374.4303636363634</v>
      </c>
      <c r="G30" s="613">
        <f ca="1"/>
        <v>1450.1763636363637</v>
      </c>
      <c r="H30" s="613">
        <f ca="1"/>
        <v>1473.6018181818181</v>
      </c>
      <c r="I30" s="613">
        <f ca="1"/>
        <v>1497.0272727272727</v>
      </c>
      <c r="J30" s="613">
        <f ca="1"/>
        <v>1520.4527272727271</v>
      </c>
      <c r="K30" s="613">
        <f ca="1"/>
        <v>1543.8781818181815</v>
      </c>
      <c r="L30" s="613">
        <f ca="1"/>
        <v>1567.3036363636363</v>
      </c>
      <c r="M30" s="613">
        <f ca="1"/>
        <v>1590.7290909090907</v>
      </c>
      <c r="N30" s="614">
        <f ca="1"/>
        <v>1614.1545454545453</v>
      </c>
      <c r="O30" s="612">
        <f ca="1">SUM(C30:N30)</f>
        <v>17670.527999999998</v>
      </c>
    </row>
    <row r="31" spans="1:17" s="275" customFormat="1" ht="21" customHeight="1" thickBot="1">
      <c r="A31" s="314" t="s">
        <v>766</v>
      </c>
      <c r="B31" s="284"/>
      <c r="C31" s="615">
        <f t="array" ref="C31:N31" ca="1">C29:N29-C30:N30</f>
        <v>-1094.578</v>
      </c>
      <c r="D31" s="615">
        <f ca="1"/>
        <v>-1016.2579999999998</v>
      </c>
      <c r="E31" s="615">
        <f ca="1"/>
        <v>-937.93799999999987</v>
      </c>
      <c r="F31" s="615">
        <f ca="1"/>
        <v>-868.43036363636338</v>
      </c>
      <c r="G31" s="615">
        <f ca="1"/>
        <v>-856.1763636363637</v>
      </c>
      <c r="H31" s="615">
        <f ca="1"/>
        <v>-791.60181818181809</v>
      </c>
      <c r="I31" s="615">
        <f ca="1"/>
        <v>-727.0272727272727</v>
      </c>
      <c r="J31" s="615">
        <f ca="1"/>
        <v>-662.4527272727272</v>
      </c>
      <c r="K31" s="615">
        <f ca="1"/>
        <v>-597.87818181818147</v>
      </c>
      <c r="L31" s="615">
        <f ca="1"/>
        <v>-533.30363636363631</v>
      </c>
      <c r="M31" s="615">
        <f ca="1"/>
        <v>-468.7290909090907</v>
      </c>
      <c r="N31" s="616">
        <f ca="1"/>
        <v>-404.15454545454531</v>
      </c>
      <c r="O31" s="617">
        <f ca="1">O29-O30</f>
        <v>-8958.5279999999984</v>
      </c>
    </row>
    <row r="32" spans="1:17"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
        <v>769</v>
      </c>
      <c r="B33" s="1155">
        <f>'Initial Funding'!$B$25</f>
        <v>0</v>
      </c>
      <c r="C33" s="1156">
        <f ca="1">IF(COLUMN(C$4)-1&lt;=mes0,0,
       IF(B35+C31-B33&gt;tesoreriasec,0,MIN(B33-B35-C31+tesoreriasec,Funding!$D$49))  )</f>
        <v>0</v>
      </c>
      <c r="D33" s="1157">
        <f ca="1">IF(COLUMN(D$4)-1&lt;=mes0,0,
       IF(C35+D31-C33&gt;tesoreriasec,0,MIN(C33-C35-D31+tesoreriasec,Funding!$D$49))  )</f>
        <v>0</v>
      </c>
      <c r="E33" s="1157">
        <f ca="1">IF(COLUMN(E$4)-1&lt;=mes0,0,
       IF(D35+E31-D33&gt;tesoreriasec,0,MIN(D33-D35-E31+tesoreriasec,Funding!$D$49))  )</f>
        <v>0</v>
      </c>
      <c r="F33" s="1157">
        <f ca="1">IF(COLUMN(F$4)-1&lt;=mes0,0,
       IF(E35+F31-E33&gt;tesoreriasec,0,MIN(E33-E35-F31+tesoreriasec,Funding!$D$49))  )</f>
        <v>0</v>
      </c>
      <c r="G33" s="1157">
        <f ca="1">IF(COLUMN(G$4)-1&lt;=mes0,0,
       IF(F35+G31-F33&gt;tesoreriasec,0,MIN(F33-F35-G31+tesoreriasec,Funding!$D$49))  )</f>
        <v>0</v>
      </c>
      <c r="H33" s="1157">
        <f ca="1">IF(COLUMN(H$4)-1&lt;=mes0,0,
       IF(G35+H31-G33&gt;tesoreriasec,0,MIN(G33-G35-H31+tesoreriasec,Funding!$D$49))  )</f>
        <v>0</v>
      </c>
      <c r="I33" s="1157">
        <f ca="1">IF(COLUMN(I$4)-1&lt;=mes0,0,
       IF(H35+I31-H33&gt;tesoreriasec,0,MIN(H33-H35-I31+tesoreriasec,Funding!$D$49))  )</f>
        <v>0</v>
      </c>
      <c r="J33" s="1157">
        <f ca="1">IF(COLUMN(J$4)-1&lt;=mes0,0,
       IF(I35+J31-I33&gt;tesoreriasec,0,MIN(I33-I35-J31+tesoreriasec,Funding!$D$49))  )</f>
        <v>0</v>
      </c>
      <c r="K33" s="1157">
        <f ca="1">IF(COLUMN(K$4)-1&lt;=mes0,0,
       IF(J35+K31-J33&gt;tesoreriasec,0,MIN(J33-J35-K31+tesoreriasec,Funding!$D$49))  )</f>
        <v>0</v>
      </c>
      <c r="L33" s="1157">
        <f ca="1">IF(COLUMN(L$4)-1&lt;=mes0,0,
       IF(K35+L31-K33&gt;tesoreriasec,0,MIN(K33-K35-L31+tesoreriasec,Funding!$D$49))  )</f>
        <v>0</v>
      </c>
      <c r="M33" s="1157">
        <f ca="1">IF(COLUMN(M$4)-1&lt;=mes0,0,
       IF(L35+M31-L33&gt;tesoreriasec,0,MIN(L33-L35-M31+tesoreriasec,Funding!$D$49))  )</f>
        <v>0</v>
      </c>
      <c r="N33" s="1158">
        <f ca="1">IF(COLUMN(N$4)-1&lt;=mes0,0,
       IF(M35+N31-M33&gt;tesoreriasec,0,MIN(M33-M35-N31+tesoreriasec,Funding!$D$49))  )</f>
        <v>0</v>
      </c>
      <c r="O33" s="1159"/>
    </row>
    <row r="34" spans="1:15" s="288" customFormat="1" ht="21" customHeight="1" thickBot="1">
      <c r="A34" s="1170"/>
      <c r="B34" s="1160"/>
      <c r="C34" s="1161"/>
      <c r="D34" s="1161"/>
      <c r="E34" s="1161"/>
      <c r="F34" s="1161"/>
      <c r="G34" s="1161"/>
      <c r="H34" s="1161"/>
      <c r="I34" s="1161"/>
      <c r="J34" s="1161"/>
      <c r="K34" s="1161"/>
      <c r="L34" s="1161"/>
      <c r="M34" s="1161"/>
      <c r="O34" s="1168"/>
    </row>
    <row r="35" spans="1:15" s="288" customFormat="1" ht="21" customHeight="1" thickBot="1">
      <c r="A35" s="1171" t="s">
        <v>767</v>
      </c>
      <c r="B35" s="1163">
        <f ca="1">'Current Asset Invest.'!G26+'Current Asset Invest.'!H26</f>
        <v>2201.65</v>
      </c>
      <c r="C35" s="1164">
        <f ca="1">IF(COLUMN(C$4)-1&lt;mes0,0,
IF(COLUMN(C$4)-1=mes0,$B$35,B35+C31+C33-B33))</f>
        <v>1107.0720000000001</v>
      </c>
      <c r="D35" s="1165">
        <f t="shared" ref="D35:N35" ca="1" si="3">IF(COLUMN(D$4)-1&lt;mes0,0,
IF(COLUMN(D$4)-1=mes0,$B$35,C35+D31+D33-C33))</f>
        <v>90.814000000000306</v>
      </c>
      <c r="E35" s="1165">
        <f t="shared" ca="1" si="3"/>
        <v>-847.12399999999957</v>
      </c>
      <c r="F35" s="1165">
        <f t="shared" ca="1" si="3"/>
        <v>-1715.554363636363</v>
      </c>
      <c r="G35" s="1165">
        <f t="shared" ca="1" si="3"/>
        <v>-2571.7307272727267</v>
      </c>
      <c r="H35" s="1165">
        <f t="shared" ca="1" si="3"/>
        <v>-3363.3325454545447</v>
      </c>
      <c r="I35" s="1165">
        <f t="shared" ca="1" si="3"/>
        <v>-4090.3598181818174</v>
      </c>
      <c r="J35" s="1165">
        <f t="shared" ca="1" si="3"/>
        <v>-4752.8125454545443</v>
      </c>
      <c r="K35" s="1165">
        <f t="shared" ca="1" si="3"/>
        <v>-5350.6907272727258</v>
      </c>
      <c r="L35" s="1165">
        <f t="shared" ca="1" si="3"/>
        <v>-5883.9943636363623</v>
      </c>
      <c r="M35" s="1165">
        <f t="shared" ca="1" si="3"/>
        <v>-6352.723454545453</v>
      </c>
      <c r="N35" s="1166">
        <f t="shared" ca="1" si="3"/>
        <v>-6756.8779999999988</v>
      </c>
      <c r="O35" s="1167"/>
    </row>
    <row r="36" spans="1:15" ht="18.75" customHeight="1">
      <c r="A36" s="4"/>
      <c r="B36" s="4"/>
    </row>
    <row r="37" spans="1:15" ht="18.75" customHeight="1">
      <c r="A37" s="4"/>
      <c r="B37" s="4"/>
    </row>
    <row r="38" spans="1:15" ht="18.75" customHeight="1">
      <c r="A38" s="307"/>
      <c r="B38" s="308"/>
      <c r="C38" s="305" t="s">
        <v>332</v>
      </c>
      <c r="D38" s="306" t="s">
        <v>761</v>
      </c>
    </row>
    <row r="39" spans="1:15" s="287" customFormat="1" ht="19.5" customHeight="1">
      <c r="A39" s="286"/>
      <c r="B39" s="304" t="s">
        <v>765</v>
      </c>
      <c r="C39" s="1650">
        <f ca="1">MAX(C33:N33)*0-MIN(C35:N35,0)</f>
        <v>6756.8779999999988</v>
      </c>
      <c r="D39" s="1152" t="str">
        <f ca="1">IF(C39&lt;&gt;0,INDEX(C4:N4,1,MATCH(-C39,C35:N35,0)),"")</f>
        <v>December</v>
      </c>
      <c r="O39" s="288"/>
    </row>
    <row r="40" spans="1:15" s="287" customFormat="1" ht="18.75" customHeight="1">
      <c r="A40" s="286"/>
      <c r="B40" s="304" t="s">
        <v>762</v>
      </c>
      <c r="C40" s="1651">
        <f ca="1">N35-B35+B33-N33</f>
        <v>-8958.5279999999984</v>
      </c>
      <c r="D40" s="1153"/>
      <c r="O40" s="288"/>
    </row>
    <row r="41" spans="1:15" s="287" customFormat="1" ht="21" customHeight="1">
      <c r="A41" s="286"/>
      <c r="B41" s="304" t="s">
        <v>770</v>
      </c>
      <c r="C41" s="1652">
        <f ca="1">MAX(C35:N35)</f>
        <v>1107.0720000000001</v>
      </c>
      <c r="D41" s="1152"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7" type="noConversion"/>
  <conditionalFormatting sqref="C6:N11 C14:N25 C29:N31 C33:N33">
    <cfRule type="expression" dxfId="7" priority="1" stopIfTrue="1">
      <formula>COLUMN(C$4)&lt;=mes0+1</formula>
    </cfRule>
  </conditionalFormatting>
  <conditionalFormatting sqref="C35:N35">
    <cfRule type="expression" dxfId="6" priority="2" stopIfTrue="1">
      <formula>COLUMN(C35)&lt;=mes0</formula>
    </cfRule>
  </conditionalFormatting>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31">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7" width="12.125" style="86" bestFit="1" customWidth="1"/>
    <col min="8" max="8" width="11.375" style="86" customWidth="1"/>
    <col min="9" max="9" width="12.5" style="86" customWidth="1"/>
    <col min="10" max="13" width="11.375" style="86" customWidth="1"/>
    <col min="14" max="14" width="12.5" style="86" customWidth="1"/>
    <col min="15" max="15" width="13.375" style="275" customWidth="1"/>
    <col min="16" max="16384" width="11" style="86"/>
  </cols>
  <sheetData>
    <row r="1" spans="1:15" ht="22.5">
      <c r="A1" s="289" t="s">
        <v>785</v>
      </c>
      <c r="B1" s="271"/>
      <c r="E1" s="273"/>
      <c r="F1" s="2731" t="str">
        <f>Parameters!C$77</f>
        <v>Year 1:   2027</v>
      </c>
      <c r="G1" s="291"/>
      <c r="H1" s="273"/>
      <c r="I1" s="159"/>
      <c r="J1" s="274"/>
      <c r="K1" s="159"/>
    </row>
    <row r="2" spans="1:15" ht="25.5">
      <c r="A2" s="290" t="str">
        <f>'Base Data'!B9</f>
        <v>WWW, Ltd.</v>
      </c>
      <c r="B2" s="276"/>
      <c r="D2" s="270"/>
      <c r="F2" s="273"/>
      <c r="G2" s="159"/>
      <c r="H2" s="159"/>
      <c r="I2" s="159"/>
      <c r="J2" s="159"/>
      <c r="K2" s="159"/>
    </row>
    <row r="3" spans="1:15" ht="15.75" thickBot="1">
      <c r="A3" s="35"/>
      <c r="B3" s="35"/>
    </row>
    <row r="4" spans="1:15"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5" s="277" customFormat="1" ht="18" customHeight="1" thickBot="1">
      <c r="A5" s="296" t="str">
        <f t="array" ref="A5:A11">'Cash Flow 0'!A5:A11</f>
        <v>Cash Collections</v>
      </c>
      <c r="B5" s="278"/>
      <c r="C5" s="278"/>
      <c r="D5" s="278"/>
      <c r="E5" s="278"/>
      <c r="F5" s="278"/>
      <c r="G5" s="278"/>
      <c r="H5" s="278"/>
      <c r="I5" s="278"/>
      <c r="J5" s="278"/>
      <c r="K5" s="278"/>
      <c r="L5" s="278"/>
      <c r="M5" s="278"/>
      <c r="O5" s="299"/>
    </row>
    <row r="6" spans="1:15" ht="21" customHeight="1">
      <c r="A6" s="1178" t="str">
        <v>Sales Collection</v>
      </c>
      <c r="B6" s="1172"/>
      <c r="C6" s="2442">
        <f t="array" aca="1" ref="C6:N6" ca="1">'Collections &amp; Payments 1'!B28:M28</f>
        <v>1246.3</v>
      </c>
      <c r="D6" s="2442">
        <f ca="1"/>
        <v>1246.3</v>
      </c>
      <c r="E6" s="2442">
        <f ca="1"/>
        <v>1246.3</v>
      </c>
      <c r="F6" s="2442">
        <f ca="1"/>
        <v>1246.3</v>
      </c>
      <c r="G6" s="2442">
        <f ca="1"/>
        <v>1246.3</v>
      </c>
      <c r="H6" s="2442">
        <f ca="1"/>
        <v>1246.3</v>
      </c>
      <c r="I6" s="2442">
        <f ca="1"/>
        <v>1246.3</v>
      </c>
      <c r="J6" s="2442">
        <f ca="1"/>
        <v>1246.3</v>
      </c>
      <c r="K6" s="2442">
        <f ca="1"/>
        <v>1246.3</v>
      </c>
      <c r="L6" s="2442">
        <f ca="1"/>
        <v>1246.3</v>
      </c>
      <c r="M6" s="2442">
        <f ca="1"/>
        <v>1246.3</v>
      </c>
      <c r="N6" s="2443">
        <f ca="1"/>
        <v>1246.3</v>
      </c>
      <c r="O6" s="2444">
        <f t="shared" ref="O6:O11" ca="1" si="0">SUM(C6:N6)</f>
        <v>14955.599999999997</v>
      </c>
    </row>
    <row r="7" spans="1:15" ht="21" customHeight="1">
      <c r="A7" s="1179" t="str">
        <v>Deferred / Recovered Defaults</v>
      </c>
      <c r="B7" s="1175"/>
      <c r="C7" s="2445">
        <f ca="1">'Current Asset Invest.'!$G$24*IF(OR(mes0&lt;=7,COLUMN(B4)&gt;mes0-6),0,INDEX('Cashing &amp; Payment Policies'!$C$19:$H$19,1,COLUMN(B4)-mes0+12))
+recmorosos*'Collections &amp; Payments 0'!$S$31/12
+Funding!$E$19*Parameters!B54</f>
        <v>0</v>
      </c>
      <c r="D7" s="2445">
        <f ca="1">'Current Asset Invest.'!$G$24*IF(OR(mes0&lt;=7,COLUMN(C4)&gt;mes0-6),0,INDEX('Cashing &amp; Payment Policies'!$C$19:$H$19,1,COLUMN(C4)-mes0+12))
+recmorosos*'Collections &amp; Payments 0'!$S$31/12
+Funding!$E$19*Parameters!C54</f>
        <v>0</v>
      </c>
      <c r="E7" s="2445">
        <f ca="1">'Current Asset Invest.'!$G$24*IF(OR(mes0&lt;=7,COLUMN(D4)&gt;mes0-6),0,INDEX('Cashing &amp; Payment Policies'!$C$19:$H$19,1,COLUMN(D4)-mes0+12))
+recmorosos*'Collections &amp; Payments 0'!$S$31/12
+Funding!$E$19*Parameters!D54</f>
        <v>0</v>
      </c>
      <c r="F7" s="2445">
        <f ca="1">'Current Asset Invest.'!$G$24*IF(OR(mes0&lt;=7,COLUMN(E4)&gt;mes0-6),0,INDEX('Cashing &amp; Payment Policies'!$C$19:$H$19,1,COLUMN(E4)-mes0+12))
+recmorosos*'Collections &amp; Payments 0'!$S$31/12
+Funding!$E$19*Parameters!E54</f>
        <v>0</v>
      </c>
      <c r="G7" s="2445">
        <f ca="1">'Current Asset Invest.'!$G$24*IF(OR(mes0&lt;=7,COLUMN(F4)&gt;mes0-6),0,INDEX('Cashing &amp; Payment Policies'!$C$19:$H$19,1,COLUMN(F4)-mes0+12))
+recmorosos*'Collections &amp; Payments 0'!$S$31/12
+Funding!$E$19*Parameters!F54</f>
        <v>0</v>
      </c>
      <c r="H7" s="2445">
        <f ca="1">'Current Asset Invest.'!$G$24*IF(OR(mes0&lt;=7,COLUMN(G4)&gt;mes0-6),0,INDEX('Cashing &amp; Payment Policies'!$C$19:$H$19,1,COLUMN(G4)-mes0+12))
+recmorosos*'Collections &amp; Payments 0'!$S$31/12
+Funding!$E$19*Parameters!G54</f>
        <v>0</v>
      </c>
      <c r="I7" s="2445">
        <f ca="1">'Current Asset Invest.'!$G$24*IF(OR(mes0&lt;=7,COLUMN(H4)&gt;mes0-6),0,INDEX('Cashing &amp; Payment Policies'!$C$19:$H$19,1,COLUMN(H4)-mes0+12))
+recmorosos*'Collections &amp; Payments 0'!$S$31/12
+Funding!$E$19*Parameters!H54</f>
        <v>0</v>
      </c>
      <c r="J7" s="2445">
        <f ca="1">'Current Asset Invest.'!$G$24*IF(OR(mes0&lt;=7,COLUMN(I4)&gt;mes0-6),0,INDEX('Cashing &amp; Payment Policies'!$C$19:$H$19,1,COLUMN(I4)-mes0+12))
+recmorosos*'Collections &amp; Payments 0'!$S$31/12
+Funding!$E$19*Parameters!I54</f>
        <v>0</v>
      </c>
      <c r="K7" s="2445">
        <f ca="1">'Current Asset Invest.'!$G$24*IF(OR(mes0&lt;=7,COLUMN(J4)&gt;mes0-6),0,INDEX('Cashing &amp; Payment Policies'!$C$19:$H$19,1,COLUMN(J4)-mes0+12))
+recmorosos*'Collections &amp; Payments 0'!$S$31/12
+Funding!$E$19*Parameters!J54</f>
        <v>0</v>
      </c>
      <c r="L7" s="2445">
        <f ca="1">'Current Asset Invest.'!$G$24*IF(OR(mes0&lt;=7,COLUMN(K4)&gt;mes0-6),0,INDEX('Cashing &amp; Payment Policies'!$C$19:$H$19,1,COLUMN(K4)-mes0+12))
+recmorosos*'Collections &amp; Payments 0'!$S$31/12
+Funding!$E$19*Parameters!K54</f>
        <v>0</v>
      </c>
      <c r="M7" s="2445">
        <f ca="1">'Current Asset Invest.'!$G$24*IF(OR(mes0&lt;=7,COLUMN(L4)&gt;mes0-6),0,INDEX('Cashing &amp; Payment Policies'!$C$19:$H$19,1,COLUMN(L4)-mes0+12))
+recmorosos*'Collections &amp; Payments 0'!$S$31/12
+Funding!$E$19*Parameters!L54</f>
        <v>0</v>
      </c>
      <c r="N7" s="2446">
        <f ca="1">'Current Asset Invest.'!$G$24*IF(OR(mes0&lt;=7,COLUMN(M4)&gt;mes0-6),0,INDEX('Cashing &amp; Payment Policies'!$C$19:$H$19,1,COLUMN(M4)-mes0+12))
+recmorosos*'Collections &amp; Payments 0'!$S$31/12
+Funding!$E$19*Parameters!M54</f>
        <v>0</v>
      </c>
      <c r="O7" s="2447">
        <f t="shared" ca="1" si="0"/>
        <v>0</v>
      </c>
    </row>
    <row r="8" spans="1:15" ht="21" customHeight="1">
      <c r="A8" s="1179" t="str">
        <v>Other Cash Collections</v>
      </c>
      <c r="B8" s="1173"/>
      <c r="C8" s="2445">
        <v>0</v>
      </c>
      <c r="D8" s="2445">
        <v>0</v>
      </c>
      <c r="E8" s="2445">
        <v>0</v>
      </c>
      <c r="F8" s="2445">
        <v>0</v>
      </c>
      <c r="G8" s="2445">
        <v>0</v>
      </c>
      <c r="H8" s="2445">
        <v>0</v>
      </c>
      <c r="I8" s="2445">
        <v>0</v>
      </c>
      <c r="J8" s="2445">
        <f ca="1">IF('Personal Income Tax'!K25&lt;0,-'Personal Income Tax'!K25*'Personal Income Tax'!K19,0)</f>
        <v>0</v>
      </c>
      <c r="K8" s="2445">
        <v>0</v>
      </c>
      <c r="L8" s="2445">
        <v>0</v>
      </c>
      <c r="M8" s="2445">
        <v>0</v>
      </c>
      <c r="N8" s="2446">
        <f ca="1">IF('Corporate Income Tax'!$B$23&lt;0,-'Corporate Income Tax'!$B$23,0)</f>
        <v>0</v>
      </c>
      <c r="O8" s="2447">
        <f t="shared" ca="1" si="0"/>
        <v>0</v>
      </c>
    </row>
    <row r="9" spans="1:15" ht="21" customHeight="1">
      <c r="A9" s="1179" t="str">
        <v>VAT Refunds</v>
      </c>
      <c r="B9" s="1173"/>
      <c r="C9" s="2445">
        <f t="array" ref="C9:N9">'VAT 1'!C26:N26</f>
        <v>0</v>
      </c>
      <c r="D9" s="2445">
        <v>0</v>
      </c>
      <c r="E9" s="2445">
        <v>0</v>
      </c>
      <c r="F9" s="2445">
        <v>0</v>
      </c>
      <c r="G9" s="2445">
        <v>0</v>
      </c>
      <c r="H9" s="2445">
        <f ca="1"/>
        <v>0</v>
      </c>
      <c r="I9" s="2445">
        <v>0</v>
      </c>
      <c r="J9" s="2445">
        <v>0</v>
      </c>
      <c r="K9" s="2445">
        <v>0</v>
      </c>
      <c r="L9" s="2445">
        <v>0</v>
      </c>
      <c r="M9" s="2445">
        <v>0</v>
      </c>
      <c r="N9" s="2446">
        <v>0</v>
      </c>
      <c r="O9" s="2447">
        <f t="shared" ca="1" si="0"/>
        <v>0</v>
      </c>
    </row>
    <row r="10" spans="1:15" ht="21" customHeight="1">
      <c r="A10" s="1179" t="str">
        <v>Financial income</v>
      </c>
      <c r="B10" s="1173"/>
      <c r="C10" s="2445">
        <f t="array" ref="C10:N10" ca="1">'Financial Expenses'!C92:N92</f>
        <v>0</v>
      </c>
      <c r="D10" s="2445">
        <f ca="1"/>
        <v>0</v>
      </c>
      <c r="E10" s="2445">
        <f ca="1"/>
        <v>0</v>
      </c>
      <c r="F10" s="2445">
        <f ca="1"/>
        <v>0</v>
      </c>
      <c r="G10" s="2445">
        <f ca="1"/>
        <v>0</v>
      </c>
      <c r="H10" s="2445">
        <f ca="1"/>
        <v>0</v>
      </c>
      <c r="I10" s="2445">
        <f ca="1"/>
        <v>0</v>
      </c>
      <c r="J10" s="2445">
        <f ca="1"/>
        <v>0</v>
      </c>
      <c r="K10" s="2445">
        <f ca="1"/>
        <v>0</v>
      </c>
      <c r="L10" s="2445">
        <f ca="1"/>
        <v>0</v>
      </c>
      <c r="M10" s="2445">
        <f ca="1"/>
        <v>0</v>
      </c>
      <c r="N10" s="2446">
        <f ca="1"/>
        <v>0</v>
      </c>
      <c r="O10" s="2447">
        <f t="shared" ca="1" si="0"/>
        <v>0</v>
      </c>
    </row>
    <row r="11" spans="1:15" s="275" customFormat="1" ht="21" customHeight="1" thickBot="1">
      <c r="A11" s="1176" t="str">
        <v>Monthly Collection Budget</v>
      </c>
      <c r="B11" s="1177"/>
      <c r="C11" s="2448">
        <f ca="1">SUM(C6:C10)</f>
        <v>1246.3</v>
      </c>
      <c r="D11" s="2448">
        <f t="shared" ref="D11:K11" ca="1" si="1">SUM(D6:D10)</f>
        <v>1246.3</v>
      </c>
      <c r="E11" s="2448">
        <f t="shared" ca="1" si="1"/>
        <v>1246.3</v>
      </c>
      <c r="F11" s="2448">
        <f t="shared" ca="1" si="1"/>
        <v>1246.3</v>
      </c>
      <c r="G11" s="2448">
        <f t="shared" ca="1" si="1"/>
        <v>1246.3</v>
      </c>
      <c r="H11" s="2448">
        <f t="shared" ca="1" si="1"/>
        <v>1246.3</v>
      </c>
      <c r="I11" s="2448">
        <f t="shared" ca="1" si="1"/>
        <v>1246.3</v>
      </c>
      <c r="J11" s="2448">
        <f t="shared" ca="1" si="1"/>
        <v>1246.3</v>
      </c>
      <c r="K11" s="2448">
        <f t="shared" ca="1" si="1"/>
        <v>1246.3</v>
      </c>
      <c r="L11" s="2448">
        <f ca="1">SUM(L6:L10)</f>
        <v>1246.3</v>
      </c>
      <c r="M11" s="2448">
        <f ca="1">SUM(M6:M10)</f>
        <v>1246.3</v>
      </c>
      <c r="N11" s="2449">
        <f ca="1">SUM(N6:N10)</f>
        <v>1246.3</v>
      </c>
      <c r="O11" s="2450">
        <f t="shared" ca="1" si="0"/>
        <v>14955.599999999997</v>
      </c>
    </row>
    <row r="12" spans="1:15" s="275" customFormat="1" ht="9.75" customHeight="1">
      <c r="A12" s="294"/>
      <c r="B12" s="280"/>
      <c r="C12" s="280"/>
      <c r="D12" s="280"/>
      <c r="E12" s="280"/>
      <c r="F12" s="280"/>
      <c r="G12" s="280"/>
      <c r="H12" s="280"/>
      <c r="I12" s="280"/>
      <c r="J12" s="280"/>
      <c r="K12" s="280"/>
      <c r="L12" s="280"/>
      <c r="M12" s="280"/>
      <c r="N12" s="280"/>
      <c r="O12" s="300"/>
    </row>
    <row r="13" spans="1:15" s="275" customFormat="1" ht="21" customHeight="1" thickBot="1">
      <c r="A13" s="296" t="str">
        <f t="array" ref="A13:A17">'Cash Flow 0'!A13:A17</f>
        <v>PAYMENTS</v>
      </c>
      <c r="B13" s="281"/>
      <c r="C13" s="281"/>
      <c r="D13" s="281"/>
      <c r="E13" s="281"/>
      <c r="F13" s="281"/>
      <c r="G13" s="281"/>
      <c r="H13" s="281"/>
      <c r="I13" s="281"/>
      <c r="J13" s="281"/>
      <c r="K13" s="281"/>
      <c r="L13" s="281"/>
      <c r="M13" s="281"/>
      <c r="N13" s="281"/>
      <c r="O13" s="301"/>
    </row>
    <row r="14" spans="1:15" s="288" customFormat="1" ht="21" customHeight="1">
      <c r="A14" s="1178" t="str">
        <v>Fixed Expenses payments ( VAT incl.)</v>
      </c>
      <c r="B14" s="1172"/>
      <c r="C14" s="1184">
        <f ca="1">'Fixed Expenses 1'!B58+'Fixed Expenses 1'!B60
+IF(mes0+'Fixed Expenses Data'!$C$33&lt;13,0,IF(COLUMN(C$4)-2+11&lt;mes0+'Fixed Expenses Data'!$C$33,-'Fixed Expenses Data'!$B$21,0))</f>
        <v>1367.6541199999999</v>
      </c>
      <c r="D14" s="1184">
        <f ca="1">'Fixed Expenses 1'!C58+'Fixed Expenses 1'!C60
+IF(mes0+'Fixed Expenses Data'!$C$33&lt;13,0,IF(COLUMN(D$4)-2+11&lt;mes0+'Fixed Expenses Data'!$C$33,-'Fixed Expenses Data'!$B$21,0))</f>
        <v>1367.6541199999999</v>
      </c>
      <c r="E14" s="1184">
        <f ca="1">'Fixed Expenses 1'!D58+'Fixed Expenses 1'!D60
+IF(mes0+'Fixed Expenses Data'!$C$33&lt;13,0,IF(COLUMN(E$4)-2+11&lt;mes0+'Fixed Expenses Data'!$C$33,-'Fixed Expenses Data'!$B$21,0))</f>
        <v>1367.6541199999999</v>
      </c>
      <c r="F14" s="1184">
        <f ca="1">'Fixed Expenses 1'!E58+'Fixed Expenses 1'!E60
+IF(mes0+'Fixed Expenses Data'!$C$33&lt;13,0,IF(COLUMN(F$4)-2+11&lt;mes0+'Fixed Expenses Data'!$C$33,-'Fixed Expenses Data'!$B$21,0))</f>
        <v>1367.6541199999999</v>
      </c>
      <c r="G14" s="1184">
        <f ca="1">'Fixed Expenses 1'!F58+'Fixed Expenses 1'!F60
+IF(mes0+'Fixed Expenses Data'!$C$33&lt;13,0,IF(COLUMN(G$4)-2+11&lt;mes0+'Fixed Expenses Data'!$C$33,-'Fixed Expenses Data'!$B$21,0))</f>
        <v>1367.6541199999999</v>
      </c>
      <c r="H14" s="1184">
        <f ca="1">'Fixed Expenses 1'!G58+'Fixed Expenses 1'!G60
+IF(mes0+'Fixed Expenses Data'!$C$33&lt;13,0,IF(COLUMN(H$4)-2+11&lt;mes0+'Fixed Expenses Data'!$C$33,-'Fixed Expenses Data'!$B$21,0))</f>
        <v>1367.6541199999999</v>
      </c>
      <c r="I14" s="1184">
        <f ca="1">'Fixed Expenses 1'!H58+'Fixed Expenses 1'!H60
+IF(mes0+'Fixed Expenses Data'!$C$33&lt;13,0,IF(COLUMN(I$4)-2+11&lt;mes0+'Fixed Expenses Data'!$C$33,-'Fixed Expenses Data'!$B$21,0))</f>
        <v>1367.6541199999999</v>
      </c>
      <c r="J14" s="1184">
        <f ca="1">'Fixed Expenses 1'!I58+'Fixed Expenses 1'!I60
+IF(mes0+'Fixed Expenses Data'!$C$33&lt;13,0,IF(COLUMN(J$4)-2+11&lt;mes0+'Fixed Expenses Data'!$C$33,-'Fixed Expenses Data'!$B$21,0))</f>
        <v>1367.6541199999999</v>
      </c>
      <c r="K14" s="1184">
        <f ca="1">'Fixed Expenses 1'!J58+'Fixed Expenses 1'!J60
+IF(mes0+'Fixed Expenses Data'!$C$33&lt;13,0,IF(COLUMN(K$4)-2+11&lt;mes0+'Fixed Expenses Data'!$C$33,-'Fixed Expenses Data'!$B$21,0))</f>
        <v>1367.6541199999999</v>
      </c>
      <c r="L14" s="1184">
        <f ca="1">'Fixed Expenses 1'!K58+'Fixed Expenses 1'!K60
+IF(mes0+'Fixed Expenses Data'!$C$33&lt;13,0,IF(COLUMN(L$4)-2+11&lt;mes0+'Fixed Expenses Data'!$C$33,-'Fixed Expenses Data'!$B$21,0))</f>
        <v>1367.6541199999999</v>
      </c>
      <c r="M14" s="1184">
        <f ca="1">'Fixed Expenses 1'!L58+'Fixed Expenses 1'!L60
+IF(mes0+'Fixed Expenses Data'!$C$33&lt;13,0,IF(COLUMN(M$4)-2+11&lt;mes0+'Fixed Expenses Data'!$C$33,-'Fixed Expenses Data'!$B$21,0))</f>
        <v>1367.6541199999999</v>
      </c>
      <c r="N14" s="1185">
        <f ca="1">'Fixed Expenses 1'!M58+'Fixed Expenses 1'!M60
+IF(mes0+'Fixed Expenses Data'!$C$33&lt;13,0,IF(COLUMN(N$4)-2+11&lt;mes0+'Fixed Expenses Data'!$C$33,-'Fixed Expenses Data'!$B$21,0))</f>
        <v>1367.6541199999999</v>
      </c>
      <c r="O14" s="1186">
        <f ca="1">SUM(C14:N14)</f>
        <v>16411.849439999995</v>
      </c>
    </row>
    <row r="15" spans="1:15" s="287" customFormat="1" ht="21" customHeight="1">
      <c r="A15" s="1179" t="str">
        <v>Purchases &amp; Direct Costs payments  ( VAT incl.)</v>
      </c>
      <c r="B15" s="1173"/>
      <c r="C15" s="1187">
        <f t="array" aca="1" ref="C15:N15" ca="1">'Collections &amp; Payments 1'!B55:M55</f>
        <v>124.63000000000002</v>
      </c>
      <c r="D15" s="1187">
        <f ca="1"/>
        <v>124.63000000000002</v>
      </c>
      <c r="E15" s="1187">
        <f ca="1"/>
        <v>124.63000000000002</v>
      </c>
      <c r="F15" s="1187">
        <f ca="1"/>
        <v>124.63000000000002</v>
      </c>
      <c r="G15" s="1187">
        <f ca="1"/>
        <v>124.63000000000002</v>
      </c>
      <c r="H15" s="1187">
        <f ca="1"/>
        <v>124.63000000000002</v>
      </c>
      <c r="I15" s="1187">
        <f ca="1"/>
        <v>124.63000000000002</v>
      </c>
      <c r="J15" s="1187">
        <f ca="1"/>
        <v>124.63000000000002</v>
      </c>
      <c r="K15" s="1187">
        <f ca="1"/>
        <v>124.63000000000002</v>
      </c>
      <c r="L15" s="1187">
        <f ca="1"/>
        <v>124.63000000000002</v>
      </c>
      <c r="M15" s="1187">
        <f ca="1"/>
        <v>124.63000000000002</v>
      </c>
      <c r="N15" s="1188">
        <f ca="1"/>
        <v>124.63000000000002</v>
      </c>
      <c r="O15" s="1189">
        <f ca="1">SUM(C15:N15)</f>
        <v>1495.5600000000004</v>
      </c>
    </row>
    <row r="16" spans="1:15" s="287" customFormat="1" ht="21" customHeight="1">
      <c r="A16" s="1179" t="str">
        <v>Financial Expenses Payments</v>
      </c>
      <c r="B16" s="1173"/>
      <c r="C16" s="1187">
        <f t="array" ref="C16:N16" ca="1">'Financial Expenses'!C34:N34+'Financial Expenses'!C30:N30*Parameters!$F$33*0</f>
        <v>12.462999999999999</v>
      </c>
      <c r="D16" s="1187">
        <f ca="1"/>
        <v>12.462999999999999</v>
      </c>
      <c r="E16" s="1187">
        <f ca="1"/>
        <v>12.462999999999999</v>
      </c>
      <c r="F16" s="1187">
        <f ca="1"/>
        <v>12.462999999999999</v>
      </c>
      <c r="G16" s="1187">
        <f ca="1"/>
        <v>12.462999999999999</v>
      </c>
      <c r="H16" s="1187">
        <f ca="1"/>
        <v>12.462999999999999</v>
      </c>
      <c r="I16" s="1187">
        <f ca="1"/>
        <v>12.462999999999999</v>
      </c>
      <c r="J16" s="1187">
        <f ca="1"/>
        <v>12.462999999999999</v>
      </c>
      <c r="K16" s="1187">
        <f ca="1"/>
        <v>12.462999999999999</v>
      </c>
      <c r="L16" s="1187">
        <f ca="1"/>
        <v>12.462999999999999</v>
      </c>
      <c r="M16" s="1187">
        <f ca="1"/>
        <v>12.462999999999999</v>
      </c>
      <c r="N16" s="1188">
        <f ca="1"/>
        <v>12.462999999999999</v>
      </c>
      <c r="O16" s="1189">
        <f ca="1">SUM(C16:N16)</f>
        <v>149.55599999999995</v>
      </c>
    </row>
    <row r="17" spans="1:15" s="287" customFormat="1" ht="21" customHeight="1">
      <c r="A17" s="1179" t="str">
        <v>Leasing / Renting quotes input VAT payments</v>
      </c>
      <c r="B17" s="1173"/>
      <c r="C17" s="1187">
        <f t="array" ref="C17:N17">+Leasing!B32:M32+Renting!B31:M31</f>
        <v>0</v>
      </c>
      <c r="D17" s="1187">
        <v>0</v>
      </c>
      <c r="E17" s="1187">
        <v>0</v>
      </c>
      <c r="F17" s="1187">
        <v>0</v>
      </c>
      <c r="G17" s="1187">
        <v>0</v>
      </c>
      <c r="H17" s="1187">
        <v>0</v>
      </c>
      <c r="I17" s="1187">
        <v>0</v>
      </c>
      <c r="J17" s="1187">
        <v>0</v>
      </c>
      <c r="K17" s="1187">
        <v>0</v>
      </c>
      <c r="L17" s="1187">
        <v>0</v>
      </c>
      <c r="M17" s="1187">
        <v>0</v>
      </c>
      <c r="N17" s="1188">
        <v>0</v>
      </c>
      <c r="O17" s="1189">
        <f>SUM(C17:N17)</f>
        <v>0</v>
      </c>
    </row>
    <row r="18" spans="1:15" s="287" customFormat="1" ht="9.75" customHeight="1">
      <c r="A18" s="1180"/>
      <c r="C18" s="1706"/>
      <c r="D18" s="1707"/>
      <c r="E18" s="1708"/>
      <c r="F18" s="1707"/>
      <c r="G18" s="1707"/>
      <c r="H18" s="1707"/>
      <c r="I18" s="1707"/>
      <c r="J18" s="1707"/>
      <c r="K18" s="1707"/>
      <c r="L18" s="1707"/>
      <c r="M18" s="1707"/>
      <c r="N18" s="1709"/>
      <c r="O18" s="1710"/>
    </row>
    <row r="19" spans="1:15" s="287" customFormat="1" ht="21" customHeight="1">
      <c r="A19" s="1182" t="str">
        <f t="array" ref="A19:A25">'Cash Flow 0'!A19:A25</f>
        <v>Other payments</v>
      </c>
      <c r="B19" s="1174"/>
      <c r="C19" s="1190"/>
      <c r="D19" s="1191"/>
      <c r="E19" s="1192"/>
      <c r="F19" s="1191"/>
      <c r="G19" s="1191"/>
      <c r="H19" s="1191"/>
      <c r="I19" s="1191"/>
      <c r="J19" s="1191"/>
      <c r="K19" s="1191"/>
      <c r="L19" s="1191"/>
      <c r="M19" s="1191"/>
      <c r="N19" s="1193"/>
      <c r="O19" s="1194"/>
    </row>
    <row r="20" spans="1:15" s="287" customFormat="1" ht="21" customHeight="1">
      <c r="A20" s="1179" t="str">
        <v>Debt repayment (mortgages &amp; leasings)</v>
      </c>
      <c r="B20" s="1173"/>
      <c r="C20" s="1187">
        <f t="array" ref="C20:N20">Loans!B32:M32+Leasing!B31:M31</f>
        <v>0</v>
      </c>
      <c r="D20" s="1187">
        <v>0</v>
      </c>
      <c r="E20" s="1187">
        <v>0</v>
      </c>
      <c r="F20" s="1187">
        <v>0</v>
      </c>
      <c r="G20" s="1187">
        <v>0</v>
      </c>
      <c r="H20" s="1187">
        <v>0</v>
      </c>
      <c r="I20" s="1187">
        <v>0</v>
      </c>
      <c r="J20" s="1187">
        <v>0</v>
      </c>
      <c r="K20" s="1187">
        <v>0</v>
      </c>
      <c r="L20" s="1187">
        <v>0</v>
      </c>
      <c r="M20" s="1187">
        <v>0</v>
      </c>
      <c r="N20" s="1188">
        <v>0</v>
      </c>
      <c r="O20" s="1189">
        <f>SUM(C20:N20)</f>
        <v>0</v>
      </c>
    </row>
    <row r="21" spans="1:15" s="287" customFormat="1" ht="21" customHeight="1">
      <c r="A21" s="1179" t="str">
        <v>Other Out-flows</v>
      </c>
      <c r="B21" s="1173"/>
      <c r="C21" s="1187">
        <f>'Initial Funding'!$B$27*IF(OR(mes0&lt;=7,COLUMN(B4)&gt;mes0-6),0,INDEX('Cashing &amp; Payment Policies'!$C$67:$H$67,1,COLUMN(B4)-mes0+12))</f>
        <v>0</v>
      </c>
      <c r="D21" s="1187">
        <f>'Initial Funding'!$B$27*IF(OR(mes0&lt;=7,COLUMN(C4)&gt;mes0-6),0,INDEX('Cashing &amp; Payment Policies'!$C$67:$H$67,1,COLUMN(C4)-mes0+12))</f>
        <v>0</v>
      </c>
      <c r="E21" s="1187">
        <f>'Initial Funding'!$B$27*IF(OR(mes0&lt;=7,COLUMN(D4)&gt;mes0-6),0,INDEX('Cashing &amp; Payment Policies'!$C$67:$H$67,1,COLUMN(D4)-mes0+12))</f>
        <v>0</v>
      </c>
      <c r="F21" s="1187">
        <f>'Initial Funding'!$B$27*IF(OR(mes0&lt;=7,COLUMN(E4)&gt;mes0-6),0,INDEX('Cashing &amp; Payment Policies'!$C$67:$H$67,1,COLUMN(E4)-mes0+12))</f>
        <v>0</v>
      </c>
      <c r="G21" s="1187">
        <f>'Initial Funding'!$B$27*IF(OR(mes0&lt;=7,COLUMN(F4)&gt;mes0-6),0,INDEX('Cashing &amp; Payment Policies'!$C$67:$H$67,1,COLUMN(F4)-mes0+12))</f>
        <v>0</v>
      </c>
      <c r="H21" s="1187">
        <f>'Initial Funding'!$B$27*IF(OR(mes0&lt;=7,COLUMN(G4)&gt;mes0-6),0,INDEX('Cashing &amp; Payment Policies'!$C$67:$H$67,1,COLUMN(G4)-mes0+12))</f>
        <v>0</v>
      </c>
      <c r="I21" s="1187">
        <f>'Initial Funding'!$B$27*IF(OR(mes0&lt;=7,COLUMN(H4)&gt;mes0-6),0,INDEX('Cashing &amp; Payment Policies'!$C$67:$H$67,1,COLUMN(H4)-mes0+12))</f>
        <v>0</v>
      </c>
      <c r="J21" s="1187">
        <f>'Initial Funding'!$B$27*IF(OR(mes0&lt;=7,COLUMN(I4)&gt;mes0-6),0,INDEX('Cashing &amp; Payment Policies'!$C$67:$H$67,1,COLUMN(I4)-mes0+12))</f>
        <v>0</v>
      </c>
      <c r="K21" s="1187">
        <f>'Initial Funding'!$B$27*IF(OR(mes0&lt;=7,COLUMN(J4)&gt;mes0-6),0,INDEX('Cashing &amp; Payment Policies'!$C$67:$H$67,1,COLUMN(J4)-mes0+12))</f>
        <v>0</v>
      </c>
      <c r="L21" s="1187">
        <f>'Initial Funding'!$B$27*IF(OR(mes0&lt;=7,COLUMN(K4)&gt;mes0-6),0,INDEX('Cashing &amp; Payment Policies'!$C$67:$H$67,1,COLUMN(K4)-mes0+12))</f>
        <v>0</v>
      </c>
      <c r="M21" s="1187">
        <f>'Initial Funding'!$B$27*IF(OR(mes0&lt;=7,COLUMN(L4)&gt;mes0-6),0,INDEX('Cashing &amp; Payment Policies'!$C$67:$H$67,1,COLUMN(L4)-mes0+12))</f>
        <v>0</v>
      </c>
      <c r="N21" s="1188">
        <f>'Initial Funding'!$B$27*IF(OR(mes0&lt;=7,COLUMN(M4)&gt;mes0-6),0,INDEX('Cashing &amp; Payment Policies'!$C$67:$H$67,1,COLUMN(M4)-mes0+12))</f>
        <v>0</v>
      </c>
      <c r="O21" s="1189">
        <f>SUM(C21:N21)</f>
        <v>0</v>
      </c>
    </row>
    <row r="22" spans="1:15" s="287" customFormat="1" ht="21" customHeight="1">
      <c r="A22" s="1179" t="str">
        <v>VAT Settlements payments</v>
      </c>
      <c r="B22" s="1173"/>
      <c r="C22" s="1187">
        <f t="array" aca="1" ref="C22:N22" ca="1">'VAT 1'!C24:N24</f>
        <v>184.84199999999998</v>
      </c>
      <c r="D22" s="1187">
        <f ca="1"/>
        <v>187.78787999999997</v>
      </c>
      <c r="E22" s="1187">
        <f ca="1"/>
        <v>187.78787999999997</v>
      </c>
      <c r="F22" s="1187">
        <f ca="1"/>
        <v>187.78787999999997</v>
      </c>
      <c r="G22" s="1187">
        <f ca="1"/>
        <v>187.78787999999997</v>
      </c>
      <c r="H22" s="1187">
        <f ca="1"/>
        <v>187.78787999999997</v>
      </c>
      <c r="I22" s="1187">
        <f ca="1"/>
        <v>187.78787999999997</v>
      </c>
      <c r="J22" s="1187">
        <f ca="1"/>
        <v>187.78787999999997</v>
      </c>
      <c r="K22" s="1187">
        <f ca="1"/>
        <v>187.78787999999997</v>
      </c>
      <c r="L22" s="1187">
        <f ca="1"/>
        <v>187.78787999999997</v>
      </c>
      <c r="M22" s="1187">
        <f ca="1"/>
        <v>187.78787999999997</v>
      </c>
      <c r="N22" s="1188">
        <f ca="1"/>
        <v>187.78787999999997</v>
      </c>
      <c r="O22" s="1189">
        <f ca="1">SUM(C22:N22)</f>
        <v>2250.508679999999</v>
      </c>
    </row>
    <row r="23" spans="1:15" s="287" customFormat="1" ht="21" customHeight="1">
      <c r="A23" s="1179" t="str">
        <v>Income Tax payments</v>
      </c>
      <c r="B23" s="1173"/>
      <c r="C23" s="1187">
        <f ca="1">'Personal Income Tax Calc.'!B22</f>
        <v>0</v>
      </c>
      <c r="D23" s="1187"/>
      <c r="E23" s="1187"/>
      <c r="F23" s="1187">
        <f ca="1">'Corporate Income Tax'!D18+'Personal Income Tax Calc.'!E22</f>
        <v>0</v>
      </c>
      <c r="G23" s="1187"/>
      <c r="H23" s="1187">
        <f ca="1">IF('Personal Income Tax'!K25&lt;0,0,'Personal Income Tax'!K25*'Personal Income Tax'!K19)</f>
        <v>0</v>
      </c>
      <c r="I23" s="1187">
        <f ca="1">IF('Corporate Income Tax'!B23&gt;0,'Corporate Income Tax'!B23,0)+'Personal Income Tax Calc.'!H22
+'Corporate Income Tax'!$B$32/2</f>
        <v>0</v>
      </c>
      <c r="J23" s="1187"/>
      <c r="K23" s="1187"/>
      <c r="L23" s="1187">
        <f ca="1">'Corporate Income Tax'!D19+'Personal Income Tax Calc.'!K22</f>
        <v>0</v>
      </c>
      <c r="M23" s="1187"/>
      <c r="N23" s="1188">
        <f ca="1">'Corporate Income Tax'!D20
+'Corporate Income Tax'!$B$32/2</f>
        <v>0</v>
      </c>
      <c r="O23" s="1189">
        <f ca="1">SUM(C23:N23)</f>
        <v>0</v>
      </c>
    </row>
    <row r="24" spans="1:15" s="287" customFormat="1" ht="21" customHeight="1">
      <c r="A24" s="1179" t="str">
        <v>Long Term Creditors payments</v>
      </c>
      <c r="B24" s="1173"/>
      <c r="C24" s="1187">
        <f t="array" ref="C24:N24">'Unusual payments &amp; Collections'!B74:M74</f>
        <v>0</v>
      </c>
      <c r="D24" s="1187">
        <v>0</v>
      </c>
      <c r="E24" s="1187">
        <v>0</v>
      </c>
      <c r="F24" s="1187">
        <v>0</v>
      </c>
      <c r="G24" s="1187">
        <v>0</v>
      </c>
      <c r="H24" s="1187">
        <v>0</v>
      </c>
      <c r="I24" s="1187">
        <v>0</v>
      </c>
      <c r="J24" s="1187">
        <v>0</v>
      </c>
      <c r="K24" s="1187">
        <v>0</v>
      </c>
      <c r="L24" s="1187">
        <v>0</v>
      </c>
      <c r="M24" s="1187">
        <v>0</v>
      </c>
      <c r="N24" s="1188">
        <v>0</v>
      </c>
      <c r="O24" s="1189">
        <f>SUM(C24:N24)</f>
        <v>0</v>
      </c>
    </row>
    <row r="25" spans="1:15" s="288" customFormat="1" ht="21" customHeight="1" thickBot="1">
      <c r="A25" s="1183" t="str">
        <v>Total Payments forecast</v>
      </c>
      <c r="B25" s="1177"/>
      <c r="C25" s="1195">
        <f t="shared" ref="C25:N25" ca="1" si="2">SUM(C14:C24)</f>
        <v>1689.5891200000001</v>
      </c>
      <c r="D25" s="1195">
        <f t="shared" ca="1" si="2"/>
        <v>1692.5349999999999</v>
      </c>
      <c r="E25" s="1195">
        <f t="shared" ca="1" si="2"/>
        <v>1692.5349999999999</v>
      </c>
      <c r="F25" s="1195">
        <f t="shared" ca="1" si="2"/>
        <v>1692.5349999999999</v>
      </c>
      <c r="G25" s="1195">
        <f t="shared" ca="1" si="2"/>
        <v>1692.5349999999999</v>
      </c>
      <c r="H25" s="1195">
        <f t="shared" ca="1" si="2"/>
        <v>1692.5349999999999</v>
      </c>
      <c r="I25" s="1195">
        <f t="shared" ca="1" si="2"/>
        <v>1692.5349999999999</v>
      </c>
      <c r="J25" s="1195">
        <f t="shared" ca="1" si="2"/>
        <v>1692.5349999999999</v>
      </c>
      <c r="K25" s="1195">
        <f t="shared" ca="1" si="2"/>
        <v>1692.5349999999999</v>
      </c>
      <c r="L25" s="1195">
        <f t="shared" ca="1" si="2"/>
        <v>1692.5349999999999</v>
      </c>
      <c r="M25" s="1195">
        <f t="shared" ca="1" si="2"/>
        <v>1692.5349999999999</v>
      </c>
      <c r="N25" s="1196">
        <f t="shared" ca="1" si="2"/>
        <v>1692.5349999999999</v>
      </c>
      <c r="O25" s="1197">
        <f ca="1">SUM(O14:O24)</f>
        <v>20307.474119999995</v>
      </c>
    </row>
    <row r="26" spans="1:15" s="275" customFormat="1" ht="21" customHeight="1">
      <c r="A26" s="294"/>
      <c r="B26" s="315"/>
      <c r="C26" s="283"/>
      <c r="D26" s="283"/>
      <c r="E26" s="283"/>
      <c r="F26" s="283"/>
      <c r="G26" s="283"/>
      <c r="H26" s="283"/>
      <c r="I26" s="283"/>
      <c r="J26" s="283"/>
      <c r="K26" s="283"/>
      <c r="L26" s="283"/>
      <c r="M26" s="283"/>
      <c r="O26" s="302"/>
    </row>
    <row r="27" spans="1:15" s="275" customFormat="1" ht="21" customHeight="1" thickBot="1">
      <c r="A27" s="294"/>
      <c r="B27" s="282"/>
      <c r="C27" s="283"/>
      <c r="D27" s="283"/>
      <c r="E27" s="283"/>
      <c r="F27" s="283"/>
      <c r="G27" s="283"/>
      <c r="H27" s="283"/>
      <c r="I27" s="283"/>
      <c r="J27" s="283"/>
      <c r="K27" s="283"/>
      <c r="L27" s="283"/>
      <c r="M27" s="283"/>
      <c r="O27" s="302"/>
    </row>
    <row r="28" spans="1:15" s="277" customFormat="1" ht="18" customHeight="1" thickBot="1">
      <c r="A28" s="312" t="str">
        <f t="array" ref="A28:A31">'Cash Flow 0'!A28:A31</f>
        <v>Cash Flow Budget</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5" s="275" customFormat="1" ht="21" customHeight="1" thickBot="1">
      <c r="A29" s="313" t="str">
        <v>Monthly Cash Collection forecast</v>
      </c>
      <c r="B29" s="284"/>
      <c r="C29" s="610">
        <f t="array" ref="C29:N29" ca="1">C11:N11</f>
        <v>1246.3</v>
      </c>
      <c r="D29" s="610">
        <f ca="1"/>
        <v>1246.3</v>
      </c>
      <c r="E29" s="610">
        <f ca="1"/>
        <v>1246.3</v>
      </c>
      <c r="F29" s="610">
        <f ca="1"/>
        <v>1246.3</v>
      </c>
      <c r="G29" s="610">
        <f ca="1"/>
        <v>1246.3</v>
      </c>
      <c r="H29" s="610">
        <f ca="1"/>
        <v>1246.3</v>
      </c>
      <c r="I29" s="610">
        <f ca="1"/>
        <v>1246.3</v>
      </c>
      <c r="J29" s="610">
        <f ca="1"/>
        <v>1246.3</v>
      </c>
      <c r="K29" s="610">
        <f ca="1"/>
        <v>1246.3</v>
      </c>
      <c r="L29" s="610">
        <f ca="1"/>
        <v>1246.3</v>
      </c>
      <c r="M29" s="610">
        <f ca="1"/>
        <v>1246.3</v>
      </c>
      <c r="N29" s="611">
        <f ca="1"/>
        <v>1246.3</v>
      </c>
      <c r="O29" s="612">
        <f ca="1">SUM(C29:N29)</f>
        <v>14955.599999999997</v>
      </c>
    </row>
    <row r="30" spans="1:15" s="275" customFormat="1" ht="21" customHeight="1" thickBot="1">
      <c r="A30" s="313" t="str">
        <v>Monthly payments forecast</v>
      </c>
      <c r="B30" s="279"/>
      <c r="C30" s="613">
        <f t="array" ref="C30:N30" ca="1">C25:N25</f>
        <v>1689.5891200000001</v>
      </c>
      <c r="D30" s="613">
        <f ca="1"/>
        <v>1692.5349999999999</v>
      </c>
      <c r="E30" s="613">
        <f ca="1"/>
        <v>1692.5349999999999</v>
      </c>
      <c r="F30" s="613">
        <f ca="1"/>
        <v>1692.5349999999999</v>
      </c>
      <c r="G30" s="613">
        <f ca="1"/>
        <v>1692.5349999999999</v>
      </c>
      <c r="H30" s="613">
        <f ca="1"/>
        <v>1692.5349999999999</v>
      </c>
      <c r="I30" s="613">
        <f ca="1"/>
        <v>1692.5349999999999</v>
      </c>
      <c r="J30" s="613">
        <f ca="1"/>
        <v>1692.5349999999999</v>
      </c>
      <c r="K30" s="613">
        <f ca="1"/>
        <v>1692.5349999999999</v>
      </c>
      <c r="L30" s="613">
        <f ca="1"/>
        <v>1692.5349999999999</v>
      </c>
      <c r="M30" s="613">
        <f ca="1"/>
        <v>1692.5349999999999</v>
      </c>
      <c r="N30" s="614">
        <f ca="1"/>
        <v>1692.5349999999999</v>
      </c>
      <c r="O30" s="612">
        <f ca="1">SUM(C30:N30)</f>
        <v>20307.474119999999</v>
      </c>
    </row>
    <row r="31" spans="1:15" s="275" customFormat="1" ht="21" customHeight="1" thickBot="1">
      <c r="A31" s="314" t="str">
        <v>Monthly Cash Flow Forecast</v>
      </c>
      <c r="B31" s="284"/>
      <c r="C31" s="615">
        <f t="array" ref="C31:N31" ca="1">C29:N29-C30:N30</f>
        <v>-443.28912000000014</v>
      </c>
      <c r="D31" s="615">
        <f ca="1"/>
        <v>-446.2349999999999</v>
      </c>
      <c r="E31" s="615">
        <f ca="1"/>
        <v>-446.2349999999999</v>
      </c>
      <c r="F31" s="615">
        <f ca="1"/>
        <v>-446.2349999999999</v>
      </c>
      <c r="G31" s="615">
        <f ca="1"/>
        <v>-446.2349999999999</v>
      </c>
      <c r="H31" s="615">
        <f ca="1"/>
        <v>-446.2349999999999</v>
      </c>
      <c r="I31" s="615">
        <f ca="1"/>
        <v>-446.2349999999999</v>
      </c>
      <c r="J31" s="615">
        <f ca="1"/>
        <v>-446.2349999999999</v>
      </c>
      <c r="K31" s="615">
        <f ca="1"/>
        <v>-446.2349999999999</v>
      </c>
      <c r="L31" s="615">
        <f ca="1"/>
        <v>-446.2349999999999</v>
      </c>
      <c r="M31" s="615">
        <f ca="1"/>
        <v>-446.2349999999999</v>
      </c>
      <c r="N31" s="616">
        <f ca="1"/>
        <v>-446.2349999999999</v>
      </c>
      <c r="O31" s="617">
        <f ca="1">O29-O30</f>
        <v>-5351.8741200000022</v>
      </c>
    </row>
    <row r="32" spans="1:15"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tr">
        <f>'Cash Flow 0'!A33</f>
        <v>Credit account used amount</v>
      </c>
      <c r="B33" s="1155">
        <f ca="1">'Cash Flow 0'!N33</f>
        <v>0</v>
      </c>
      <c r="C33" s="1156">
        <f ca="1">IF(B35+C31-B33&gt;tesoreriasec,0,MIN(B33-B35-C31+tesoreriasec,Funding!$E$49))</f>
        <v>0</v>
      </c>
      <c r="D33" s="1157">
        <f ca="1">IF(C35+D31-C33&gt;tesoreriasec,0,MIN(C33-C35-D31+tesoreriasec,Funding!$E$49))</f>
        <v>0</v>
      </c>
      <c r="E33" s="1157">
        <f ca="1">IF(D35+E31-D33&gt;tesoreriasec,0,MIN(D33-D35-E31+tesoreriasec,Funding!$E$49))</f>
        <v>0</v>
      </c>
      <c r="F33" s="1157">
        <f ca="1">IF(E35+F31-E33&gt;tesoreriasec,0,MIN(E33-E35-F31+tesoreriasec,Funding!$E$49))</f>
        <v>0</v>
      </c>
      <c r="G33" s="1157">
        <f ca="1">IF(F35+G31-F33&gt;tesoreriasec,0,MIN(F33-F35-G31+tesoreriasec,Funding!$E$49))</f>
        <v>0</v>
      </c>
      <c r="H33" s="1157">
        <f ca="1">IF(G35+H31-G33&gt;tesoreriasec,0,MIN(G33-G35-H31+tesoreriasec,Funding!$E$49))</f>
        <v>0</v>
      </c>
      <c r="I33" s="1157">
        <f ca="1">IF(H35+I31-H33&gt;tesoreriasec,0,MIN(H33-H35-I31+tesoreriasec,Funding!$E$49))</f>
        <v>0</v>
      </c>
      <c r="J33" s="1157">
        <f ca="1">IF(I35+J31-I33&gt;tesoreriasec,0,MIN(I33-I35-J31+tesoreriasec,Funding!$E$49))</f>
        <v>0</v>
      </c>
      <c r="K33" s="1157">
        <f ca="1">IF(J35+K31-J33&gt;tesoreriasec,0,MIN(J33-J35-K31+tesoreriasec,Funding!$E$49))</f>
        <v>0</v>
      </c>
      <c r="L33" s="1157">
        <f ca="1">IF(K35+L31-K33&gt;tesoreriasec,0,MIN(K33-K35-L31+tesoreriasec,Funding!$E$49))</f>
        <v>0</v>
      </c>
      <c r="M33" s="1157">
        <f ca="1">IF(L35+M31-L33&gt;tesoreriasec,0,MIN(L33-L35-M31+tesoreriasec,Funding!$E$49))</f>
        <v>0</v>
      </c>
      <c r="N33" s="1158">
        <f ca="1">IF(M35+N31-M33&gt;tesoreriasec,0,MIN(M33-M35-N31+tesoreriasec,Funding!$E$49))</f>
        <v>0</v>
      </c>
      <c r="O33" s="1159"/>
    </row>
    <row r="34" spans="1:15" s="288" customFormat="1" ht="21" customHeight="1" thickBot="1">
      <c r="A34" s="1170"/>
      <c r="B34" s="1160"/>
      <c r="C34" s="1161"/>
      <c r="D34" s="1161"/>
      <c r="E34" s="1161"/>
      <c r="F34" s="1161"/>
      <c r="G34" s="1161"/>
      <c r="H34" s="1161"/>
      <c r="I34" s="1161"/>
      <c r="J34" s="1161"/>
      <c r="K34" s="1161"/>
      <c r="L34" s="1161"/>
      <c r="M34" s="1161"/>
      <c r="O34" s="1168"/>
    </row>
    <row r="35" spans="1:15" s="288" customFormat="1" ht="21" customHeight="1" thickBot="1">
      <c r="A35" s="1169" t="str">
        <f>'Cash Flow 0'!A35</f>
        <v>Monthly Final Cash balance</v>
      </c>
      <c r="B35" s="1163">
        <f ca="1">'Cash Flow 0'!N35-(Funding!E9-Funding!E25+Funding!E19)</f>
        <v>-6756.8779999999988</v>
      </c>
      <c r="C35" s="1164">
        <f t="array" ref="C35:N35" ca="1">B35:M35+C31:N31+C33:N33-B33:M33</f>
        <v>-7200.1671199999992</v>
      </c>
      <c r="D35" s="1165">
        <f ca="1"/>
        <v>-7646.4021199999988</v>
      </c>
      <c r="E35" s="1165">
        <f ca="1"/>
        <v>-8092.6371199999985</v>
      </c>
      <c r="F35" s="1165">
        <f ca="1"/>
        <v>-8538.8721199999982</v>
      </c>
      <c r="G35" s="1165">
        <f ca="1"/>
        <v>-8985.1071199999988</v>
      </c>
      <c r="H35" s="1165">
        <f ca="1"/>
        <v>-9431.3421199999993</v>
      </c>
      <c r="I35" s="1165">
        <f ca="1"/>
        <v>-9877.5771199999999</v>
      </c>
      <c r="J35" s="1165">
        <f ca="1"/>
        <v>-10323.812120000001</v>
      </c>
      <c r="K35" s="1165">
        <f ca="1"/>
        <v>-10770.047120000001</v>
      </c>
      <c r="L35" s="1165">
        <f ca="1"/>
        <v>-11216.282120000002</v>
      </c>
      <c r="M35" s="1165">
        <f ca="1"/>
        <v>-11662.517120000002</v>
      </c>
      <c r="N35" s="1166">
        <f ca="1"/>
        <v>-12108.752120000003</v>
      </c>
      <c r="O35" s="1167"/>
    </row>
    <row r="36" spans="1:15" ht="18.75" customHeight="1">
      <c r="A36" s="4"/>
      <c r="B36" s="4"/>
    </row>
    <row r="37" spans="1:15" ht="18.75" customHeight="1">
      <c r="A37" s="4"/>
      <c r="B37" s="4"/>
    </row>
    <row r="38" spans="1:15" ht="18.75" customHeight="1">
      <c r="A38" s="307"/>
      <c r="B38" s="308"/>
      <c r="C38" s="305" t="str">
        <f t="array" ref="C38:D38">'Cash Flow 0'!C38:D38</f>
        <v>Amount</v>
      </c>
      <c r="D38" s="306" t="str">
        <v>month</v>
      </c>
    </row>
    <row r="39" spans="1:15" s="287" customFormat="1" ht="21.75" customHeight="1">
      <c r="A39" s="286"/>
      <c r="B39" s="304" t="str">
        <f t="array" ref="B39:B41">'Cash Flow 0'!B39:B41</f>
        <v>Maximum Cash overdraft</v>
      </c>
      <c r="C39" s="1650">
        <f ca="1">MAX(C33:N33)*0-MIN(C35:N35,0)</f>
        <v>12108.752120000003</v>
      </c>
      <c r="D39" s="1154" t="str">
        <f ca="1">IF(C39&lt;&gt;0,INDEX(C4:N4,1,MATCH(-C39,C35:N35,0)),"")</f>
        <v>December</v>
      </c>
      <c r="O39" s="288"/>
    </row>
    <row r="40" spans="1:15" s="287" customFormat="1" ht="18.75" customHeight="1">
      <c r="A40" s="286"/>
      <c r="B40" s="304" t="str">
        <v>Yearly Cash Flow</v>
      </c>
      <c r="C40" s="1651">
        <f ca="1">N35-B35+B33-N33</f>
        <v>-5351.874120000004</v>
      </c>
      <c r="D40" s="1153"/>
      <c r="O40" s="288"/>
    </row>
    <row r="41" spans="1:15" s="287" customFormat="1" ht="21" customHeight="1">
      <c r="A41" s="286"/>
      <c r="B41" s="304" t="str">
        <v>Maximum Monthly Final Cash balance</v>
      </c>
      <c r="C41" s="1652">
        <f ca="1">MAX(C35:N35)</f>
        <v>-7200.1671199999992</v>
      </c>
      <c r="D41" s="1154"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7" type="noConversion"/>
  <printOptions horizontalCentered="1" verticalCentered="1"/>
  <pageMargins left="0.19685039370078741" right="0.19685039370078741" top="0.39370078740157483" bottom="0.39370078740157483" header="0.11811023622047245" footer="0.11811023622047245"/>
  <pageSetup paperSize="9" scale="68" orientation="landscape" horizontalDpi="300" verticalDpi="300" r:id="rId1"/>
  <headerFooter alignWithMargins="0">
    <oddFooter>&amp;C&amp;"Tahoma,Normal"&amp;10&amp;A</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32">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6" width="12" style="86" bestFit="1" customWidth="1"/>
    <col min="7" max="7" width="11.75" style="86" customWidth="1"/>
    <col min="8" max="8" width="12.25" style="86" bestFit="1" customWidth="1"/>
    <col min="9" max="9" width="11.75" style="86" bestFit="1" customWidth="1"/>
    <col min="10" max="10" width="12.125" style="86" customWidth="1"/>
    <col min="11" max="11" width="12.25" style="86" bestFit="1" customWidth="1"/>
    <col min="12" max="12" width="12" style="86" bestFit="1" customWidth="1"/>
    <col min="13" max="13" width="11.625" style="86" bestFit="1" customWidth="1"/>
    <col min="14" max="14" width="12" style="86" bestFit="1" customWidth="1"/>
    <col min="15" max="15" width="12.125" style="275" bestFit="1" customWidth="1"/>
    <col min="16" max="16384" width="11" style="86"/>
  </cols>
  <sheetData>
    <row r="1" spans="1:15" ht="22.5">
      <c r="A1" s="289" t="s">
        <v>785</v>
      </c>
      <c r="B1" s="271"/>
      <c r="E1" s="273"/>
      <c r="F1" s="2731" t="str">
        <f>Parameters!D$77</f>
        <v>Year 2:   2028</v>
      </c>
      <c r="G1" s="291"/>
      <c r="H1" s="273"/>
      <c r="I1" s="159"/>
      <c r="J1" s="274"/>
      <c r="K1" s="159"/>
    </row>
    <row r="2" spans="1:15" ht="25.5">
      <c r="A2" s="290" t="str">
        <f>'Base Data'!B9</f>
        <v>WWW, Ltd.</v>
      </c>
      <c r="B2" s="276"/>
      <c r="D2" s="270"/>
      <c r="F2" s="273"/>
      <c r="G2" s="159"/>
      <c r="H2" s="159"/>
      <c r="I2" s="159"/>
      <c r="J2" s="159"/>
      <c r="K2" s="159"/>
    </row>
    <row r="3" spans="1:15" ht="15.75" thickBot="1">
      <c r="A3" s="35"/>
      <c r="B3" s="35"/>
    </row>
    <row r="4" spans="1:15"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5" s="277" customFormat="1" ht="18" customHeight="1" thickBot="1">
      <c r="A5" s="296" t="str">
        <f t="array" ref="A5:A11">'Cash Flow 0'!A5:A11</f>
        <v>Cash Collections</v>
      </c>
      <c r="B5" s="278"/>
      <c r="C5" s="278"/>
      <c r="D5" s="278"/>
      <c r="E5" s="278"/>
      <c r="F5" s="278"/>
      <c r="G5" s="278"/>
      <c r="H5" s="278"/>
      <c r="I5" s="278"/>
      <c r="J5" s="278"/>
      <c r="K5" s="278"/>
      <c r="L5" s="278"/>
      <c r="M5" s="278"/>
      <c r="O5" s="299"/>
    </row>
    <row r="6" spans="1:15" ht="21" customHeight="1">
      <c r="A6" s="1178" t="str">
        <v>Sales Collection</v>
      </c>
      <c r="B6" s="1172"/>
      <c r="C6" s="2442">
        <f t="array" aca="1" ref="C6:N6" ca="1">'Collections &amp; Payments 2'!B28:M28</f>
        <v>1347.8734499999998</v>
      </c>
      <c r="D6" s="2442">
        <f ca="1"/>
        <v>1347.8734499999998</v>
      </c>
      <c r="E6" s="2442">
        <f ca="1"/>
        <v>1347.8734499999998</v>
      </c>
      <c r="F6" s="2442">
        <f ca="1"/>
        <v>1347.8734499999998</v>
      </c>
      <c r="G6" s="2442">
        <f ca="1"/>
        <v>1347.8734499999998</v>
      </c>
      <c r="H6" s="2442">
        <f ca="1"/>
        <v>1347.8734499999998</v>
      </c>
      <c r="I6" s="2442">
        <f ca="1"/>
        <v>1347.8734499999998</v>
      </c>
      <c r="J6" s="2442">
        <f ca="1"/>
        <v>1347.8734499999998</v>
      </c>
      <c r="K6" s="2442">
        <f ca="1"/>
        <v>1347.8734499999998</v>
      </c>
      <c r="L6" s="2442">
        <f ca="1"/>
        <v>1347.8734499999998</v>
      </c>
      <c r="M6" s="2442">
        <f ca="1"/>
        <v>1347.8734499999998</v>
      </c>
      <c r="N6" s="2443">
        <f ca="1"/>
        <v>1347.8734499999998</v>
      </c>
      <c r="O6" s="2444">
        <f t="shared" ref="O6:O11" ca="1" si="0">SUM(C6:N6)</f>
        <v>16174.481399999995</v>
      </c>
    </row>
    <row r="7" spans="1:15" ht="21" customHeight="1">
      <c r="A7" s="1179" t="str">
        <v>Deferred / Recovered Defaults</v>
      </c>
      <c r="B7" s="1175"/>
      <c r="C7" s="2445">
        <f t="array" aca="1" ref="C7:N7" ca="1">+recmorosos*'Collections &amp; Payments 1'!$S$31/12
+Funding!$F$19*Parameters!B55:M55</f>
        <v>0</v>
      </c>
      <c r="D7" s="2445">
        <f ca="1"/>
        <v>0</v>
      </c>
      <c r="E7" s="2445">
        <f ca="1"/>
        <v>0</v>
      </c>
      <c r="F7" s="2445">
        <f ca="1"/>
        <v>0</v>
      </c>
      <c r="G7" s="2445">
        <f ca="1"/>
        <v>0</v>
      </c>
      <c r="H7" s="2445">
        <f ca="1"/>
        <v>0</v>
      </c>
      <c r="I7" s="2445">
        <f ca="1"/>
        <v>0</v>
      </c>
      <c r="J7" s="2445">
        <f ca="1"/>
        <v>0</v>
      </c>
      <c r="K7" s="2445">
        <f ca="1"/>
        <v>0</v>
      </c>
      <c r="L7" s="2445">
        <f ca="1"/>
        <v>0</v>
      </c>
      <c r="M7" s="2445">
        <f ca="1"/>
        <v>0</v>
      </c>
      <c r="N7" s="2446">
        <f ca="1"/>
        <v>0</v>
      </c>
      <c r="O7" s="2447">
        <f t="shared" ca="1" si="0"/>
        <v>0</v>
      </c>
    </row>
    <row r="8" spans="1:15" ht="21" customHeight="1">
      <c r="A8" s="1179" t="str">
        <v>Other Cash Collections</v>
      </c>
      <c r="B8" s="1173"/>
      <c r="C8" s="2445">
        <v>0</v>
      </c>
      <c r="D8" s="2445">
        <v>0</v>
      </c>
      <c r="E8" s="2445">
        <v>0</v>
      </c>
      <c r="F8" s="2445">
        <v>0</v>
      </c>
      <c r="G8" s="2445">
        <v>0</v>
      </c>
      <c r="H8" s="2445">
        <v>0</v>
      </c>
      <c r="I8" s="2445">
        <v>0</v>
      </c>
      <c r="J8" s="2445">
        <f ca="1">IF('Personal Income Tax'!L25&lt;0,-'Personal Income Tax'!L25*'Personal Income Tax'!L19,0)</f>
        <v>0</v>
      </c>
      <c r="K8" s="2445">
        <v>0</v>
      </c>
      <c r="L8" s="2445">
        <v>0</v>
      </c>
      <c r="M8" s="2445">
        <v>0</v>
      </c>
      <c r="N8" s="2446">
        <f ca="1">IF('Corporate Income Tax'!$D$23&lt;0,-'Corporate Income Tax'!$D$23,0)</f>
        <v>0</v>
      </c>
      <c r="O8" s="2447">
        <f t="shared" ca="1" si="0"/>
        <v>0</v>
      </c>
    </row>
    <row r="9" spans="1:15" ht="21" customHeight="1">
      <c r="A9" s="1179" t="str">
        <v>VAT Refunds</v>
      </c>
      <c r="B9" s="1173"/>
      <c r="C9" s="2445">
        <f t="array" ref="C9:N9">'VAT 2'!C26:N26</f>
        <v>0</v>
      </c>
      <c r="D9" s="2445">
        <v>0</v>
      </c>
      <c r="E9" s="2445">
        <v>0</v>
      </c>
      <c r="F9" s="2445">
        <v>0</v>
      </c>
      <c r="G9" s="2445">
        <v>0</v>
      </c>
      <c r="H9" s="2445">
        <f ca="1"/>
        <v>0</v>
      </c>
      <c r="I9" s="2445">
        <v>0</v>
      </c>
      <c r="J9" s="2445">
        <v>0</v>
      </c>
      <c r="K9" s="2445">
        <v>0</v>
      </c>
      <c r="L9" s="2445">
        <v>0</v>
      </c>
      <c r="M9" s="2445">
        <v>0</v>
      </c>
      <c r="N9" s="2446">
        <v>0</v>
      </c>
      <c r="O9" s="2447">
        <f t="shared" ca="1" si="0"/>
        <v>0</v>
      </c>
    </row>
    <row r="10" spans="1:15" ht="21" customHeight="1">
      <c r="A10" s="1179" t="str">
        <v>Financial income</v>
      </c>
      <c r="B10" s="1173"/>
      <c r="C10" s="2445">
        <f t="array" ref="C10:N10" ca="1">'Financial Expenses'!C97:N97</f>
        <v>0</v>
      </c>
      <c r="D10" s="2445">
        <f ca="1"/>
        <v>0</v>
      </c>
      <c r="E10" s="2445">
        <f ca="1"/>
        <v>0</v>
      </c>
      <c r="F10" s="2445">
        <f ca="1"/>
        <v>0</v>
      </c>
      <c r="G10" s="2445">
        <f ca="1"/>
        <v>0</v>
      </c>
      <c r="H10" s="2445">
        <f ca="1"/>
        <v>0</v>
      </c>
      <c r="I10" s="2445">
        <f ca="1"/>
        <v>0</v>
      </c>
      <c r="J10" s="2445">
        <f ca="1"/>
        <v>0</v>
      </c>
      <c r="K10" s="2445">
        <f ca="1"/>
        <v>0</v>
      </c>
      <c r="L10" s="2445">
        <f ca="1"/>
        <v>0</v>
      </c>
      <c r="M10" s="2445">
        <f ca="1"/>
        <v>0</v>
      </c>
      <c r="N10" s="2446">
        <f ca="1"/>
        <v>0</v>
      </c>
      <c r="O10" s="2447">
        <f t="shared" ca="1" si="0"/>
        <v>0</v>
      </c>
    </row>
    <row r="11" spans="1:15" s="275" customFormat="1" ht="21" customHeight="1" thickBot="1">
      <c r="A11" s="1176" t="str">
        <v>Monthly Collection Budget</v>
      </c>
      <c r="B11" s="1177"/>
      <c r="C11" s="2448">
        <f ca="1">SUM(C6:C10)</f>
        <v>1347.8734499999998</v>
      </c>
      <c r="D11" s="2448">
        <f t="shared" ref="D11:K11" ca="1" si="1">SUM(D6:D10)</f>
        <v>1347.8734499999998</v>
      </c>
      <c r="E11" s="2448">
        <f t="shared" ca="1" si="1"/>
        <v>1347.8734499999998</v>
      </c>
      <c r="F11" s="2448">
        <f t="shared" ca="1" si="1"/>
        <v>1347.8734499999998</v>
      </c>
      <c r="G11" s="2448">
        <f t="shared" ca="1" si="1"/>
        <v>1347.8734499999998</v>
      </c>
      <c r="H11" s="2448">
        <f t="shared" ca="1" si="1"/>
        <v>1347.8734499999998</v>
      </c>
      <c r="I11" s="2448">
        <f t="shared" ca="1" si="1"/>
        <v>1347.8734499999998</v>
      </c>
      <c r="J11" s="2448">
        <f t="shared" ca="1" si="1"/>
        <v>1347.8734499999998</v>
      </c>
      <c r="K11" s="2448">
        <f t="shared" ca="1" si="1"/>
        <v>1347.8734499999998</v>
      </c>
      <c r="L11" s="2448">
        <f ca="1">SUM(L6:L10)</f>
        <v>1347.8734499999998</v>
      </c>
      <c r="M11" s="2448">
        <f ca="1">SUM(M6:M10)</f>
        <v>1347.8734499999998</v>
      </c>
      <c r="N11" s="2449">
        <f ca="1">SUM(N6:N10)</f>
        <v>1347.8734499999998</v>
      </c>
      <c r="O11" s="2450">
        <f t="shared" ca="1" si="0"/>
        <v>16174.481399999995</v>
      </c>
    </row>
    <row r="12" spans="1:15" s="275" customFormat="1" ht="9.75" customHeight="1">
      <c r="A12" s="294"/>
      <c r="B12" s="280"/>
      <c r="C12" s="280"/>
      <c r="D12" s="280"/>
      <c r="E12" s="280"/>
      <c r="F12" s="280"/>
      <c r="G12" s="280"/>
      <c r="H12" s="280"/>
      <c r="I12" s="280"/>
      <c r="J12" s="280"/>
      <c r="K12" s="280"/>
      <c r="L12" s="280"/>
      <c r="M12" s="280"/>
      <c r="N12" s="280"/>
      <c r="O12" s="300"/>
    </row>
    <row r="13" spans="1:15" s="275" customFormat="1" ht="21" customHeight="1" thickBot="1">
      <c r="A13" s="296" t="str">
        <f t="array" ref="A13:A17">'Cash Flow 0'!A13:A17</f>
        <v>PAYMENTS</v>
      </c>
      <c r="B13" s="281"/>
      <c r="C13" s="281"/>
      <c r="D13" s="281"/>
      <c r="E13" s="281"/>
      <c r="F13" s="281"/>
      <c r="G13" s="281"/>
      <c r="H13" s="281"/>
      <c r="I13" s="281"/>
      <c r="J13" s="281"/>
      <c r="K13" s="281"/>
      <c r="L13" s="281"/>
      <c r="M13" s="281"/>
      <c r="N13" s="281"/>
      <c r="O13" s="301"/>
    </row>
    <row r="14" spans="1:15" s="288" customFormat="1" ht="21" customHeight="1">
      <c r="A14" s="1178" t="str">
        <v>Fixed Expenses payments ( VAT incl.)</v>
      </c>
      <c r="B14" s="1172"/>
      <c r="C14" s="1184">
        <f ca="1">'Fixed Expenses 2'!B58+'Fixed Expenses 2'!B60</f>
        <v>1420.7119283000002</v>
      </c>
      <c r="D14" s="1184">
        <f ca="1">'Fixed Expenses 2'!C58+'Fixed Expenses 2'!C60</f>
        <v>1420.7119283000002</v>
      </c>
      <c r="E14" s="1184">
        <f ca="1">'Fixed Expenses 2'!D58+'Fixed Expenses 2'!D60</f>
        <v>1420.7119283000002</v>
      </c>
      <c r="F14" s="1184">
        <f ca="1">'Fixed Expenses 2'!E58+'Fixed Expenses 2'!E60</f>
        <v>1420.7119283000002</v>
      </c>
      <c r="G14" s="1184">
        <f ca="1">'Fixed Expenses 2'!F58+'Fixed Expenses 2'!F60</f>
        <v>1420.7119283000002</v>
      </c>
      <c r="H14" s="1184">
        <f ca="1">'Fixed Expenses 2'!G58+'Fixed Expenses 2'!G60</f>
        <v>1420.7119283000002</v>
      </c>
      <c r="I14" s="1184">
        <f ca="1">'Fixed Expenses 2'!H58+'Fixed Expenses 2'!H60</f>
        <v>1420.7119283000002</v>
      </c>
      <c r="J14" s="1184">
        <f ca="1">'Fixed Expenses 2'!I58+'Fixed Expenses 2'!I60</f>
        <v>1420.7119283000002</v>
      </c>
      <c r="K14" s="1184">
        <f ca="1">'Fixed Expenses 2'!J58+'Fixed Expenses 2'!J60</f>
        <v>1420.7119283000002</v>
      </c>
      <c r="L14" s="1184">
        <f ca="1">'Fixed Expenses 2'!K58+'Fixed Expenses 2'!K60</f>
        <v>1420.7119283000002</v>
      </c>
      <c r="M14" s="1184">
        <f ca="1">'Fixed Expenses 2'!L58+'Fixed Expenses 2'!L60</f>
        <v>1420.7119283000002</v>
      </c>
      <c r="N14" s="1185">
        <f ca="1">'Fixed Expenses 2'!M58+'Fixed Expenses 2'!M60</f>
        <v>1420.7119283000002</v>
      </c>
      <c r="O14" s="1186">
        <f ca="1">SUM(C14:N14)</f>
        <v>17048.543139599999</v>
      </c>
    </row>
    <row r="15" spans="1:15" s="287" customFormat="1" ht="21" customHeight="1">
      <c r="A15" s="1179" t="str">
        <v>Purchases &amp; Direct Costs payments  ( VAT incl.)</v>
      </c>
      <c r="B15" s="1173"/>
      <c r="C15" s="1187">
        <f t="array" aca="1" ref="C15:N15" ca="1">'Collections &amp; Payments 2'!B55:M55</f>
        <v>134.78734500000002</v>
      </c>
      <c r="D15" s="1187">
        <f ca="1"/>
        <v>134.78734500000002</v>
      </c>
      <c r="E15" s="1187">
        <f ca="1"/>
        <v>134.78734500000002</v>
      </c>
      <c r="F15" s="1187">
        <f ca="1"/>
        <v>134.78734500000002</v>
      </c>
      <c r="G15" s="1187">
        <f ca="1"/>
        <v>134.78734500000002</v>
      </c>
      <c r="H15" s="1187">
        <f ca="1"/>
        <v>134.78734500000002</v>
      </c>
      <c r="I15" s="1187">
        <f ca="1"/>
        <v>134.78734500000002</v>
      </c>
      <c r="J15" s="1187">
        <f ca="1"/>
        <v>134.78734500000002</v>
      </c>
      <c r="K15" s="1187">
        <f ca="1"/>
        <v>134.78734500000002</v>
      </c>
      <c r="L15" s="1187">
        <f ca="1"/>
        <v>134.78734500000002</v>
      </c>
      <c r="M15" s="1187">
        <f ca="1"/>
        <v>134.78734500000002</v>
      </c>
      <c r="N15" s="1188">
        <f ca="1"/>
        <v>134.78734500000002</v>
      </c>
      <c r="O15" s="1189">
        <f ca="1">SUM(C15:N15)</f>
        <v>1617.4481399999997</v>
      </c>
    </row>
    <row r="16" spans="1:15" s="287" customFormat="1" ht="21" customHeight="1">
      <c r="A16" s="1179" t="str">
        <v>Financial Expenses Payments</v>
      </c>
      <c r="B16" s="1173"/>
      <c r="C16" s="1187">
        <f t="array" ref="C16:N16" ca="1">'Financial Expenses'!C49:N49+'Financial Expenses'!C45:N45*Parameters!$F$33*0</f>
        <v>13.478734499999998</v>
      </c>
      <c r="D16" s="1187">
        <f ca="1"/>
        <v>13.478734499999998</v>
      </c>
      <c r="E16" s="1187">
        <f ca="1"/>
        <v>13.478734499999998</v>
      </c>
      <c r="F16" s="1187">
        <f ca="1"/>
        <v>13.478734499999998</v>
      </c>
      <c r="G16" s="1187">
        <f ca="1"/>
        <v>13.478734499999998</v>
      </c>
      <c r="H16" s="1187">
        <f ca="1"/>
        <v>13.478734499999998</v>
      </c>
      <c r="I16" s="1187">
        <f ca="1"/>
        <v>13.478734499999998</v>
      </c>
      <c r="J16" s="1187">
        <f ca="1"/>
        <v>13.478734499999998</v>
      </c>
      <c r="K16" s="1187">
        <f ca="1"/>
        <v>13.478734499999998</v>
      </c>
      <c r="L16" s="1187">
        <f ca="1"/>
        <v>13.478734499999998</v>
      </c>
      <c r="M16" s="1187">
        <f ca="1"/>
        <v>13.478734499999998</v>
      </c>
      <c r="N16" s="1188">
        <f ca="1"/>
        <v>13.478734499999998</v>
      </c>
      <c r="O16" s="1189">
        <f ca="1">SUM(C16:N16)</f>
        <v>161.74481399999999</v>
      </c>
    </row>
    <row r="17" spans="1:15" s="287" customFormat="1" ht="21" customHeight="1">
      <c r="A17" s="1179" t="str">
        <v>Leasing / Renting quotes input VAT payments</v>
      </c>
      <c r="B17" s="1173"/>
      <c r="C17" s="1187">
        <f t="array" ref="C17:N17">+Leasing!B40:M40+Renting!B38:M40</f>
        <v>0</v>
      </c>
      <c r="D17" s="1187">
        <v>0</v>
      </c>
      <c r="E17" s="1187">
        <v>0</v>
      </c>
      <c r="F17" s="1187">
        <v>0</v>
      </c>
      <c r="G17" s="1187">
        <v>0</v>
      </c>
      <c r="H17" s="1187">
        <v>0</v>
      </c>
      <c r="I17" s="1187">
        <v>0</v>
      </c>
      <c r="J17" s="1187">
        <v>0</v>
      </c>
      <c r="K17" s="1187">
        <v>0</v>
      </c>
      <c r="L17" s="1187">
        <v>0</v>
      </c>
      <c r="M17" s="1187">
        <v>0</v>
      </c>
      <c r="N17" s="1188">
        <v>0</v>
      </c>
      <c r="O17" s="1189">
        <f>SUM(C17:N17)</f>
        <v>0</v>
      </c>
    </row>
    <row r="18" spans="1:15" s="287" customFormat="1" ht="9.75" customHeight="1">
      <c r="A18" s="1180"/>
      <c r="C18" s="1706"/>
      <c r="D18" s="1707"/>
      <c r="E18" s="1708"/>
      <c r="F18" s="1707"/>
      <c r="G18" s="1707"/>
      <c r="H18" s="1707"/>
      <c r="I18" s="1707"/>
      <c r="J18" s="1707"/>
      <c r="K18" s="1707"/>
      <c r="L18" s="1707"/>
      <c r="M18" s="1707"/>
      <c r="N18" s="1709"/>
      <c r="O18" s="1710"/>
    </row>
    <row r="19" spans="1:15" s="287" customFormat="1" ht="21" customHeight="1">
      <c r="A19" s="1182" t="str">
        <f t="array" ref="A19:A25">'Cash Flow 0'!A19:A25</f>
        <v>Other payments</v>
      </c>
      <c r="B19" s="1174"/>
      <c r="C19" s="1190"/>
      <c r="D19" s="1191"/>
      <c r="E19" s="1192"/>
      <c r="F19" s="1191"/>
      <c r="G19" s="1191"/>
      <c r="H19" s="1191"/>
      <c r="I19" s="1191"/>
      <c r="J19" s="1191"/>
      <c r="K19" s="1191"/>
      <c r="L19" s="1191"/>
      <c r="M19" s="1191"/>
      <c r="N19" s="1193"/>
      <c r="O19" s="1194"/>
    </row>
    <row r="20" spans="1:15" s="287" customFormat="1" ht="21" customHeight="1">
      <c r="A20" s="1179" t="str">
        <v>Debt repayment (mortgages &amp; leasings)</v>
      </c>
      <c r="B20" s="1173"/>
      <c r="C20" s="1187">
        <f t="array" ref="C20:N20">Loans!B40:M40+Leasing!B39:M39</f>
        <v>0</v>
      </c>
      <c r="D20" s="1187">
        <v>0</v>
      </c>
      <c r="E20" s="1187">
        <v>0</v>
      </c>
      <c r="F20" s="1187">
        <v>0</v>
      </c>
      <c r="G20" s="1187">
        <v>0</v>
      </c>
      <c r="H20" s="1187">
        <v>0</v>
      </c>
      <c r="I20" s="1187">
        <v>0</v>
      </c>
      <c r="J20" s="1187">
        <v>0</v>
      </c>
      <c r="K20" s="1187">
        <v>0</v>
      </c>
      <c r="L20" s="1187">
        <v>0</v>
      </c>
      <c r="M20" s="1187">
        <v>0</v>
      </c>
      <c r="N20" s="1188">
        <v>0</v>
      </c>
      <c r="O20" s="1189">
        <f>SUM(C20:N20)</f>
        <v>0</v>
      </c>
    </row>
    <row r="21" spans="1:15" s="287" customFormat="1" ht="21" customHeight="1">
      <c r="A21" s="1179" t="str">
        <v>Other Out-flows</v>
      </c>
      <c r="B21" s="1173"/>
      <c r="C21" s="1187">
        <v>0</v>
      </c>
      <c r="D21" s="1187">
        <v>0</v>
      </c>
      <c r="E21" s="1187">
        <v>0</v>
      </c>
      <c r="F21" s="1187">
        <v>0</v>
      </c>
      <c r="G21" s="1187">
        <v>0</v>
      </c>
      <c r="H21" s="1187">
        <v>0</v>
      </c>
      <c r="I21" s="1187">
        <v>0</v>
      </c>
      <c r="J21" s="1187">
        <v>0</v>
      </c>
      <c r="K21" s="1187">
        <v>0</v>
      </c>
      <c r="L21" s="1187">
        <v>0</v>
      </c>
      <c r="M21" s="1187">
        <v>0</v>
      </c>
      <c r="N21" s="1188">
        <v>0</v>
      </c>
      <c r="O21" s="1189">
        <f>SUM(C21:N21)</f>
        <v>0</v>
      </c>
    </row>
    <row r="22" spans="1:15" s="287" customFormat="1" ht="21" customHeight="1">
      <c r="A22" s="1179" t="str">
        <v>VAT Settlements payments</v>
      </c>
      <c r="B22" s="1173"/>
      <c r="C22" s="1187">
        <f t="array" aca="1" ref="C22:N22" ca="1">'VAT 2'!C24:N24</f>
        <v>187.78787999999997</v>
      </c>
      <c r="D22" s="1187">
        <f ca="1"/>
        <v>203.10890669999998</v>
      </c>
      <c r="E22" s="1187">
        <f ca="1"/>
        <v>203.10890669999998</v>
      </c>
      <c r="F22" s="1187">
        <f ca="1"/>
        <v>203.10890669999998</v>
      </c>
      <c r="G22" s="1187">
        <f ca="1"/>
        <v>203.10890669999998</v>
      </c>
      <c r="H22" s="1187">
        <f ca="1"/>
        <v>203.10890669999998</v>
      </c>
      <c r="I22" s="1187">
        <f ca="1"/>
        <v>203.10890669999998</v>
      </c>
      <c r="J22" s="1187">
        <f ca="1"/>
        <v>203.10890669999998</v>
      </c>
      <c r="K22" s="1187">
        <f ca="1"/>
        <v>203.10890669999998</v>
      </c>
      <c r="L22" s="1187">
        <f ca="1"/>
        <v>203.10890669999998</v>
      </c>
      <c r="M22" s="1187">
        <f ca="1"/>
        <v>203.10890669999998</v>
      </c>
      <c r="N22" s="1188">
        <f ca="1"/>
        <v>203.10890669999998</v>
      </c>
      <c r="O22" s="1189">
        <f ca="1">SUM(C22:N22)</f>
        <v>2421.9858537</v>
      </c>
    </row>
    <row r="23" spans="1:15" s="287" customFormat="1" ht="21" customHeight="1">
      <c r="A23" s="1179" t="str">
        <v>Income Tax payments</v>
      </c>
      <c r="B23" s="1173"/>
      <c r="C23" s="1187">
        <f ca="1">'Personal Income Tax Calc.'!N22</f>
        <v>0</v>
      </c>
      <c r="D23" s="1187"/>
      <c r="E23" s="1187"/>
      <c r="F23" s="1187">
        <f ca="1">'Corporate Income Tax'!G18+'Personal Income Tax Calc.'!E31</f>
        <v>0</v>
      </c>
      <c r="G23" s="1187"/>
      <c r="H23" s="1187">
        <f ca="1">IF('Personal Income Tax'!L25&lt;0,0,'Personal Income Tax'!L25*'Personal Income Tax'!L19)</f>
        <v>0</v>
      </c>
      <c r="I23" s="1187">
        <f ca="1">IF('Corporate Income Tax'!D23&gt;0,'Corporate Income Tax'!D23,0)+'Personal Income Tax Calc.'!H31
+'Corporate Income Tax'!$D$32/2</f>
        <v>0</v>
      </c>
      <c r="J23" s="1187"/>
      <c r="K23" s="1187"/>
      <c r="L23" s="1187">
        <f ca="1">'Corporate Income Tax'!G19+'Personal Income Tax Calc.'!K31</f>
        <v>0</v>
      </c>
      <c r="M23" s="1187"/>
      <c r="N23" s="1188">
        <f ca="1">'Corporate Income Tax'!G20
+'Corporate Income Tax'!$D$32/2</f>
        <v>0</v>
      </c>
      <c r="O23" s="1189">
        <f ca="1">SUM(C23:N23)</f>
        <v>0</v>
      </c>
    </row>
    <row r="24" spans="1:15" s="287" customFormat="1" ht="21" customHeight="1">
      <c r="A24" s="1179" t="str">
        <v>Long Term Creditors payments</v>
      </c>
      <c r="B24" s="1173"/>
      <c r="C24" s="1187">
        <f t="array" ref="C24:N24">'Unusual payments &amp; Collections'!B84:M84</f>
        <v>0</v>
      </c>
      <c r="D24" s="1187">
        <v>0</v>
      </c>
      <c r="E24" s="1187">
        <v>0</v>
      </c>
      <c r="F24" s="1187">
        <v>0</v>
      </c>
      <c r="G24" s="1187">
        <v>0</v>
      </c>
      <c r="H24" s="1187">
        <v>0</v>
      </c>
      <c r="I24" s="1187">
        <v>0</v>
      </c>
      <c r="J24" s="1187">
        <v>0</v>
      </c>
      <c r="K24" s="1187">
        <v>0</v>
      </c>
      <c r="L24" s="1187">
        <v>0</v>
      </c>
      <c r="M24" s="1187">
        <v>0</v>
      </c>
      <c r="N24" s="1188">
        <v>0</v>
      </c>
      <c r="O24" s="1189">
        <f>SUM(C24:N24)</f>
        <v>0</v>
      </c>
    </row>
    <row r="25" spans="1:15" s="288" customFormat="1" ht="21" customHeight="1" thickBot="1">
      <c r="A25" s="1183" t="str">
        <v>Total Payments forecast</v>
      </c>
      <c r="B25" s="1177"/>
      <c r="C25" s="1195">
        <f t="shared" ref="C25:N25" ca="1" si="2">SUM(C14:C24)</f>
        <v>1756.7658878000002</v>
      </c>
      <c r="D25" s="1195">
        <f t="shared" ca="1" si="2"/>
        <v>1772.0869145000001</v>
      </c>
      <c r="E25" s="1195">
        <f t="shared" ca="1" si="2"/>
        <v>1772.0869145000001</v>
      </c>
      <c r="F25" s="1195">
        <f t="shared" ca="1" si="2"/>
        <v>1772.0869145000001</v>
      </c>
      <c r="G25" s="1195">
        <f t="shared" ca="1" si="2"/>
        <v>1772.0869145000001</v>
      </c>
      <c r="H25" s="1195">
        <f t="shared" ca="1" si="2"/>
        <v>1772.0869145000001</v>
      </c>
      <c r="I25" s="1195">
        <f t="shared" ca="1" si="2"/>
        <v>1772.0869145000001</v>
      </c>
      <c r="J25" s="1195">
        <f t="shared" ca="1" si="2"/>
        <v>1772.0869145000001</v>
      </c>
      <c r="K25" s="1195">
        <f t="shared" ca="1" si="2"/>
        <v>1772.0869145000001</v>
      </c>
      <c r="L25" s="1195">
        <f t="shared" ca="1" si="2"/>
        <v>1772.0869145000001</v>
      </c>
      <c r="M25" s="1195">
        <f t="shared" ca="1" si="2"/>
        <v>1772.0869145000001</v>
      </c>
      <c r="N25" s="1196">
        <f t="shared" ca="1" si="2"/>
        <v>1772.0869145000001</v>
      </c>
      <c r="O25" s="1197">
        <f ca="1">SUM(O14:O24)</f>
        <v>21249.7219473</v>
      </c>
    </row>
    <row r="26" spans="1:15" s="275" customFormat="1" ht="21" customHeight="1">
      <c r="A26" s="294"/>
      <c r="B26" s="315"/>
      <c r="C26" s="283"/>
      <c r="D26" s="283"/>
      <c r="E26" s="283"/>
      <c r="F26" s="283"/>
      <c r="G26" s="283"/>
      <c r="H26" s="283"/>
      <c r="I26" s="283"/>
      <c r="J26" s="283"/>
      <c r="K26" s="283"/>
      <c r="L26" s="283"/>
      <c r="M26" s="283"/>
      <c r="O26" s="302"/>
    </row>
    <row r="27" spans="1:15" s="275" customFormat="1" ht="21" customHeight="1" thickBot="1">
      <c r="A27" s="294"/>
      <c r="B27" s="282"/>
      <c r="C27" s="283"/>
      <c r="D27" s="283"/>
      <c r="E27" s="283"/>
      <c r="F27" s="283"/>
      <c r="G27" s="283"/>
      <c r="H27" s="283"/>
      <c r="I27" s="283"/>
      <c r="J27" s="283"/>
      <c r="K27" s="283"/>
      <c r="L27" s="283"/>
      <c r="M27" s="283"/>
      <c r="O27" s="302"/>
    </row>
    <row r="28" spans="1:15" s="277" customFormat="1" ht="18" customHeight="1" thickBot="1">
      <c r="A28" s="312" t="str">
        <f t="array" ref="A28:A31">'Cash Flow 0'!A28:A31</f>
        <v>Cash Flow Budget</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5" s="275" customFormat="1" ht="21" customHeight="1" thickBot="1">
      <c r="A29" s="313" t="str">
        <v>Monthly Cash Collection forecast</v>
      </c>
      <c r="B29" s="284"/>
      <c r="C29" s="610">
        <f t="array" ref="C29:N29" ca="1">C11:N11</f>
        <v>1347.8734499999998</v>
      </c>
      <c r="D29" s="610">
        <f ca="1"/>
        <v>1347.8734499999998</v>
      </c>
      <c r="E29" s="610">
        <f ca="1"/>
        <v>1347.8734499999998</v>
      </c>
      <c r="F29" s="610">
        <f ca="1"/>
        <v>1347.8734499999998</v>
      </c>
      <c r="G29" s="610">
        <f ca="1"/>
        <v>1347.8734499999998</v>
      </c>
      <c r="H29" s="610">
        <f ca="1"/>
        <v>1347.8734499999998</v>
      </c>
      <c r="I29" s="610">
        <f ca="1"/>
        <v>1347.8734499999998</v>
      </c>
      <c r="J29" s="610">
        <f ca="1"/>
        <v>1347.8734499999998</v>
      </c>
      <c r="K29" s="610">
        <f ca="1"/>
        <v>1347.8734499999998</v>
      </c>
      <c r="L29" s="610">
        <f ca="1"/>
        <v>1347.8734499999998</v>
      </c>
      <c r="M29" s="610">
        <f ca="1"/>
        <v>1347.8734499999998</v>
      </c>
      <c r="N29" s="611">
        <f ca="1"/>
        <v>1347.8734499999998</v>
      </c>
      <c r="O29" s="612">
        <f ca="1">SUM(C29:N29)</f>
        <v>16174.481399999995</v>
      </c>
    </row>
    <row r="30" spans="1:15" s="275" customFormat="1" ht="21" customHeight="1" thickBot="1">
      <c r="A30" s="313" t="str">
        <v>Monthly payments forecast</v>
      </c>
      <c r="B30" s="279"/>
      <c r="C30" s="613">
        <f t="array" ref="C30:N30" ca="1">C25:N25</f>
        <v>1756.7658878000002</v>
      </c>
      <c r="D30" s="613">
        <f ca="1"/>
        <v>1772.0869145000001</v>
      </c>
      <c r="E30" s="613">
        <f ca="1"/>
        <v>1772.0869145000001</v>
      </c>
      <c r="F30" s="613">
        <f ca="1"/>
        <v>1772.0869145000001</v>
      </c>
      <c r="G30" s="613">
        <f ca="1"/>
        <v>1772.0869145000001</v>
      </c>
      <c r="H30" s="613">
        <f ca="1"/>
        <v>1772.0869145000001</v>
      </c>
      <c r="I30" s="613">
        <f ca="1"/>
        <v>1772.0869145000001</v>
      </c>
      <c r="J30" s="613">
        <f ca="1"/>
        <v>1772.0869145000001</v>
      </c>
      <c r="K30" s="613">
        <f ca="1"/>
        <v>1772.0869145000001</v>
      </c>
      <c r="L30" s="613">
        <f ca="1"/>
        <v>1772.0869145000001</v>
      </c>
      <c r="M30" s="613">
        <f ca="1"/>
        <v>1772.0869145000001</v>
      </c>
      <c r="N30" s="614">
        <f ca="1"/>
        <v>1772.0869145000001</v>
      </c>
      <c r="O30" s="612">
        <f ca="1">SUM(C30:N30)</f>
        <v>21249.7219473</v>
      </c>
    </row>
    <row r="31" spans="1:15" s="275" customFormat="1" ht="21" customHeight="1" thickBot="1">
      <c r="A31" s="314" t="str">
        <v>Monthly Cash Flow Forecast</v>
      </c>
      <c r="B31" s="284"/>
      <c r="C31" s="615">
        <f t="array" ref="C31:N31" ca="1">C29:N29-C30:N30</f>
        <v>-408.89243780000038</v>
      </c>
      <c r="D31" s="615">
        <f ca="1"/>
        <v>-424.21346450000033</v>
      </c>
      <c r="E31" s="615">
        <f ca="1"/>
        <v>-424.21346450000033</v>
      </c>
      <c r="F31" s="615">
        <f ca="1"/>
        <v>-424.21346450000033</v>
      </c>
      <c r="G31" s="615">
        <f ca="1"/>
        <v>-424.21346450000033</v>
      </c>
      <c r="H31" s="615">
        <f ca="1"/>
        <v>-424.21346450000033</v>
      </c>
      <c r="I31" s="615">
        <f ca="1"/>
        <v>-424.21346450000033</v>
      </c>
      <c r="J31" s="615">
        <f ca="1"/>
        <v>-424.21346450000033</v>
      </c>
      <c r="K31" s="615">
        <f ca="1"/>
        <v>-424.21346450000033</v>
      </c>
      <c r="L31" s="615">
        <f ca="1"/>
        <v>-424.21346450000033</v>
      </c>
      <c r="M31" s="615">
        <f ca="1"/>
        <v>-424.21346450000033</v>
      </c>
      <c r="N31" s="616">
        <f ca="1"/>
        <v>-424.21346450000033</v>
      </c>
      <c r="O31" s="617">
        <f ca="1">O29-O30</f>
        <v>-5075.2405473000053</v>
      </c>
    </row>
    <row r="32" spans="1:15"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tr">
        <f>'Cash Flow 0'!A33</f>
        <v>Credit account used amount</v>
      </c>
      <c r="B33" s="1155">
        <f ca="1">'Cash Flow 1'!N33</f>
        <v>0</v>
      </c>
      <c r="C33" s="1156">
        <f ca="1">IF(B35+C31-B33&gt;tesoreriasec,0,MIN(B33-B35-C31+tesoreriasec,Funding!$F$49))</f>
        <v>0</v>
      </c>
      <c r="D33" s="1157">
        <f ca="1">IF(C35+D31-C33&gt;tesoreriasec,0,MIN(C33-C35-D31+tesoreriasec,Funding!$F$49))</f>
        <v>0</v>
      </c>
      <c r="E33" s="1157">
        <f ca="1">IF(D35+E31-D33&gt;tesoreriasec,0,MIN(D33-D35-E31+tesoreriasec,Funding!$F$49))</f>
        <v>0</v>
      </c>
      <c r="F33" s="1157">
        <f ca="1">IF(E35+F31-E33&gt;tesoreriasec,0,MIN(E33-E35-F31+tesoreriasec,Funding!$F$49))</f>
        <v>0</v>
      </c>
      <c r="G33" s="1157">
        <f ca="1">IF(F35+G31-F33&gt;tesoreriasec,0,MIN(F33-F35-G31+tesoreriasec,Funding!$F$49))</f>
        <v>0</v>
      </c>
      <c r="H33" s="1157">
        <f ca="1">IF(G35+H31-G33&gt;tesoreriasec,0,MIN(G33-G35-H31+tesoreriasec,Funding!$F$49))</f>
        <v>0</v>
      </c>
      <c r="I33" s="1157">
        <f ca="1">IF(H35+I31-H33&gt;tesoreriasec,0,MIN(H33-H35-I31+tesoreriasec,Funding!$F$49))</f>
        <v>0</v>
      </c>
      <c r="J33" s="1157">
        <f ca="1">IF(I35+J31-I33&gt;tesoreriasec,0,MIN(I33-I35-J31+tesoreriasec,Funding!$F$49))</f>
        <v>0</v>
      </c>
      <c r="K33" s="1157">
        <f ca="1">IF(J35+K31-J33&gt;tesoreriasec,0,MIN(J33-J35-K31+tesoreriasec,Funding!$F$49))</f>
        <v>0</v>
      </c>
      <c r="L33" s="1157">
        <f ca="1">IF(K35+L31-K33&gt;tesoreriasec,0,MIN(K33-K35-L31+tesoreriasec,Funding!$F$49))</f>
        <v>0</v>
      </c>
      <c r="M33" s="1157">
        <f ca="1">IF(L35+M31-L33&gt;tesoreriasec,0,MIN(L33-L35-M31+tesoreriasec,Funding!$F$49))</f>
        <v>0</v>
      </c>
      <c r="N33" s="1158">
        <f ca="1">IF(M35+N31-M33&gt;tesoreriasec,0,MIN(M33-M35-N31+tesoreriasec,Funding!$F$49))</f>
        <v>0</v>
      </c>
      <c r="O33" s="1159"/>
    </row>
    <row r="34" spans="1:15" s="288" customFormat="1" ht="21" customHeight="1" thickBot="1">
      <c r="A34" s="1170"/>
      <c r="B34" s="1160"/>
      <c r="C34" s="1161"/>
      <c r="D34" s="1161"/>
      <c r="E34" s="1161"/>
      <c r="F34" s="1161"/>
      <c r="G34" s="1161"/>
      <c r="H34" s="1161"/>
      <c r="I34" s="1161"/>
      <c r="J34" s="1161"/>
      <c r="K34" s="1161"/>
      <c r="L34" s="1161"/>
      <c r="M34" s="1161"/>
      <c r="O34" s="1162"/>
    </row>
    <row r="35" spans="1:15" s="288" customFormat="1" ht="21" customHeight="1" thickBot="1">
      <c r="A35" s="1169" t="str">
        <f>'Cash Flow 0'!A35</f>
        <v>Monthly Final Cash balance</v>
      </c>
      <c r="B35" s="1163">
        <f ca="1">'Cash Flow 1'!N35-(Funding!F9-Funding!F25+Funding!F19)</f>
        <v>-12108.752120000003</v>
      </c>
      <c r="C35" s="1164">
        <f t="array" ref="C35:N35" ca="1">B35:M35+C31:N31+C33:N33-B33:M33</f>
        <v>-12517.644557800004</v>
      </c>
      <c r="D35" s="1165">
        <f ca="1"/>
        <v>-12941.858022300004</v>
      </c>
      <c r="E35" s="1165">
        <f ca="1"/>
        <v>-13366.071486800005</v>
      </c>
      <c r="F35" s="1165">
        <f ca="1"/>
        <v>-13790.284951300006</v>
      </c>
      <c r="G35" s="1165">
        <f ca="1"/>
        <v>-14214.498415800006</v>
      </c>
      <c r="H35" s="1165">
        <f ca="1"/>
        <v>-14638.711880300007</v>
      </c>
      <c r="I35" s="1165">
        <f ca="1"/>
        <v>-15062.925344800007</v>
      </c>
      <c r="J35" s="1165">
        <f ca="1"/>
        <v>-15487.138809300008</v>
      </c>
      <c r="K35" s="1165">
        <f ca="1"/>
        <v>-15911.352273800008</v>
      </c>
      <c r="L35" s="1165">
        <f ca="1"/>
        <v>-16335.565738300009</v>
      </c>
      <c r="M35" s="1165">
        <f ca="1"/>
        <v>-16759.779202800008</v>
      </c>
      <c r="N35" s="1166">
        <f ca="1"/>
        <v>-17183.992667300008</v>
      </c>
      <c r="O35" s="1167"/>
    </row>
    <row r="36" spans="1:15" ht="18.75" customHeight="1">
      <c r="A36" s="4"/>
      <c r="B36" s="4"/>
    </row>
    <row r="37" spans="1:15" ht="18.75" customHeight="1">
      <c r="A37" s="4"/>
      <c r="B37" s="4"/>
    </row>
    <row r="38" spans="1:15" ht="18.75" customHeight="1">
      <c r="A38" s="307"/>
      <c r="B38" s="308"/>
      <c r="C38" s="305" t="str">
        <f t="array" ref="C38:D38">'Cash Flow 0'!C38:D38</f>
        <v>Amount</v>
      </c>
      <c r="D38" s="306" t="str">
        <v>month</v>
      </c>
    </row>
    <row r="39" spans="1:15" s="287" customFormat="1" ht="21" customHeight="1">
      <c r="A39" s="286"/>
      <c r="B39" s="304" t="str">
        <f t="array" ref="B39:B41">'Cash Flow 0'!B39:B41</f>
        <v>Maximum Cash overdraft</v>
      </c>
      <c r="C39" s="1650">
        <f ca="1">MAX(C33:N33)*0-MIN(C35:N35,0)</f>
        <v>17183.992667300008</v>
      </c>
      <c r="D39" s="1154" t="str">
        <f ca="1">IF(C39&lt;&gt;0,INDEX(C4:N4,1,MATCH(-C39,C35:N35,0)),"")</f>
        <v>December</v>
      </c>
      <c r="O39" s="288"/>
    </row>
    <row r="40" spans="1:15" s="287" customFormat="1" ht="18.75" customHeight="1">
      <c r="A40" s="286"/>
      <c r="B40" s="304" t="str">
        <v>Yearly Cash Flow</v>
      </c>
      <c r="C40" s="1651">
        <f ca="1">N35-B35+B33-N33</f>
        <v>-5075.2405473000053</v>
      </c>
      <c r="D40" s="1153"/>
      <c r="O40" s="288"/>
    </row>
    <row r="41" spans="1:15" s="287" customFormat="1" ht="21" customHeight="1">
      <c r="A41" s="286"/>
      <c r="B41" s="304" t="str">
        <v>Maximum Monthly Final Cash balance</v>
      </c>
      <c r="C41" s="1652">
        <f ca="1">MAX(C35:N35)</f>
        <v>-12517.644557800004</v>
      </c>
      <c r="D41" s="1154"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7"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49">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6" width="12" style="86" bestFit="1" customWidth="1"/>
    <col min="7" max="7" width="11.75" style="86" customWidth="1"/>
    <col min="8" max="8" width="12.25" style="86" bestFit="1" customWidth="1"/>
    <col min="9" max="9" width="11.75" style="86" bestFit="1" customWidth="1"/>
    <col min="10" max="10" width="12.125" style="86" customWidth="1"/>
    <col min="11" max="11" width="12.25" style="86" bestFit="1" customWidth="1"/>
    <col min="12" max="12" width="12" style="86" bestFit="1" customWidth="1"/>
    <col min="13" max="13" width="11.625" style="86" bestFit="1" customWidth="1"/>
    <col min="14" max="14" width="12" style="86" bestFit="1" customWidth="1"/>
    <col min="15" max="15" width="12.125" style="275" bestFit="1" customWidth="1"/>
    <col min="16" max="16384" width="11" style="86"/>
  </cols>
  <sheetData>
    <row r="1" spans="1:15" ht="22.5">
      <c r="A1" s="289" t="s">
        <v>785</v>
      </c>
      <c r="B1" s="271"/>
      <c r="E1" s="273"/>
      <c r="F1" s="2731" t="str">
        <f>Parameters!E$77</f>
        <v>Year 3:   2029</v>
      </c>
      <c r="G1" s="291"/>
      <c r="H1" s="273"/>
      <c r="I1" s="159"/>
      <c r="J1" s="274"/>
      <c r="K1" s="159"/>
    </row>
    <row r="2" spans="1:15" ht="25.5">
      <c r="A2" s="290" t="str">
        <f>'Base Data'!B9</f>
        <v>WWW, Ltd.</v>
      </c>
      <c r="B2" s="276"/>
      <c r="D2" s="270"/>
      <c r="F2" s="273"/>
      <c r="G2" s="159"/>
      <c r="H2" s="159"/>
      <c r="I2" s="159"/>
      <c r="J2" s="159"/>
      <c r="K2" s="159"/>
    </row>
    <row r="3" spans="1:15" ht="15.75" thickBot="1">
      <c r="A3" s="35"/>
      <c r="B3" s="35"/>
    </row>
    <row r="4" spans="1:15"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5" s="277" customFormat="1" ht="18" customHeight="1" thickBot="1">
      <c r="A5" s="296" t="str">
        <f t="array" ref="A5:A11">'Cash Flow 0'!A5:A11</f>
        <v>Cash Collections</v>
      </c>
      <c r="B5" s="278"/>
      <c r="C5" s="278"/>
      <c r="D5" s="278"/>
      <c r="E5" s="278"/>
      <c r="F5" s="278"/>
      <c r="G5" s="278"/>
      <c r="H5" s="278"/>
      <c r="I5" s="278"/>
      <c r="J5" s="278"/>
      <c r="K5" s="278"/>
      <c r="L5" s="278"/>
      <c r="M5" s="278"/>
      <c r="O5" s="299"/>
    </row>
    <row r="6" spans="1:15" ht="21" customHeight="1">
      <c r="A6" s="1178" t="str">
        <v>Sales Collection</v>
      </c>
      <c r="B6" s="1172"/>
      <c r="C6" s="2442">
        <f t="array" aca="1" ref="C6:N6" ca="1">'Collections &amp; Payments 3'!B28:M28</f>
        <v>1458.3862360099999</v>
      </c>
      <c r="D6" s="2442">
        <f ca="1"/>
        <v>1458.3862360099999</v>
      </c>
      <c r="E6" s="2442">
        <f ca="1"/>
        <v>1458.3862360099999</v>
      </c>
      <c r="F6" s="2442">
        <f ca="1"/>
        <v>1458.3862360099999</v>
      </c>
      <c r="G6" s="2442">
        <f ca="1"/>
        <v>1458.3862360099999</v>
      </c>
      <c r="H6" s="2442">
        <f ca="1"/>
        <v>1458.3862360099999</v>
      </c>
      <c r="I6" s="2442">
        <f ca="1"/>
        <v>1458.3862360099999</v>
      </c>
      <c r="J6" s="2442">
        <f ca="1"/>
        <v>1458.3862360099999</v>
      </c>
      <c r="K6" s="2442">
        <f ca="1"/>
        <v>1458.3862360099999</v>
      </c>
      <c r="L6" s="2442">
        <f ca="1"/>
        <v>1458.3862360099999</v>
      </c>
      <c r="M6" s="2442">
        <f ca="1"/>
        <v>1458.3862360099999</v>
      </c>
      <c r="N6" s="2443">
        <f ca="1"/>
        <v>1458.3862360099999</v>
      </c>
      <c r="O6" s="2444">
        <f t="shared" ref="O6:O11" ca="1" si="0">SUM(C6:N6)</f>
        <v>17500.634832119995</v>
      </c>
    </row>
    <row r="7" spans="1:15" ht="21" customHeight="1">
      <c r="A7" s="1179" t="str">
        <v>Deferred / Recovered Defaults</v>
      </c>
      <c r="B7" s="1175"/>
      <c r="C7" s="2445">
        <f t="array" aca="1" ref="C7:N7" ca="1">+recmorosos*'Collections &amp; Payments 2'!$S$31/12
+Funding!$G$19*Parameters!B56:M56</f>
        <v>0</v>
      </c>
      <c r="D7" s="2445">
        <f ca="1"/>
        <v>0</v>
      </c>
      <c r="E7" s="2445">
        <f ca="1"/>
        <v>0</v>
      </c>
      <c r="F7" s="2445">
        <f ca="1"/>
        <v>0</v>
      </c>
      <c r="G7" s="2445">
        <f ca="1"/>
        <v>0</v>
      </c>
      <c r="H7" s="2445">
        <f ca="1"/>
        <v>0</v>
      </c>
      <c r="I7" s="2445">
        <f ca="1"/>
        <v>0</v>
      </c>
      <c r="J7" s="2445">
        <f ca="1"/>
        <v>0</v>
      </c>
      <c r="K7" s="2445">
        <f ca="1"/>
        <v>0</v>
      </c>
      <c r="L7" s="2445">
        <f ca="1"/>
        <v>0</v>
      </c>
      <c r="M7" s="2445">
        <f ca="1"/>
        <v>0</v>
      </c>
      <c r="N7" s="2446">
        <f ca="1"/>
        <v>0</v>
      </c>
      <c r="O7" s="2447">
        <f t="shared" ca="1" si="0"/>
        <v>0</v>
      </c>
    </row>
    <row r="8" spans="1:15" ht="21" customHeight="1">
      <c r="A8" s="1179" t="str">
        <v>Other Cash Collections</v>
      </c>
      <c r="B8" s="1173"/>
      <c r="C8" s="2445">
        <v>0</v>
      </c>
      <c r="D8" s="2445">
        <v>0</v>
      </c>
      <c r="E8" s="2445">
        <v>0</v>
      </c>
      <c r="F8" s="2445">
        <v>0</v>
      </c>
      <c r="G8" s="2445">
        <v>0</v>
      </c>
      <c r="H8" s="2445">
        <v>0</v>
      </c>
      <c r="I8" s="2445">
        <v>0</v>
      </c>
      <c r="J8" s="2445">
        <f ca="1">IF('Personal Income Tax'!M25&lt;0,-'Personal Income Tax'!M25*'Personal Income Tax'!M19,0)</f>
        <v>0</v>
      </c>
      <c r="K8" s="2445">
        <v>0</v>
      </c>
      <c r="L8" s="2445">
        <v>0</v>
      </c>
      <c r="M8" s="2445">
        <v>0</v>
      </c>
      <c r="N8" s="2446">
        <f ca="1">IF('Corporate Income Tax'!$G$23&lt;0,-'Corporate Income Tax'!$G$23,0)</f>
        <v>0</v>
      </c>
      <c r="O8" s="2447">
        <f t="shared" ca="1" si="0"/>
        <v>0</v>
      </c>
    </row>
    <row r="9" spans="1:15" ht="21" customHeight="1">
      <c r="A9" s="1179" t="str">
        <v>VAT Refunds</v>
      </c>
      <c r="B9" s="1173"/>
      <c r="C9" s="2445">
        <f t="array" ref="C9:N9">'VAT 3'!C26:N26</f>
        <v>0</v>
      </c>
      <c r="D9" s="2445">
        <v>0</v>
      </c>
      <c r="E9" s="2445">
        <v>0</v>
      </c>
      <c r="F9" s="2445">
        <v>0</v>
      </c>
      <c r="G9" s="2445">
        <v>0</v>
      </c>
      <c r="H9" s="2445">
        <f ca="1"/>
        <v>0</v>
      </c>
      <c r="I9" s="2445">
        <v>0</v>
      </c>
      <c r="J9" s="2445">
        <v>0</v>
      </c>
      <c r="K9" s="2445">
        <v>0</v>
      </c>
      <c r="L9" s="2445">
        <v>0</v>
      </c>
      <c r="M9" s="2445">
        <v>0</v>
      </c>
      <c r="N9" s="2446">
        <v>0</v>
      </c>
      <c r="O9" s="2447">
        <f t="shared" ca="1" si="0"/>
        <v>0</v>
      </c>
    </row>
    <row r="10" spans="1:15" ht="21" customHeight="1">
      <c r="A10" s="1179" t="str">
        <v>Financial income</v>
      </c>
      <c r="B10" s="1173"/>
      <c r="C10" s="2445">
        <f t="array" ref="C10:N10" ca="1">'Financial Expenses'!C102:N102</f>
        <v>0</v>
      </c>
      <c r="D10" s="2445">
        <f ca="1"/>
        <v>0</v>
      </c>
      <c r="E10" s="2445">
        <f ca="1"/>
        <v>0</v>
      </c>
      <c r="F10" s="2445">
        <f ca="1"/>
        <v>0</v>
      </c>
      <c r="G10" s="2445">
        <f ca="1"/>
        <v>0</v>
      </c>
      <c r="H10" s="2445">
        <f ca="1"/>
        <v>0</v>
      </c>
      <c r="I10" s="2445">
        <f ca="1"/>
        <v>0</v>
      </c>
      <c r="J10" s="2445">
        <f ca="1"/>
        <v>0</v>
      </c>
      <c r="K10" s="2445">
        <f ca="1"/>
        <v>0</v>
      </c>
      <c r="L10" s="2445">
        <f ca="1"/>
        <v>0</v>
      </c>
      <c r="M10" s="2445">
        <f ca="1"/>
        <v>0</v>
      </c>
      <c r="N10" s="2446">
        <f ca="1"/>
        <v>0</v>
      </c>
      <c r="O10" s="2447">
        <f t="shared" ca="1" si="0"/>
        <v>0</v>
      </c>
    </row>
    <row r="11" spans="1:15" s="275" customFormat="1" ht="21" customHeight="1" thickBot="1">
      <c r="A11" s="1176" t="str">
        <v>Monthly Collection Budget</v>
      </c>
      <c r="B11" s="1177"/>
      <c r="C11" s="2448">
        <f t="shared" ref="C11:N11" ca="1" si="1">SUM(C6:C10)</f>
        <v>1458.3862360099999</v>
      </c>
      <c r="D11" s="2448">
        <f t="shared" ca="1" si="1"/>
        <v>1458.3862360099999</v>
      </c>
      <c r="E11" s="2448">
        <f t="shared" ca="1" si="1"/>
        <v>1458.3862360099999</v>
      </c>
      <c r="F11" s="2448">
        <f t="shared" ca="1" si="1"/>
        <v>1458.3862360099999</v>
      </c>
      <c r="G11" s="2448">
        <f t="shared" ca="1" si="1"/>
        <v>1458.3862360099999</v>
      </c>
      <c r="H11" s="2448">
        <f t="shared" ca="1" si="1"/>
        <v>1458.3862360099999</v>
      </c>
      <c r="I11" s="2448">
        <f t="shared" ca="1" si="1"/>
        <v>1458.3862360099999</v>
      </c>
      <c r="J11" s="2448">
        <f t="shared" ca="1" si="1"/>
        <v>1458.3862360099999</v>
      </c>
      <c r="K11" s="2448">
        <f t="shared" ca="1" si="1"/>
        <v>1458.3862360099999</v>
      </c>
      <c r="L11" s="2448">
        <f t="shared" ca="1" si="1"/>
        <v>1458.3862360099999</v>
      </c>
      <c r="M11" s="2448">
        <f t="shared" ca="1" si="1"/>
        <v>1458.3862360099999</v>
      </c>
      <c r="N11" s="2449">
        <f t="shared" ca="1" si="1"/>
        <v>1458.3862360099999</v>
      </c>
      <c r="O11" s="2450">
        <f t="shared" ca="1" si="0"/>
        <v>17500.634832119995</v>
      </c>
    </row>
    <row r="12" spans="1:15" s="275" customFormat="1" ht="9.75" customHeight="1">
      <c r="A12" s="294"/>
      <c r="B12" s="280"/>
      <c r="C12" s="280"/>
      <c r="D12" s="280"/>
      <c r="E12" s="280"/>
      <c r="F12" s="280"/>
      <c r="G12" s="280"/>
      <c r="H12" s="280"/>
      <c r="I12" s="280"/>
      <c r="J12" s="280"/>
      <c r="K12" s="280"/>
      <c r="L12" s="280"/>
      <c r="M12" s="280"/>
      <c r="N12" s="280"/>
      <c r="O12" s="300"/>
    </row>
    <row r="13" spans="1:15" s="275" customFormat="1" ht="21" customHeight="1" thickBot="1">
      <c r="A13" s="296" t="str">
        <f t="array" ref="A13:A17">'Cash Flow 0'!A13:A17</f>
        <v>PAYMENTS</v>
      </c>
      <c r="B13" s="281"/>
      <c r="C13" s="281"/>
      <c r="D13" s="281"/>
      <c r="E13" s="281"/>
      <c r="F13" s="281"/>
      <c r="G13" s="281"/>
      <c r="H13" s="281"/>
      <c r="I13" s="281"/>
      <c r="J13" s="281"/>
      <c r="K13" s="281"/>
      <c r="L13" s="281"/>
      <c r="M13" s="281"/>
      <c r="N13" s="281"/>
      <c r="O13" s="301"/>
    </row>
    <row r="14" spans="1:15" s="288" customFormat="1" ht="21" customHeight="1">
      <c r="A14" s="1178" t="str">
        <v>Fixed Expenses payments ( VAT incl.)</v>
      </c>
      <c r="B14" s="1172"/>
      <c r="C14" s="1184">
        <f ca="1">'Fixed Expenses 3'!B58+'Fixed Expenses 3'!B60</f>
        <v>1476.0383408723001</v>
      </c>
      <c r="D14" s="1184">
        <f ca="1">'Fixed Expenses 3'!C58+'Fixed Expenses 3'!C60</f>
        <v>1476.0383408723001</v>
      </c>
      <c r="E14" s="1184">
        <f ca="1">'Fixed Expenses 3'!D58+'Fixed Expenses 3'!D60</f>
        <v>1476.0383408723001</v>
      </c>
      <c r="F14" s="1184">
        <f ca="1">'Fixed Expenses 3'!E58+'Fixed Expenses 3'!E60</f>
        <v>1476.0383408723001</v>
      </c>
      <c r="G14" s="1184">
        <f ca="1">'Fixed Expenses 3'!F58+'Fixed Expenses 3'!F60</f>
        <v>1476.0383408723001</v>
      </c>
      <c r="H14" s="1184">
        <f ca="1">'Fixed Expenses 3'!G58+'Fixed Expenses 3'!G60</f>
        <v>1476.0383408723001</v>
      </c>
      <c r="I14" s="1184">
        <f ca="1">'Fixed Expenses 3'!H58+'Fixed Expenses 3'!H60</f>
        <v>1476.0383408723001</v>
      </c>
      <c r="J14" s="1184">
        <f ca="1">'Fixed Expenses 3'!I58+'Fixed Expenses 3'!I60</f>
        <v>1476.0383408723001</v>
      </c>
      <c r="K14" s="1184">
        <f ca="1">'Fixed Expenses 3'!J58+'Fixed Expenses 3'!J60</f>
        <v>1476.0383408723001</v>
      </c>
      <c r="L14" s="1184">
        <f ca="1">'Fixed Expenses 3'!K58+'Fixed Expenses 3'!K60</f>
        <v>1476.0383408723001</v>
      </c>
      <c r="M14" s="1184">
        <f ca="1">'Fixed Expenses 3'!L58+'Fixed Expenses 3'!L60</f>
        <v>1476.0383408723001</v>
      </c>
      <c r="N14" s="1185">
        <f ca="1">'Fixed Expenses 3'!M58+'Fixed Expenses 3'!M60</f>
        <v>1476.0383408723001</v>
      </c>
      <c r="O14" s="1186">
        <f ca="1">SUM(C14:N14)</f>
        <v>17712.460090467597</v>
      </c>
    </row>
    <row r="15" spans="1:15" s="287" customFormat="1" ht="21" customHeight="1">
      <c r="A15" s="1179" t="str">
        <v>Purchases &amp; Direct Costs payments  ( VAT incl.)</v>
      </c>
      <c r="B15" s="1173"/>
      <c r="C15" s="1187">
        <f t="array" aca="1" ref="C15:N15" ca="1">'Collections &amp; Payments 3'!B55:M55</f>
        <v>145.83862360099999</v>
      </c>
      <c r="D15" s="1187">
        <f ca="1"/>
        <v>145.83862360099999</v>
      </c>
      <c r="E15" s="1187">
        <f ca="1"/>
        <v>145.83862360099999</v>
      </c>
      <c r="F15" s="1187">
        <f ca="1"/>
        <v>145.83862360099999</v>
      </c>
      <c r="G15" s="1187">
        <f ca="1"/>
        <v>145.83862360099999</v>
      </c>
      <c r="H15" s="1187">
        <f ca="1"/>
        <v>145.83862360099999</v>
      </c>
      <c r="I15" s="1187">
        <f ca="1"/>
        <v>145.83862360099999</v>
      </c>
      <c r="J15" s="1187">
        <f ca="1"/>
        <v>145.83862360099999</v>
      </c>
      <c r="K15" s="1187">
        <f ca="1"/>
        <v>145.83862360099999</v>
      </c>
      <c r="L15" s="1187">
        <f ca="1"/>
        <v>145.83862360099999</v>
      </c>
      <c r="M15" s="1187">
        <f ca="1"/>
        <v>145.83862360099999</v>
      </c>
      <c r="N15" s="1188">
        <f ca="1"/>
        <v>145.83862360099999</v>
      </c>
      <c r="O15" s="1189">
        <f ca="1">SUM(C15:N15)</f>
        <v>1750.0634832120004</v>
      </c>
    </row>
    <row r="16" spans="1:15" s="287" customFormat="1" ht="21" customHeight="1">
      <c r="A16" s="1179" t="str">
        <v>Financial Expenses Payments</v>
      </c>
      <c r="B16" s="1173"/>
      <c r="C16" s="1187">
        <f t="array" ref="C16:N16" ca="1">'Financial Expenses'!C64:N64+'Financial Expenses'!C60:N60*Parameters!$F$33*0</f>
        <v>14.583862360099999</v>
      </c>
      <c r="D16" s="1187">
        <f ca="1"/>
        <v>14.583862360099999</v>
      </c>
      <c r="E16" s="1187">
        <f ca="1"/>
        <v>14.583862360099999</v>
      </c>
      <c r="F16" s="1187">
        <f ca="1"/>
        <v>14.583862360099999</v>
      </c>
      <c r="G16" s="1187">
        <f ca="1"/>
        <v>14.583862360099999</v>
      </c>
      <c r="H16" s="1187">
        <f ca="1"/>
        <v>14.583862360099999</v>
      </c>
      <c r="I16" s="1187">
        <f ca="1"/>
        <v>14.583862360099999</v>
      </c>
      <c r="J16" s="1187">
        <f ca="1"/>
        <v>14.583862360099999</v>
      </c>
      <c r="K16" s="1187">
        <f ca="1"/>
        <v>14.583862360099999</v>
      </c>
      <c r="L16" s="1187">
        <f ca="1"/>
        <v>14.583862360099999</v>
      </c>
      <c r="M16" s="1187">
        <f ca="1"/>
        <v>14.583862360099999</v>
      </c>
      <c r="N16" s="1188">
        <f ca="1"/>
        <v>14.583862360099999</v>
      </c>
      <c r="O16" s="1189">
        <f ca="1">SUM(C16:N16)</f>
        <v>175.00634832119999</v>
      </c>
    </row>
    <row r="17" spans="1:15" s="287" customFormat="1" ht="21" customHeight="1">
      <c r="A17" s="1179" t="str">
        <v>Leasing / Renting quotes input VAT payments</v>
      </c>
      <c r="B17" s="1173"/>
      <c r="C17" s="1187">
        <f t="array" ref="C17:N17">+Leasing!B48:M48+Renting!B45:M45</f>
        <v>0</v>
      </c>
      <c r="D17" s="1187">
        <v>0</v>
      </c>
      <c r="E17" s="1187">
        <v>0</v>
      </c>
      <c r="F17" s="1187">
        <v>0</v>
      </c>
      <c r="G17" s="1187">
        <v>0</v>
      </c>
      <c r="H17" s="1187">
        <v>0</v>
      </c>
      <c r="I17" s="1187">
        <v>0</v>
      </c>
      <c r="J17" s="1187">
        <v>0</v>
      </c>
      <c r="K17" s="1187">
        <v>0</v>
      </c>
      <c r="L17" s="1187">
        <v>0</v>
      </c>
      <c r="M17" s="1187">
        <v>0</v>
      </c>
      <c r="N17" s="1188">
        <v>0</v>
      </c>
      <c r="O17" s="1189">
        <f>SUM(C17:N17)</f>
        <v>0</v>
      </c>
    </row>
    <row r="18" spans="1:15" s="287" customFormat="1" ht="9.75" customHeight="1">
      <c r="A18" s="1180"/>
      <c r="C18" s="1706"/>
      <c r="D18" s="1707"/>
      <c r="E18" s="1708"/>
      <c r="F18" s="1707"/>
      <c r="G18" s="1707"/>
      <c r="H18" s="1707"/>
      <c r="I18" s="1707"/>
      <c r="J18" s="1707"/>
      <c r="K18" s="1707"/>
      <c r="L18" s="1707"/>
      <c r="M18" s="1707"/>
      <c r="N18" s="1709"/>
      <c r="O18" s="1710"/>
    </row>
    <row r="19" spans="1:15" s="287" customFormat="1" ht="21" customHeight="1">
      <c r="A19" s="1182" t="str">
        <f t="array" ref="A19:A25">'Cash Flow 0'!A19:A25</f>
        <v>Other payments</v>
      </c>
      <c r="B19" s="1174"/>
      <c r="C19" s="1190"/>
      <c r="D19" s="1191"/>
      <c r="E19" s="1192"/>
      <c r="F19" s="1191"/>
      <c r="G19" s="1191"/>
      <c r="H19" s="1191"/>
      <c r="I19" s="1191"/>
      <c r="J19" s="1191"/>
      <c r="K19" s="1191"/>
      <c r="L19" s="1191"/>
      <c r="M19" s="1191"/>
      <c r="N19" s="1193"/>
      <c r="O19" s="1194"/>
    </row>
    <row r="20" spans="1:15" s="287" customFormat="1" ht="21" customHeight="1">
      <c r="A20" s="1179" t="str">
        <v>Debt repayment (mortgages &amp; leasings)</v>
      </c>
      <c r="B20" s="1173"/>
      <c r="C20" s="1187">
        <f t="array" ref="C20:N20">Loans!B48:M48+Leasing!B47:M47</f>
        <v>0</v>
      </c>
      <c r="D20" s="1187">
        <v>0</v>
      </c>
      <c r="E20" s="1187">
        <v>0</v>
      </c>
      <c r="F20" s="1187">
        <v>0</v>
      </c>
      <c r="G20" s="1187">
        <v>0</v>
      </c>
      <c r="H20" s="1187">
        <v>0</v>
      </c>
      <c r="I20" s="1187">
        <v>0</v>
      </c>
      <c r="J20" s="1187">
        <v>0</v>
      </c>
      <c r="K20" s="1187">
        <v>0</v>
      </c>
      <c r="L20" s="1187">
        <v>0</v>
      </c>
      <c r="M20" s="1187">
        <v>0</v>
      </c>
      <c r="N20" s="1188">
        <v>0</v>
      </c>
      <c r="O20" s="1189">
        <f>SUM(C20:N20)</f>
        <v>0</v>
      </c>
    </row>
    <row r="21" spans="1:15" s="287" customFormat="1" ht="21" customHeight="1">
      <c r="A21" s="1179" t="str">
        <v>Other Out-flows</v>
      </c>
      <c r="B21" s="1173"/>
      <c r="C21" s="1187">
        <v>0</v>
      </c>
      <c r="D21" s="1187">
        <v>0</v>
      </c>
      <c r="E21" s="1187">
        <v>0</v>
      </c>
      <c r="F21" s="1187">
        <v>0</v>
      </c>
      <c r="G21" s="1187">
        <v>0</v>
      </c>
      <c r="H21" s="1187">
        <v>0</v>
      </c>
      <c r="I21" s="1187">
        <v>0</v>
      </c>
      <c r="J21" s="1187">
        <v>0</v>
      </c>
      <c r="K21" s="1187">
        <v>0</v>
      </c>
      <c r="L21" s="1187">
        <v>0</v>
      </c>
      <c r="M21" s="1187">
        <v>0</v>
      </c>
      <c r="N21" s="1188">
        <v>0</v>
      </c>
      <c r="O21" s="1189">
        <f>SUM(C21:N21)</f>
        <v>0</v>
      </c>
    </row>
    <row r="22" spans="1:15" s="287" customFormat="1" ht="21" customHeight="1">
      <c r="A22" s="1179" t="str">
        <v>VAT Settlements payments</v>
      </c>
      <c r="B22" s="1173"/>
      <c r="C22" s="1187">
        <f t="array" aca="1" ref="C22:N22" ca="1">'VAT 3'!C24:N24</f>
        <v>203.10890669999998</v>
      </c>
      <c r="D22" s="1187">
        <f ca="1"/>
        <v>219.77907026669999</v>
      </c>
      <c r="E22" s="1187">
        <f ca="1"/>
        <v>219.77907026669999</v>
      </c>
      <c r="F22" s="1187">
        <f ca="1"/>
        <v>219.77907026669999</v>
      </c>
      <c r="G22" s="1187">
        <f ca="1"/>
        <v>219.77907026669999</v>
      </c>
      <c r="H22" s="1187">
        <f ca="1"/>
        <v>219.77907026669999</v>
      </c>
      <c r="I22" s="1187">
        <f ca="1"/>
        <v>219.77907026669999</v>
      </c>
      <c r="J22" s="1187">
        <f ca="1"/>
        <v>219.77907026669999</v>
      </c>
      <c r="K22" s="1187">
        <f ca="1"/>
        <v>219.77907026669999</v>
      </c>
      <c r="L22" s="1187">
        <f ca="1"/>
        <v>219.77907026669999</v>
      </c>
      <c r="M22" s="1187">
        <f ca="1"/>
        <v>219.77907026669999</v>
      </c>
      <c r="N22" s="1188">
        <f ca="1"/>
        <v>219.77907026669999</v>
      </c>
      <c r="O22" s="1189">
        <f ca="1">SUM(C22:N22)</f>
        <v>2620.6786796336996</v>
      </c>
    </row>
    <row r="23" spans="1:15" s="287" customFormat="1" ht="21" customHeight="1">
      <c r="A23" s="1179" t="str">
        <v>Income Tax payments</v>
      </c>
      <c r="B23" s="1173"/>
      <c r="C23" s="1187">
        <f ca="1">'Personal Income Tax Calc.'!N31</f>
        <v>0</v>
      </c>
      <c r="D23" s="1187"/>
      <c r="E23" s="1187"/>
      <c r="F23" s="1187">
        <f ca="1">'Corporate Income Tax'!J18+'Personal Income Tax Calc.'!E40</f>
        <v>0</v>
      </c>
      <c r="G23" s="1187"/>
      <c r="H23" s="1187">
        <f ca="1">IF('Personal Income Tax'!M25&lt;0,0,'Personal Income Tax'!M25*'Personal Income Tax'!M19)</f>
        <v>0</v>
      </c>
      <c r="I23" s="1187">
        <f ca="1">IF('Corporate Income Tax'!G23&gt;0,'Corporate Income Tax'!G23,0)+'Personal Income Tax Calc.'!H40
+'Corporate Income Tax'!$G$32/2</f>
        <v>0</v>
      </c>
      <c r="J23" s="1187"/>
      <c r="K23" s="1187"/>
      <c r="L23" s="1187">
        <f ca="1">'Corporate Income Tax'!J19+'Personal Income Tax Calc.'!K40</f>
        <v>0</v>
      </c>
      <c r="M23" s="1187"/>
      <c r="N23" s="1188">
        <f ca="1">'Corporate Income Tax'!J20
+'Corporate Income Tax'!$G$32/2</f>
        <v>0</v>
      </c>
      <c r="O23" s="1189">
        <f ca="1">SUM(C23:N23)</f>
        <v>0</v>
      </c>
    </row>
    <row r="24" spans="1:15" s="287" customFormat="1" ht="21" customHeight="1">
      <c r="A24" s="1179" t="str">
        <v>Long Term Creditors payments</v>
      </c>
      <c r="B24" s="1173"/>
      <c r="C24" s="1187">
        <f t="array" ref="C24:N24">'Unusual payments &amp; Collections'!B94:M94</f>
        <v>0</v>
      </c>
      <c r="D24" s="1187">
        <v>0</v>
      </c>
      <c r="E24" s="1187">
        <v>0</v>
      </c>
      <c r="F24" s="1187">
        <v>0</v>
      </c>
      <c r="G24" s="1187">
        <v>0</v>
      </c>
      <c r="H24" s="1187">
        <v>0</v>
      </c>
      <c r="I24" s="1187">
        <v>0</v>
      </c>
      <c r="J24" s="1187">
        <v>0</v>
      </c>
      <c r="K24" s="1187">
        <v>0</v>
      </c>
      <c r="L24" s="1187">
        <v>0</v>
      </c>
      <c r="M24" s="1187">
        <v>0</v>
      </c>
      <c r="N24" s="1188">
        <v>0</v>
      </c>
      <c r="O24" s="1189">
        <f>SUM(C24:N24)</f>
        <v>0</v>
      </c>
    </row>
    <row r="25" spans="1:15" s="288" customFormat="1" ht="21" customHeight="1" thickBot="1">
      <c r="A25" s="1183" t="str">
        <v>Total Payments forecast</v>
      </c>
      <c r="B25" s="1177"/>
      <c r="C25" s="1195">
        <f t="shared" ref="C25:N25" ca="1" si="2">SUM(C14:C24)</f>
        <v>1839.5697335334003</v>
      </c>
      <c r="D25" s="1195">
        <f t="shared" ca="1" si="2"/>
        <v>1856.2398971001003</v>
      </c>
      <c r="E25" s="1195">
        <f t="shared" ca="1" si="2"/>
        <v>1856.2398971001003</v>
      </c>
      <c r="F25" s="1195">
        <f t="shared" ca="1" si="2"/>
        <v>1856.2398971001003</v>
      </c>
      <c r="G25" s="1195">
        <f t="shared" ca="1" si="2"/>
        <v>1856.2398971001003</v>
      </c>
      <c r="H25" s="1195">
        <f t="shared" ca="1" si="2"/>
        <v>1856.2398971001003</v>
      </c>
      <c r="I25" s="1195">
        <f t="shared" ca="1" si="2"/>
        <v>1856.2398971001003</v>
      </c>
      <c r="J25" s="1195">
        <f t="shared" ca="1" si="2"/>
        <v>1856.2398971001003</v>
      </c>
      <c r="K25" s="1195">
        <f t="shared" ca="1" si="2"/>
        <v>1856.2398971001003</v>
      </c>
      <c r="L25" s="1195">
        <f t="shared" ca="1" si="2"/>
        <v>1856.2398971001003</v>
      </c>
      <c r="M25" s="1195">
        <f t="shared" ca="1" si="2"/>
        <v>1856.2398971001003</v>
      </c>
      <c r="N25" s="1196">
        <f t="shared" ca="1" si="2"/>
        <v>1856.2398971001003</v>
      </c>
      <c r="O25" s="1197">
        <f ca="1">SUM(O14:O24)</f>
        <v>22258.208601634498</v>
      </c>
    </row>
    <row r="26" spans="1:15" s="275" customFormat="1" ht="21" customHeight="1">
      <c r="A26" s="294"/>
      <c r="B26" s="315"/>
      <c r="C26" s="283"/>
      <c r="D26" s="283"/>
      <c r="E26" s="283"/>
      <c r="F26" s="283"/>
      <c r="G26" s="283"/>
      <c r="H26" s="283"/>
      <c r="I26" s="283"/>
      <c r="J26" s="283"/>
      <c r="K26" s="283"/>
      <c r="L26" s="283"/>
      <c r="M26" s="283"/>
      <c r="O26" s="302"/>
    </row>
    <row r="27" spans="1:15" s="275" customFormat="1" ht="21" customHeight="1" thickBot="1">
      <c r="A27" s="294"/>
      <c r="B27" s="282"/>
      <c r="C27" s="283"/>
      <c r="D27" s="283"/>
      <c r="E27" s="283"/>
      <c r="F27" s="283"/>
      <c r="G27" s="283"/>
      <c r="H27" s="283"/>
      <c r="I27" s="283"/>
      <c r="J27" s="283"/>
      <c r="K27" s="283"/>
      <c r="L27" s="283"/>
      <c r="M27" s="283"/>
      <c r="O27" s="302"/>
    </row>
    <row r="28" spans="1:15" s="277" customFormat="1" ht="18" customHeight="1" thickBot="1">
      <c r="A28" s="312" t="str">
        <f t="array" ref="A28:A31">'Cash Flow 0'!A28:A31</f>
        <v>Cash Flow Budget</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5" s="275" customFormat="1" ht="21" customHeight="1" thickBot="1">
      <c r="A29" s="313" t="str">
        <v>Monthly Cash Collection forecast</v>
      </c>
      <c r="B29" s="284"/>
      <c r="C29" s="610">
        <f t="array" ref="C29:N29" ca="1">C11:N11</f>
        <v>1458.3862360099999</v>
      </c>
      <c r="D29" s="610">
        <f ca="1"/>
        <v>1458.3862360099999</v>
      </c>
      <c r="E29" s="610">
        <f ca="1"/>
        <v>1458.3862360099999</v>
      </c>
      <c r="F29" s="610">
        <f ca="1"/>
        <v>1458.3862360099999</v>
      </c>
      <c r="G29" s="610">
        <f ca="1"/>
        <v>1458.3862360099999</v>
      </c>
      <c r="H29" s="610">
        <f ca="1"/>
        <v>1458.3862360099999</v>
      </c>
      <c r="I29" s="610">
        <f ca="1"/>
        <v>1458.3862360099999</v>
      </c>
      <c r="J29" s="610">
        <f ca="1"/>
        <v>1458.3862360099999</v>
      </c>
      <c r="K29" s="610">
        <f ca="1"/>
        <v>1458.3862360099999</v>
      </c>
      <c r="L29" s="610">
        <f ca="1"/>
        <v>1458.3862360099999</v>
      </c>
      <c r="M29" s="610">
        <f ca="1"/>
        <v>1458.3862360099999</v>
      </c>
      <c r="N29" s="611">
        <f ca="1"/>
        <v>1458.3862360099999</v>
      </c>
      <c r="O29" s="612">
        <f ca="1">SUM(C29:N29)</f>
        <v>17500.634832119995</v>
      </c>
    </row>
    <row r="30" spans="1:15" s="275" customFormat="1" ht="21" customHeight="1" thickBot="1">
      <c r="A30" s="313" t="str">
        <v>Monthly payments forecast</v>
      </c>
      <c r="B30" s="279"/>
      <c r="C30" s="613">
        <f t="array" ref="C30:N30" ca="1">C25:N25</f>
        <v>1839.5697335334003</v>
      </c>
      <c r="D30" s="613">
        <f ca="1"/>
        <v>1856.2398971001003</v>
      </c>
      <c r="E30" s="613">
        <f ca="1"/>
        <v>1856.2398971001003</v>
      </c>
      <c r="F30" s="613">
        <f ca="1"/>
        <v>1856.2398971001003</v>
      </c>
      <c r="G30" s="613">
        <f ca="1"/>
        <v>1856.2398971001003</v>
      </c>
      <c r="H30" s="613">
        <f ca="1"/>
        <v>1856.2398971001003</v>
      </c>
      <c r="I30" s="613">
        <f ca="1"/>
        <v>1856.2398971001003</v>
      </c>
      <c r="J30" s="613">
        <f ca="1"/>
        <v>1856.2398971001003</v>
      </c>
      <c r="K30" s="613">
        <f ca="1"/>
        <v>1856.2398971001003</v>
      </c>
      <c r="L30" s="613">
        <f ca="1"/>
        <v>1856.2398971001003</v>
      </c>
      <c r="M30" s="613">
        <f ca="1"/>
        <v>1856.2398971001003</v>
      </c>
      <c r="N30" s="614">
        <f ca="1"/>
        <v>1856.2398971001003</v>
      </c>
      <c r="O30" s="612">
        <f ca="1">SUM(C30:N30)</f>
        <v>22258.208601634506</v>
      </c>
    </row>
    <row r="31" spans="1:15" s="275" customFormat="1" ht="21" customHeight="1" thickBot="1">
      <c r="A31" s="314" t="str">
        <v>Monthly Cash Flow Forecast</v>
      </c>
      <c r="B31" s="284"/>
      <c r="C31" s="615">
        <f t="array" ref="C31:N31" ca="1">C29:N29-C30:N30</f>
        <v>-381.18349752340032</v>
      </c>
      <c r="D31" s="615">
        <f ca="1"/>
        <v>-397.85366109010033</v>
      </c>
      <c r="E31" s="615">
        <f ca="1"/>
        <v>-397.85366109010033</v>
      </c>
      <c r="F31" s="615">
        <f ca="1"/>
        <v>-397.85366109010033</v>
      </c>
      <c r="G31" s="615">
        <f ca="1"/>
        <v>-397.85366109010033</v>
      </c>
      <c r="H31" s="615">
        <f ca="1"/>
        <v>-397.85366109010033</v>
      </c>
      <c r="I31" s="615">
        <f ca="1"/>
        <v>-397.85366109010033</v>
      </c>
      <c r="J31" s="615">
        <f ca="1"/>
        <v>-397.85366109010033</v>
      </c>
      <c r="K31" s="615">
        <f ca="1"/>
        <v>-397.85366109010033</v>
      </c>
      <c r="L31" s="615">
        <f ca="1"/>
        <v>-397.85366109010033</v>
      </c>
      <c r="M31" s="615">
        <f ca="1"/>
        <v>-397.85366109010033</v>
      </c>
      <c r="N31" s="616">
        <f ca="1"/>
        <v>-397.85366109010033</v>
      </c>
      <c r="O31" s="617">
        <f ca="1">O29-O30</f>
        <v>-4757.5737695145108</v>
      </c>
    </row>
    <row r="32" spans="1:15"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tr">
        <f>'Cash Flow 0'!A33</f>
        <v>Credit account used amount</v>
      </c>
      <c r="B33" s="1155">
        <f ca="1">'Cash Flow 2'!N33</f>
        <v>0</v>
      </c>
      <c r="C33" s="1156">
        <f ca="1">IF(B35+C31-B33&gt;tesoreriasec,0,MIN(B33-B35-C31+tesoreriasec,Funding!$G$49))</f>
        <v>0</v>
      </c>
      <c r="D33" s="1157">
        <f ca="1">IF(C35+D31-C33&gt;tesoreriasec,0,MIN(C33-C35-D31+tesoreriasec,Funding!$G$49))</f>
        <v>0</v>
      </c>
      <c r="E33" s="1157">
        <f ca="1">IF(D35+E31-D33&gt;tesoreriasec,0,MIN(D33-D35-E31+tesoreriasec,Funding!$G$49))</f>
        <v>0</v>
      </c>
      <c r="F33" s="1157">
        <f ca="1">IF(E35+F31-E33&gt;tesoreriasec,0,MIN(E33-E35-F31+tesoreriasec,Funding!$G$49))</f>
        <v>0</v>
      </c>
      <c r="G33" s="1157">
        <f ca="1">IF(F35+G31-F33&gt;tesoreriasec,0,MIN(F33-F35-G31+tesoreriasec,Funding!$G$49))</f>
        <v>0</v>
      </c>
      <c r="H33" s="1157">
        <f ca="1">IF(G35+H31-G33&gt;tesoreriasec,0,MIN(G33-G35-H31+tesoreriasec,Funding!$G$49))</f>
        <v>0</v>
      </c>
      <c r="I33" s="1157">
        <f ca="1">IF(H35+I31-H33&gt;tesoreriasec,0,MIN(H33-H35-I31+tesoreriasec,Funding!$G$49))</f>
        <v>0</v>
      </c>
      <c r="J33" s="1157">
        <f ca="1">IF(I35+J31-I33&gt;tesoreriasec,0,MIN(I33-I35-J31+tesoreriasec,Funding!$G$49))</f>
        <v>0</v>
      </c>
      <c r="K33" s="1157">
        <f ca="1">IF(J35+K31-J33&gt;tesoreriasec,0,MIN(J33-J35-K31+tesoreriasec,Funding!$G$49))</f>
        <v>0</v>
      </c>
      <c r="L33" s="1157">
        <f ca="1">IF(K35+L31-K33&gt;tesoreriasec,0,MIN(K33-K35-L31+tesoreriasec,Funding!$G$49))</f>
        <v>0</v>
      </c>
      <c r="M33" s="1157">
        <f ca="1">IF(L35+M31-L33&gt;tesoreriasec,0,MIN(L33-L35-M31+tesoreriasec,Funding!$G$49))</f>
        <v>0</v>
      </c>
      <c r="N33" s="1158">
        <f ca="1">IF(M35+N31-M33&gt;tesoreriasec,0,MIN(M33-M35-N31+tesoreriasec,Funding!$G$49))</f>
        <v>0</v>
      </c>
      <c r="O33" s="1159"/>
    </row>
    <row r="34" spans="1:15" s="288" customFormat="1" ht="21" customHeight="1" thickBot="1">
      <c r="A34" s="1170"/>
      <c r="B34" s="1160"/>
      <c r="C34" s="1161"/>
      <c r="D34" s="1161"/>
      <c r="E34" s="1161"/>
      <c r="F34" s="1161"/>
      <c r="G34" s="1161"/>
      <c r="H34" s="1161"/>
      <c r="I34" s="1161"/>
      <c r="J34" s="1161"/>
      <c r="K34" s="1161"/>
      <c r="L34" s="1161"/>
      <c r="M34" s="1161"/>
      <c r="O34" s="1162"/>
    </row>
    <row r="35" spans="1:15" s="288" customFormat="1" ht="21" customHeight="1" thickBot="1">
      <c r="A35" s="1169" t="str">
        <f>'Cash Flow 0'!A35</f>
        <v>Monthly Final Cash balance</v>
      </c>
      <c r="B35" s="1163">
        <f ca="1">'Cash Flow 2'!N35-(Funding!G9-Funding!G25+Funding!G19)</f>
        <v>-17183.992667300008</v>
      </c>
      <c r="C35" s="1164">
        <f t="array" ref="C35:N35" ca="1">B35:M35+C31:N31+C33:N33-B33:M33</f>
        <v>-17565.17616482341</v>
      </c>
      <c r="D35" s="1165">
        <f ca="1"/>
        <v>-17963.029825913509</v>
      </c>
      <c r="E35" s="1165">
        <f ca="1"/>
        <v>-18360.883487003608</v>
      </c>
      <c r="F35" s="1165">
        <f ca="1"/>
        <v>-18758.737148093707</v>
      </c>
      <c r="G35" s="1165">
        <f ca="1"/>
        <v>-19156.590809183806</v>
      </c>
      <c r="H35" s="1165">
        <f ca="1"/>
        <v>-19554.444470273906</v>
      </c>
      <c r="I35" s="1165">
        <f ca="1"/>
        <v>-19952.298131364005</v>
      </c>
      <c r="J35" s="1165">
        <f ca="1"/>
        <v>-20350.151792454104</v>
      </c>
      <c r="K35" s="1165">
        <f ca="1"/>
        <v>-20748.005453544203</v>
      </c>
      <c r="L35" s="1165">
        <f ca="1"/>
        <v>-21145.859114634302</v>
      </c>
      <c r="M35" s="1165">
        <f ca="1"/>
        <v>-21543.712775724402</v>
      </c>
      <c r="N35" s="1166">
        <f ca="1"/>
        <v>-21941.566436814501</v>
      </c>
      <c r="O35" s="1167"/>
    </row>
    <row r="36" spans="1:15" ht="18.75" customHeight="1">
      <c r="A36" s="4"/>
      <c r="B36" s="4"/>
    </row>
    <row r="37" spans="1:15" ht="18.75" customHeight="1">
      <c r="A37" s="4"/>
      <c r="B37" s="4"/>
    </row>
    <row r="38" spans="1:15" ht="18.75" customHeight="1">
      <c r="A38" s="307"/>
      <c r="B38" s="308"/>
      <c r="C38" s="305" t="str">
        <f t="array" ref="C38:D38">'Cash Flow 0'!C38:D38</f>
        <v>Amount</v>
      </c>
      <c r="D38" s="306" t="str">
        <v>month</v>
      </c>
    </row>
    <row r="39" spans="1:15" s="287" customFormat="1" ht="21" customHeight="1">
      <c r="A39" s="286"/>
      <c r="B39" s="304" t="str">
        <f t="array" ref="B39:B41">'Cash Flow 0'!B39:B41</f>
        <v>Maximum Cash overdraft</v>
      </c>
      <c r="C39" s="1650">
        <f ca="1">MAX(C33:N33)*0-MIN(C35:N35,0)</f>
        <v>21941.566436814501</v>
      </c>
      <c r="D39" s="1154" t="str">
        <f ca="1">IF(C39&lt;&gt;0,INDEX(C4:N4,1,MATCH(-C39,C35:N35,0)),"")</f>
        <v>December</v>
      </c>
      <c r="O39" s="288"/>
    </row>
    <row r="40" spans="1:15" s="287" customFormat="1" ht="18.75" customHeight="1">
      <c r="A40" s="286"/>
      <c r="B40" s="304" t="str">
        <v>Yearly Cash Flow</v>
      </c>
      <c r="C40" s="1651">
        <f ca="1">N35-B35+B33-N33</f>
        <v>-4757.5737695144926</v>
      </c>
      <c r="D40" s="1153"/>
      <c r="O40" s="288"/>
    </row>
    <row r="41" spans="1:15" s="287" customFormat="1" ht="21" customHeight="1">
      <c r="A41" s="286"/>
      <c r="B41" s="304" t="str">
        <v>Maximum Monthly Final Cash balance</v>
      </c>
      <c r="C41" s="1652">
        <f ca="1">MAX(C35:N35)</f>
        <v>-17565.17616482341</v>
      </c>
      <c r="D41" s="1154"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7"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12"/>
    <pageSetUpPr fitToPage="1"/>
  </sheetPr>
  <dimension ref="A1:G86"/>
  <sheetViews>
    <sheetView showGridLines="0" workbookViewId="0">
      <selection activeCell="E4" sqref="E4"/>
    </sheetView>
  </sheetViews>
  <sheetFormatPr baseColWidth="10" defaultRowHeight="15.75" outlineLevelRow="1"/>
  <cols>
    <col min="1" max="1" width="37.5" style="1" customWidth="1"/>
    <col min="2" max="2" width="10.375" style="1" customWidth="1"/>
    <col min="3" max="6" width="10.375" customWidth="1"/>
  </cols>
  <sheetData>
    <row r="1" spans="1:6" ht="22.5">
      <c r="A1" s="401" t="s">
        <v>381</v>
      </c>
    </row>
    <row r="2" spans="1:6" ht="22.5">
      <c r="A2" s="401" t="str">
        <f>'Base Data'!B9</f>
        <v>WWW, Ltd.</v>
      </c>
    </row>
    <row r="3" spans="1:6" ht="16.5" thickBot="1"/>
    <row r="4" spans="1:6" ht="25.5">
      <c r="A4" s="1539" t="s">
        <v>249</v>
      </c>
      <c r="B4" s="1345" t="str">
        <f t="array" ref="B4:F4">anni</f>
        <v>Year 0:   2026</v>
      </c>
      <c r="C4" s="1344" t="str">
        <v>Year 1:   2027</v>
      </c>
      <c r="D4" s="1344" t="str">
        <v>Year 2:   2028</v>
      </c>
      <c r="E4" s="1344" t="str">
        <v>Year 3:   2029</v>
      </c>
      <c r="F4" s="1344" t="str">
        <v>Year 4:   2030</v>
      </c>
    </row>
    <row r="5" spans="1:6">
      <c r="A5" s="1535" t="str">
        <f t="array" ref="A5:A10">'NCA Initial Invest.'!A5:A10</f>
        <v>Buldings &amp; Lands</v>
      </c>
      <c r="B5" s="1536"/>
      <c r="C5" s="1537"/>
      <c r="D5" s="1537"/>
      <c r="E5" s="1537"/>
      <c r="F5" s="1538"/>
    </row>
    <row r="6" spans="1:6" outlineLevel="1">
      <c r="A6" s="1540" t="str">
        <v>Land</v>
      </c>
      <c r="B6" s="644">
        <f t="array" ref="B6:B9">'NCA Initial Invest.'!B6:B9</f>
        <v>0</v>
      </c>
      <c r="C6" s="15">
        <v>0</v>
      </c>
      <c r="D6" s="15">
        <v>0</v>
      </c>
      <c r="E6" s="15">
        <v>0</v>
      </c>
      <c r="F6" s="550">
        <v>0</v>
      </c>
    </row>
    <row r="7" spans="1:6" outlineLevel="1">
      <c r="A7" s="1540" t="str">
        <v>Buildings &amp; constructions</v>
      </c>
      <c r="B7" s="644">
        <v>0</v>
      </c>
      <c r="C7" s="15">
        <v>0</v>
      </c>
      <c r="D7" s="15">
        <v>0</v>
      </c>
      <c r="E7" s="15">
        <v>0</v>
      </c>
      <c r="F7" s="550">
        <v>0</v>
      </c>
    </row>
    <row r="8" spans="1:6" outlineLevel="1">
      <c r="A8" s="1540" t="str">
        <v>Land &amp; building improvement</v>
      </c>
      <c r="B8" s="644">
        <v>0</v>
      </c>
      <c r="C8" s="14">
        <v>0</v>
      </c>
      <c r="D8" s="14">
        <v>0</v>
      </c>
      <c r="E8" s="14">
        <v>0</v>
      </c>
      <c r="F8" s="30">
        <v>0</v>
      </c>
    </row>
    <row r="9" spans="1:6" outlineLevel="1">
      <c r="A9" s="2234" t="str">
        <v>Land &amp; Buildings in Initial Balance Sheet</v>
      </c>
      <c r="B9" s="2235">
        <v>0</v>
      </c>
      <c r="C9" s="2331"/>
      <c r="D9" s="2331"/>
      <c r="E9" s="2331"/>
      <c r="F9" s="2201"/>
    </row>
    <row r="10" spans="1:6" ht="16.5" thickBot="1">
      <c r="A10" s="1509" t="str">
        <v>Total Buldings &amp; Lands</v>
      </c>
      <c r="B10" s="645">
        <f>SUM(B6:B9)</f>
        <v>0</v>
      </c>
      <c r="C10" s="645">
        <f>SUM(C6:C8)</f>
        <v>0</v>
      </c>
      <c r="D10" s="645">
        <f>SUM(D6:D8)</f>
        <v>0</v>
      </c>
      <c r="E10" s="645">
        <f>SUM(E6:E8)</f>
        <v>0</v>
      </c>
      <c r="F10" s="551">
        <f>SUM(F6:F8)</f>
        <v>0</v>
      </c>
    </row>
    <row r="11" spans="1:6" ht="11.25" customHeight="1" thickBot="1">
      <c r="A11" s="1510"/>
      <c r="B11" s="646"/>
      <c r="C11" s="4"/>
      <c r="D11" s="4"/>
      <c r="E11" s="4"/>
      <c r="F11" s="4"/>
    </row>
    <row r="12" spans="1:6">
      <c r="A12" s="1511" t="str">
        <f t="array" ref="A12:A20">'NCA Initial Invest.'!A12:B20</f>
        <v>Plant Facilities &amp; Services</v>
      </c>
      <c r="B12" s="1754" t="str">
        <f t="array" ref="B12:F12">Parameters!D$62:H$62</f>
        <v>Year 0</v>
      </c>
      <c r="C12" s="2711">
        <v>1</v>
      </c>
      <c r="D12" s="2711">
        <v>2</v>
      </c>
      <c r="E12" s="2711">
        <v>3</v>
      </c>
      <c r="F12" s="2712">
        <v>4</v>
      </c>
    </row>
    <row r="13" spans="1:6" outlineLevel="1">
      <c r="A13" s="1512" t="str">
        <v>General Plant Facilities &amp; Services</v>
      </c>
      <c r="B13" s="644">
        <f t="array" ref="B13:B19">'NCA Initial Invest.'!B13:B19</f>
        <v>0</v>
      </c>
      <c r="C13" s="14">
        <v>0</v>
      </c>
      <c r="D13" s="14">
        <v>0</v>
      </c>
      <c r="E13" s="14">
        <v>0</v>
      </c>
      <c r="F13" s="30">
        <v>0</v>
      </c>
    </row>
    <row r="14" spans="1:6" outlineLevel="1">
      <c r="A14" s="1512" t="str">
        <v>Electrical &amp; Lightning services</v>
      </c>
      <c r="B14" s="644">
        <v>0</v>
      </c>
      <c r="C14" s="14">
        <v>0</v>
      </c>
      <c r="D14" s="14">
        <v>0</v>
      </c>
      <c r="E14" s="14">
        <v>0</v>
      </c>
      <c r="F14" s="30">
        <v>0</v>
      </c>
    </row>
    <row r="15" spans="1:6" outlineLevel="1">
      <c r="A15" s="1512" t="str">
        <v>Water supply, drainage &amp; Sanitation</v>
      </c>
      <c r="B15" s="644">
        <v>0</v>
      </c>
      <c r="C15" s="14">
        <v>0</v>
      </c>
      <c r="D15" s="14">
        <v>0</v>
      </c>
      <c r="E15" s="14">
        <v>0</v>
      </c>
      <c r="F15" s="30">
        <v>0</v>
      </c>
    </row>
    <row r="16" spans="1:6" outlineLevel="1">
      <c r="A16" s="1512" t="str">
        <v>Telecommunication</v>
      </c>
      <c r="B16" s="644">
        <v>0</v>
      </c>
      <c r="C16" s="14">
        <v>0</v>
      </c>
      <c r="D16" s="14">
        <v>0</v>
      </c>
      <c r="E16" s="14">
        <v>0</v>
      </c>
      <c r="F16" s="30">
        <v>0</v>
      </c>
    </row>
    <row r="17" spans="1:6" outlineLevel="1">
      <c r="A17" s="1512" t="str">
        <v>Fire protection &amp; prevention equipment</v>
      </c>
      <c r="B17" s="644">
        <v>0</v>
      </c>
      <c r="C17" s="14">
        <v>0</v>
      </c>
      <c r="D17" s="14">
        <v>0</v>
      </c>
      <c r="E17" s="14">
        <v>0</v>
      </c>
      <c r="F17" s="30">
        <v>0</v>
      </c>
    </row>
    <row r="18" spans="1:6" outlineLevel="1">
      <c r="A18" s="1512" t="str">
        <v>Security &amp; Alarm services</v>
      </c>
      <c r="B18" s="644">
        <v>0</v>
      </c>
      <c r="C18" s="14">
        <v>0</v>
      </c>
      <c r="D18" s="14">
        <v>0</v>
      </c>
      <c r="E18" s="14">
        <v>0</v>
      </c>
      <c r="F18" s="30">
        <v>0</v>
      </c>
    </row>
    <row r="19" spans="1:6" outlineLevel="1">
      <c r="A19" s="2239" t="str">
        <v>Material Assets in Initial Balance Sheet</v>
      </c>
      <c r="B19" s="2235">
        <v>0</v>
      </c>
      <c r="C19" s="2331"/>
      <c r="D19" s="2331"/>
      <c r="E19" s="2331"/>
      <c r="F19" s="2201"/>
    </row>
    <row r="20" spans="1:6" ht="16.5" thickBot="1">
      <c r="A20" s="1513" t="str">
        <v>Total Plant Facilities &amp; Services</v>
      </c>
      <c r="B20" s="645">
        <f>SUM(B13:B19)</f>
        <v>0</v>
      </c>
      <c r="C20" s="645">
        <f>SUM(C13:C19)</f>
        <v>0</v>
      </c>
      <c r="D20" s="645">
        <f>SUM(D13:D19)</f>
        <v>0</v>
      </c>
      <c r="E20" s="645">
        <f>SUM(E13:E19)</f>
        <v>0</v>
      </c>
      <c r="F20" s="551">
        <f>SUM(F13:F19)</f>
        <v>0</v>
      </c>
    </row>
    <row r="21" spans="1:6" ht="11.25" customHeight="1" thickBot="1">
      <c r="A21" s="1510"/>
      <c r="B21" s="646"/>
      <c r="C21" s="4"/>
      <c r="D21" s="4"/>
      <c r="E21" s="4"/>
      <c r="F21" s="4"/>
    </row>
    <row r="22" spans="1:6">
      <c r="A22" s="1511" t="str">
        <f t="array" ref="A22:A26">'NCA Initial Invest.'!A22:A28</f>
        <v>Machinery</v>
      </c>
      <c r="B22" s="1754" t="str">
        <f t="array" ref="B22:F22">Parameters!D$62:H$62</f>
        <v>Year 0</v>
      </c>
      <c r="C22" s="2711">
        <v>1</v>
      </c>
      <c r="D22" s="2711">
        <v>2</v>
      </c>
      <c r="E22" s="2711">
        <v>3</v>
      </c>
      <c r="F22" s="2712">
        <v>4</v>
      </c>
    </row>
    <row r="23" spans="1:6" outlineLevel="1">
      <c r="A23" s="1512" t="str">
        <v>machine</v>
      </c>
      <c r="B23" s="644">
        <f t="array" ref="B23:B25">'NCA Initial Invest.'!B23:B25</f>
        <v>0</v>
      </c>
      <c r="C23" s="14">
        <v>0</v>
      </c>
      <c r="D23" s="14">
        <v>0</v>
      </c>
      <c r="E23" s="14">
        <v>0</v>
      </c>
      <c r="F23" s="30">
        <v>0</v>
      </c>
    </row>
    <row r="24" spans="1:6" outlineLevel="1">
      <c r="A24" s="1512" t="str">
        <v>machine</v>
      </c>
      <c r="B24" s="644">
        <v>0</v>
      </c>
      <c r="C24" s="14">
        <v>0</v>
      </c>
      <c r="D24" s="14">
        <v>0</v>
      </c>
      <c r="E24" s="14">
        <v>0</v>
      </c>
      <c r="F24" s="30">
        <v>0</v>
      </c>
    </row>
    <row r="25" spans="1:6" outlineLevel="1">
      <c r="A25" s="1512" t="str">
        <v>machine</v>
      </c>
      <c r="B25" s="644">
        <v>0</v>
      </c>
      <c r="C25" s="14">
        <v>0</v>
      </c>
      <c r="D25" s="14">
        <v>0</v>
      </c>
      <c r="E25" s="14">
        <v>0</v>
      </c>
      <c r="F25" s="30">
        <v>0</v>
      </c>
    </row>
    <row r="26" spans="1:6" ht="16.5" thickBot="1">
      <c r="A26" s="1509" t="str">
        <v>Total Machinery</v>
      </c>
      <c r="B26" s="645">
        <f>SUM(B23:B25)</f>
        <v>0</v>
      </c>
      <c r="C26" s="549">
        <f>SUM(C23:C25)</f>
        <v>0</v>
      </c>
      <c r="D26" s="549">
        <f>SUM(D23:D25)</f>
        <v>0</v>
      </c>
      <c r="E26" s="549">
        <f>SUM(E23:E25)</f>
        <v>0</v>
      </c>
      <c r="F26" s="551">
        <f>SUM(F23:F25)</f>
        <v>0</v>
      </c>
    </row>
    <row r="27" spans="1:6" ht="12" customHeight="1" thickBot="1">
      <c r="A27" s="1510"/>
      <c r="B27" s="646"/>
      <c r="C27" s="4"/>
      <c r="D27" s="4"/>
      <c r="E27" s="4"/>
      <c r="F27" s="4"/>
    </row>
    <row r="28" spans="1:6">
      <c r="A28" s="1511" t="str">
        <f t="array" ref="A28:A31">'NCA Initial Invest.'!A28:B31</f>
        <v>Tools &amp; Utilities</v>
      </c>
      <c r="B28" s="1754" t="str">
        <f t="array" ref="B28:F28">Parameters!D$62:H$62</f>
        <v>Year 0</v>
      </c>
      <c r="C28" s="2711">
        <v>1</v>
      </c>
      <c r="D28" s="2711">
        <v>2</v>
      </c>
      <c r="E28" s="2711">
        <v>3</v>
      </c>
      <c r="F28" s="2712">
        <v>4</v>
      </c>
    </row>
    <row r="29" spans="1:6" outlineLevel="1">
      <c r="A29" s="1512" t="str">
        <v>Hand Tools</v>
      </c>
      <c r="B29" s="644">
        <f t="array" ref="B29:B30">'NCA Initial Invest.'!B29:B30</f>
        <v>0</v>
      </c>
      <c r="C29" s="14">
        <v>0</v>
      </c>
      <c r="D29" s="14">
        <v>0</v>
      </c>
      <c r="E29" s="14">
        <v>0</v>
      </c>
      <c r="F29" s="30">
        <v>0</v>
      </c>
    </row>
    <row r="30" spans="1:6" outlineLevel="1">
      <c r="A30" s="1512" t="str">
        <v>Production utils</v>
      </c>
      <c r="B30" s="644">
        <v>0</v>
      </c>
      <c r="C30" s="14">
        <v>0</v>
      </c>
      <c r="D30" s="14">
        <v>0</v>
      </c>
      <c r="E30" s="14">
        <v>0</v>
      </c>
      <c r="F30" s="30">
        <v>0</v>
      </c>
    </row>
    <row r="31" spans="1:6" ht="16.5" thickBot="1">
      <c r="A31" s="1513" t="str">
        <v>Total Tools &amp; Utilities</v>
      </c>
      <c r="B31" s="645">
        <f>SUM(B29:B30)</f>
        <v>0</v>
      </c>
      <c r="C31" s="549">
        <f>SUM(C29:C30)</f>
        <v>0</v>
      </c>
      <c r="D31" s="549">
        <f>SUM(D29:D30)</f>
        <v>0</v>
      </c>
      <c r="E31" s="549">
        <f>SUM(E29:E30)</f>
        <v>0</v>
      </c>
      <c r="F31" s="551">
        <f>SUM(F29:F30)</f>
        <v>0</v>
      </c>
    </row>
    <row r="32" spans="1:6" ht="12" customHeight="1" thickBot="1">
      <c r="A32" s="1510"/>
      <c r="B32" s="646"/>
      <c r="C32" s="4"/>
      <c r="D32" s="4"/>
      <c r="E32" s="4"/>
      <c r="F32" s="4"/>
    </row>
    <row r="33" spans="1:6">
      <c r="A33" s="1511" t="str">
        <f t="array" ref="A33:A37">'NCA Initial Invest.'!A33:A37</f>
        <v>Furniture &amp; Warehouse equipment</v>
      </c>
      <c r="B33" s="1754" t="str">
        <f t="array" ref="B33:F33">Parameters!D$62:H$62</f>
        <v>Year 0</v>
      </c>
      <c r="C33" s="2711">
        <v>1</v>
      </c>
      <c r="D33" s="2711">
        <v>2</v>
      </c>
      <c r="E33" s="2711">
        <v>3</v>
      </c>
      <c r="F33" s="2712">
        <v>4</v>
      </c>
    </row>
    <row r="34" spans="1:6" outlineLevel="1">
      <c r="A34" s="1512" t="str">
        <v>Office furniture</v>
      </c>
      <c r="B34" s="644">
        <f t="array" ref="B34:B36">'NCA Initial Invest.'!B34:B36</f>
        <v>0</v>
      </c>
      <c r="C34" s="14">
        <v>0</v>
      </c>
      <c r="D34" s="14">
        <v>0</v>
      </c>
      <c r="E34" s="14">
        <v>0</v>
      </c>
      <c r="F34" s="30">
        <v>0</v>
      </c>
    </row>
    <row r="35" spans="1:6" outlineLevel="1">
      <c r="A35" s="1512" t="str">
        <v>Warehouse &amp; storage equipment</v>
      </c>
      <c r="B35" s="644">
        <v>0</v>
      </c>
      <c r="C35" s="14">
        <v>0</v>
      </c>
      <c r="D35" s="14">
        <v>0</v>
      </c>
      <c r="E35" s="14">
        <v>0</v>
      </c>
      <c r="F35" s="30">
        <v>0</v>
      </c>
    </row>
    <row r="36" spans="1:6" outlineLevel="1">
      <c r="A36" s="1512" t="str">
        <v>Other necessary furniture</v>
      </c>
      <c r="B36" s="644">
        <v>0</v>
      </c>
      <c r="C36" s="14">
        <v>0</v>
      </c>
      <c r="D36" s="14">
        <v>0</v>
      </c>
      <c r="E36" s="14">
        <v>0</v>
      </c>
      <c r="F36" s="30">
        <v>0</v>
      </c>
    </row>
    <row r="37" spans="1:6" ht="16.5" thickBot="1">
      <c r="A37" s="1509" t="str">
        <v>Total Furniture &amp; Warehouse equipment</v>
      </c>
      <c r="B37" s="645">
        <f>SUM(B34:B36)</f>
        <v>0</v>
      </c>
      <c r="C37" s="549">
        <f>SUM(C34:C36)</f>
        <v>0</v>
      </c>
      <c r="D37" s="549">
        <f>SUM(D34:D36)</f>
        <v>0</v>
      </c>
      <c r="E37" s="549">
        <f>SUM(E34:E36)</f>
        <v>0</v>
      </c>
      <c r="F37" s="551">
        <f>SUM(F34:F36)</f>
        <v>0</v>
      </c>
    </row>
    <row r="38" spans="1:6" ht="12" customHeight="1" thickBot="1">
      <c r="A38" s="1510"/>
      <c r="B38" s="646"/>
      <c r="C38" s="4"/>
      <c r="D38" s="4"/>
      <c r="E38" s="4"/>
      <c r="F38" s="4"/>
    </row>
    <row r="39" spans="1:6">
      <c r="A39" s="1511" t="str">
        <f t="array" ref="A39:A43">'NCA Initial Invest.'!A39:B43</f>
        <v>Vehicles &amp; Transportation elements</v>
      </c>
      <c r="B39" s="1754" t="str">
        <f t="array" ref="B39:F39">Parameters!D$62:H$62</f>
        <v>Year 0</v>
      </c>
      <c r="C39" s="2711">
        <v>1</v>
      </c>
      <c r="D39" s="2711">
        <v>2</v>
      </c>
      <c r="E39" s="2711">
        <v>3</v>
      </c>
      <c r="F39" s="2712">
        <v>4</v>
      </c>
    </row>
    <row r="40" spans="1:6" outlineLevel="1">
      <c r="A40" s="1512" t="str">
        <v>Cars</v>
      </c>
      <c r="B40" s="644">
        <f t="array" ref="B40:B42">'NCA Initial Invest.'!B40:B42</f>
        <v>0</v>
      </c>
      <c r="C40" s="14">
        <v>0</v>
      </c>
      <c r="D40" s="14">
        <v>0</v>
      </c>
      <c r="E40" s="14">
        <v>0</v>
      </c>
      <c r="F40" s="30">
        <v>0</v>
      </c>
    </row>
    <row r="41" spans="1:6" outlineLevel="1">
      <c r="A41" s="1512" t="str">
        <v>Vans, trucks, etc.</v>
      </c>
      <c r="B41" s="644">
        <v>0</v>
      </c>
      <c r="C41" s="14">
        <v>0</v>
      </c>
      <c r="D41" s="14">
        <v>0</v>
      </c>
      <c r="E41" s="14">
        <v>0</v>
      </c>
      <c r="F41" s="30">
        <v>0</v>
      </c>
    </row>
    <row r="42" spans="1:6" outlineLevel="1">
      <c r="A42" s="1512" t="str">
        <v>Other vehicles (special vehicles)</v>
      </c>
      <c r="B42" s="644">
        <v>0</v>
      </c>
      <c r="C42" s="14">
        <v>0</v>
      </c>
      <c r="D42" s="14">
        <v>0</v>
      </c>
      <c r="E42" s="14">
        <v>0</v>
      </c>
      <c r="F42" s="30">
        <v>0</v>
      </c>
    </row>
    <row r="43" spans="1:6" ht="16.5" thickBot="1">
      <c r="A43" s="1509" t="str">
        <v>Total Vehicles &amp; Transportation elements</v>
      </c>
      <c r="B43" s="645">
        <f>SUM(B40:B42)</f>
        <v>0</v>
      </c>
      <c r="C43" s="549">
        <f>SUM(C40:C42)</f>
        <v>0</v>
      </c>
      <c r="D43" s="549">
        <f>SUM(D40:D42)</f>
        <v>0</v>
      </c>
      <c r="E43" s="549">
        <f>SUM(E40:E42)</f>
        <v>0</v>
      </c>
      <c r="F43" s="551">
        <f>SUM(F40:F42)</f>
        <v>0</v>
      </c>
    </row>
    <row r="44" spans="1:6" ht="9.75" customHeight="1" thickBot="1">
      <c r="A44" s="1510"/>
      <c r="B44" s="646"/>
      <c r="C44" s="4"/>
      <c r="D44" s="4"/>
      <c r="E44" s="4"/>
      <c r="F44" s="4"/>
    </row>
    <row r="45" spans="1:6">
      <c r="A45" s="1511" t="str">
        <f t="array" ref="A45:A50">'NCA Initial Invest.'!A45:B50</f>
        <v>Information processing equipment</v>
      </c>
      <c r="B45" s="1754" t="str">
        <f t="array" ref="B45:F45">Parameters!D$62:H$62</f>
        <v>Year 0</v>
      </c>
      <c r="C45" s="2711">
        <v>1</v>
      </c>
      <c r="D45" s="2711">
        <v>2</v>
      </c>
      <c r="E45" s="2711">
        <v>3</v>
      </c>
      <c r="F45" s="2712">
        <v>4</v>
      </c>
    </row>
    <row r="46" spans="1:6" outlineLevel="1">
      <c r="A46" s="1512" t="str">
        <v>Servers, Computers &amp; laptops</v>
      </c>
      <c r="B46" s="644">
        <f t="array" ref="B46:B49">'NCA Initial Invest.'!B46:B49</f>
        <v>0</v>
      </c>
      <c r="C46" s="14">
        <v>0</v>
      </c>
      <c r="D46" s="14">
        <v>0</v>
      </c>
      <c r="E46" s="14">
        <v>0</v>
      </c>
      <c r="F46" s="30">
        <v>0</v>
      </c>
    </row>
    <row r="47" spans="1:6" outlineLevel="1">
      <c r="A47" s="1512" t="str">
        <v>Point of Sale Terminal (POS)</v>
      </c>
      <c r="B47" s="644">
        <v>0</v>
      </c>
      <c r="C47" s="14">
        <v>0</v>
      </c>
      <c r="D47" s="14">
        <v>0</v>
      </c>
      <c r="E47" s="14">
        <v>0</v>
      </c>
      <c r="F47" s="30">
        <v>0</v>
      </c>
    </row>
    <row r="48" spans="1:6" outlineLevel="1">
      <c r="A48" s="1512" t="str">
        <v>Printers, photocopiers &amp; scanners</v>
      </c>
      <c r="B48" s="644">
        <v>0</v>
      </c>
      <c r="C48" s="14">
        <v>0</v>
      </c>
      <c r="D48" s="14">
        <v>0</v>
      </c>
      <c r="E48" s="14">
        <v>0</v>
      </c>
      <c r="F48" s="30">
        <v>0</v>
      </c>
    </row>
    <row r="49" spans="1:6" outlineLevel="1">
      <c r="A49" s="1512" t="str">
        <v>Network equipment</v>
      </c>
      <c r="B49" s="644">
        <v>0</v>
      </c>
      <c r="C49" s="14">
        <v>0</v>
      </c>
      <c r="D49" s="14">
        <v>0</v>
      </c>
      <c r="E49" s="14">
        <v>0</v>
      </c>
      <c r="F49" s="30">
        <v>0</v>
      </c>
    </row>
    <row r="50" spans="1:6" ht="16.5" thickBot="1">
      <c r="A50" s="1509" t="str">
        <v>Total Information processing equipment</v>
      </c>
      <c r="B50" s="645">
        <f>SUM(B46:B49)</f>
        <v>0</v>
      </c>
      <c r="C50" s="549">
        <f>SUM(C46:C49)</f>
        <v>0</v>
      </c>
      <c r="D50" s="549">
        <f>SUM(D46:D49)</f>
        <v>0</v>
      </c>
      <c r="E50" s="549">
        <f>SUM(E46:E49)</f>
        <v>0</v>
      </c>
      <c r="F50" s="551">
        <f>SUM(F46:F49)</f>
        <v>0</v>
      </c>
    </row>
    <row r="51" spans="1:6" ht="10.5" customHeight="1" thickBot="1">
      <c r="A51" s="1510"/>
      <c r="B51" s="646"/>
      <c r="C51" s="4"/>
      <c r="D51" s="4"/>
      <c r="E51" s="4"/>
      <c r="F51" s="4"/>
    </row>
    <row r="52" spans="1:6">
      <c r="A52" s="1511" t="str">
        <f t="array" ref="A52:A55">'NCA Initial Invest.'!A52:B55</f>
        <v>Other non material assets</v>
      </c>
      <c r="B52" s="1754" t="str">
        <f t="array" ref="B52:F52">Parameters!D$62:H$62</f>
        <v>Year 0</v>
      </c>
      <c r="C52" s="2711">
        <v>1</v>
      </c>
      <c r="D52" s="2711">
        <v>2</v>
      </c>
      <c r="E52" s="2711">
        <v>3</v>
      </c>
      <c r="F52" s="2712">
        <v>4</v>
      </c>
    </row>
    <row r="53" spans="1:6" outlineLevel="1">
      <c r="A53" s="1512" t="str">
        <v>Other necessary Non Current Assets</v>
      </c>
      <c r="B53" s="644">
        <f t="array" ref="B53:B54">'NCA Initial Invest.'!B53:B54</f>
        <v>0</v>
      </c>
      <c r="C53" s="14">
        <v>0</v>
      </c>
      <c r="D53" s="14">
        <v>0</v>
      </c>
      <c r="E53" s="14">
        <v>0</v>
      </c>
      <c r="F53" s="30">
        <v>0</v>
      </c>
    </row>
    <row r="54" spans="1:6" outlineLevel="1">
      <c r="A54" s="1512" t="str">
        <v>Transfer &amp; Tenancy rights</v>
      </c>
      <c r="B54" s="644">
        <v>0</v>
      </c>
      <c r="C54" s="14">
        <v>0</v>
      </c>
      <c r="D54" s="14">
        <v>0</v>
      </c>
      <c r="E54" s="14">
        <v>0</v>
      </c>
      <c r="F54" s="30">
        <v>0</v>
      </c>
    </row>
    <row r="55" spans="1:6" ht="16.5" thickBot="1">
      <c r="A55" s="1509" t="str">
        <v>Total Other non material assets</v>
      </c>
      <c r="B55" s="645">
        <f>SUM(B53:B54)</f>
        <v>0</v>
      </c>
      <c r="C55" s="549">
        <f>SUM(C53:C54)</f>
        <v>0</v>
      </c>
      <c r="D55" s="549">
        <f>SUM(D53:D54)</f>
        <v>0</v>
      </c>
      <c r="E55" s="549">
        <f>SUM(E53:E54)</f>
        <v>0</v>
      </c>
      <c r="F55" s="551">
        <f>SUM(F53:F54)</f>
        <v>0</v>
      </c>
    </row>
    <row r="56" spans="1:6" ht="9.75" customHeight="1" thickBot="1"/>
    <row r="57" spans="1:6">
      <c r="A57" s="1511" t="str">
        <f t="array" ref="A57:A63">'NCA Initial Invest.'!A57:B63</f>
        <v>Intangible Assets</v>
      </c>
      <c r="B57" s="1754" t="str">
        <f t="array" ref="B57:F57">Parameters!D$62:H$62</f>
        <v>Year 0</v>
      </c>
      <c r="C57" s="2711">
        <v>1</v>
      </c>
      <c r="D57" s="2711">
        <v>2</v>
      </c>
      <c r="E57" s="2711">
        <v>3</v>
      </c>
      <c r="F57" s="2712">
        <v>4</v>
      </c>
    </row>
    <row r="58" spans="1:6" outlineLevel="1">
      <c r="A58" s="1512" t="str">
        <v>Software &amp; web development</v>
      </c>
      <c r="B58" s="644">
        <f t="array" ref="B58:B62">'NCA Initial Invest.'!B58:B62</f>
        <v>0</v>
      </c>
      <c r="C58" s="14">
        <v>0</v>
      </c>
      <c r="D58" s="14">
        <v>0</v>
      </c>
      <c r="E58" s="14">
        <v>0</v>
      </c>
      <c r="F58" s="30">
        <v>0</v>
      </c>
    </row>
    <row r="59" spans="1:6" outlineLevel="1">
      <c r="A59" s="1512" t="str">
        <v>r+D Projects expendeture</v>
      </c>
      <c r="B59" s="644">
        <v>0</v>
      </c>
      <c r="C59" s="14">
        <v>0</v>
      </c>
      <c r="D59" s="14">
        <v>0</v>
      </c>
      <c r="E59" s="14">
        <v>0</v>
      </c>
      <c r="F59" s="30">
        <v>0</v>
      </c>
    </row>
    <row r="60" spans="1:6" outlineLevel="1">
      <c r="A60" s="1512" t="str">
        <v>Patents, trade marks &amp; brands, etc.</v>
      </c>
      <c r="B60" s="644">
        <v>0</v>
      </c>
      <c r="C60" s="14">
        <v>0</v>
      </c>
      <c r="D60" s="14">
        <v>0</v>
      </c>
      <c r="E60" s="14">
        <v>0</v>
      </c>
      <c r="F60" s="30">
        <v>0</v>
      </c>
    </row>
    <row r="61" spans="1:6" outlineLevel="1">
      <c r="A61" s="1512" t="str">
        <v>Certification, homologation &amp; aproval expenses</v>
      </c>
      <c r="B61" s="644">
        <v>0</v>
      </c>
      <c r="C61" s="14">
        <v>0</v>
      </c>
      <c r="D61" s="14">
        <v>0</v>
      </c>
      <c r="E61" s="14">
        <v>0</v>
      </c>
      <c r="F61" s="30">
        <v>0</v>
      </c>
    </row>
    <row r="62" spans="1:6" outlineLevel="1">
      <c r="A62" s="2239" t="str">
        <v>Intangible Assets in Initial Balance</v>
      </c>
      <c r="B62" s="2235">
        <v>0</v>
      </c>
      <c r="C62" s="2200"/>
      <c r="D62" s="2200"/>
      <c r="E62" s="2200"/>
      <c r="F62" s="2201"/>
    </row>
    <row r="63" spans="1:6" ht="16.5" thickBot="1">
      <c r="A63" s="1509" t="str">
        <v>Total Intangible Assets</v>
      </c>
      <c r="B63" s="645">
        <f>SUM(B58:B62)</f>
        <v>0</v>
      </c>
      <c r="C63" s="2332">
        <f>SUM(C58:C62)</f>
        <v>0</v>
      </c>
      <c r="D63" s="2332">
        <f>SUM(D58:D62)</f>
        <v>0</v>
      </c>
      <c r="E63" s="2332">
        <f>SUM(E58:E62)</f>
        <v>0</v>
      </c>
      <c r="F63" s="2333">
        <f>SUM(F58:F62)</f>
        <v>0</v>
      </c>
    </row>
    <row r="64" spans="1:6" ht="12" customHeight="1"/>
    <row r="68" spans="1:7" ht="16.5" thickBot="1"/>
    <row r="69" spans="1:7" ht="23.25" thickBot="1">
      <c r="A69" s="2787" t="s">
        <v>1093</v>
      </c>
      <c r="B69" s="2788"/>
      <c r="C69" s="2789"/>
      <c r="D69" s="2789"/>
      <c r="E69" s="2789"/>
      <c r="F69" s="2790"/>
      <c r="G69" s="2790"/>
    </row>
    <row r="70" spans="1:7" ht="27" thickBot="1">
      <c r="A70" s="2791" t="s">
        <v>249</v>
      </c>
      <c r="B70" s="2792" t="s">
        <v>1099</v>
      </c>
      <c r="C70" s="2792" t="str">
        <f t="array" ref="C70:G70">anni</f>
        <v>Year 0:   2026</v>
      </c>
      <c r="D70" s="2793" t="str">
        <v>Year 1:   2027</v>
      </c>
      <c r="E70" s="2793" t="str">
        <v>Year 2:   2028</v>
      </c>
      <c r="F70" s="2793" t="str">
        <v>Year 3:   2029</v>
      </c>
      <c r="G70" s="2794" t="str">
        <v>Year 4:   2030</v>
      </c>
    </row>
    <row r="71" spans="1:7">
      <c r="A71" s="2795" t="str">
        <f>A5</f>
        <v>Buldings &amp; Lands</v>
      </c>
      <c r="B71" s="644">
        <f>+'Prev. Initial Balance'!D14</f>
        <v>0</v>
      </c>
      <c r="C71" s="644">
        <f>$B$10</f>
        <v>0</v>
      </c>
      <c r="D71" s="644">
        <f>$B$10</f>
        <v>0</v>
      </c>
      <c r="E71" s="644">
        <f>$B$10</f>
        <v>0</v>
      </c>
      <c r="F71" s="644">
        <f>$B$10</f>
        <v>0</v>
      </c>
      <c r="G71" s="2796">
        <f>$B$10</f>
        <v>0</v>
      </c>
    </row>
    <row r="72" spans="1:7">
      <c r="A72" s="2797" t="str">
        <f>A12</f>
        <v>Plant Facilities &amp; Services</v>
      </c>
      <c r="B72" s="644">
        <v>0</v>
      </c>
      <c r="C72" s="644">
        <f>$B$20</f>
        <v>0</v>
      </c>
      <c r="D72" s="644">
        <f>$B$20</f>
        <v>0</v>
      </c>
      <c r="E72" s="644">
        <f>$B$20</f>
        <v>0</v>
      </c>
      <c r="F72" s="644">
        <f>$B$20</f>
        <v>0</v>
      </c>
      <c r="G72" s="2796">
        <f>$B$20</f>
        <v>0</v>
      </c>
    </row>
    <row r="73" spans="1:7">
      <c r="A73" s="2797" t="str">
        <f>A22</f>
        <v>Machinery</v>
      </c>
      <c r="B73" s="644">
        <v>0</v>
      </c>
      <c r="C73" s="644">
        <f>$B$26</f>
        <v>0</v>
      </c>
      <c r="D73" s="644">
        <f>$B$26</f>
        <v>0</v>
      </c>
      <c r="E73" s="644">
        <f>$B$26</f>
        <v>0</v>
      </c>
      <c r="F73" s="644">
        <f>$B$26</f>
        <v>0</v>
      </c>
      <c r="G73" s="2796">
        <f>$B$26</f>
        <v>0</v>
      </c>
    </row>
    <row r="74" spans="1:7">
      <c r="A74" s="2797" t="str">
        <f>A28</f>
        <v>Tools &amp; Utilities</v>
      </c>
      <c r="B74" s="644">
        <v>0</v>
      </c>
      <c r="C74" s="644">
        <f>$B$31</f>
        <v>0</v>
      </c>
      <c r="D74" s="644">
        <f>$B$31</f>
        <v>0</v>
      </c>
      <c r="E74" s="644">
        <f>$B$31</f>
        <v>0</v>
      </c>
      <c r="F74" s="644">
        <f>$B$31</f>
        <v>0</v>
      </c>
      <c r="G74" s="2796">
        <f>$B$31</f>
        <v>0</v>
      </c>
    </row>
    <row r="75" spans="1:7">
      <c r="A75" s="2797" t="str">
        <f>A33</f>
        <v>Furniture &amp; Warehouse equipment</v>
      </c>
      <c r="B75" s="644">
        <v>0</v>
      </c>
      <c r="C75" s="644">
        <f>$B$37</f>
        <v>0</v>
      </c>
      <c r="D75" s="644">
        <f>$B$37</f>
        <v>0</v>
      </c>
      <c r="E75" s="644">
        <f>$B$37</f>
        <v>0</v>
      </c>
      <c r="F75" s="644">
        <f>$B$37</f>
        <v>0</v>
      </c>
      <c r="G75" s="2796">
        <f>$B$37</f>
        <v>0</v>
      </c>
    </row>
    <row r="76" spans="1:7">
      <c r="A76" s="2797" t="str">
        <f>A39</f>
        <v>Vehicles &amp; Transportation elements</v>
      </c>
      <c r="B76" s="644">
        <v>0</v>
      </c>
      <c r="C76" s="644">
        <f>$B$43</f>
        <v>0</v>
      </c>
      <c r="D76" s="644">
        <f>$B$43</f>
        <v>0</v>
      </c>
      <c r="E76" s="644">
        <f>$B$43</f>
        <v>0</v>
      </c>
      <c r="F76" s="644">
        <f>$B$43</f>
        <v>0</v>
      </c>
      <c r="G76" s="2796">
        <f>$B$43</f>
        <v>0</v>
      </c>
    </row>
    <row r="77" spans="1:7">
      <c r="A77" s="2797" t="str">
        <f>A45</f>
        <v>Information processing equipment</v>
      </c>
      <c r="B77" s="644">
        <v>0</v>
      </c>
      <c r="C77" s="644">
        <f>$B$50</f>
        <v>0</v>
      </c>
      <c r="D77" s="644">
        <f>$B$50</f>
        <v>0</v>
      </c>
      <c r="E77" s="644">
        <f>$B$50</f>
        <v>0</v>
      </c>
      <c r="F77" s="644">
        <f>$B$50</f>
        <v>0</v>
      </c>
      <c r="G77" s="2796">
        <f>$B$50</f>
        <v>0</v>
      </c>
    </row>
    <row r="78" spans="1:7">
      <c r="A78" s="2797" t="str">
        <f>A52</f>
        <v>Other non material assets</v>
      </c>
      <c r="B78" s="644">
        <f>+'Prev. Initial Balance'!D12</f>
        <v>0</v>
      </c>
      <c r="C78" s="644">
        <f>$B$55</f>
        <v>0</v>
      </c>
      <c r="D78" s="644">
        <f>$B$55</f>
        <v>0</v>
      </c>
      <c r="E78" s="644">
        <f>$B$55</f>
        <v>0</v>
      </c>
      <c r="F78" s="644">
        <f>$B$55</f>
        <v>0</v>
      </c>
      <c r="G78" s="2796">
        <f>$B$55</f>
        <v>0</v>
      </c>
    </row>
    <row r="79" spans="1:7">
      <c r="A79" s="2798" t="str">
        <f>A57</f>
        <v>Intangible Assets</v>
      </c>
      <c r="B79" s="2799">
        <f>+'Prev. Initial Balance'!D10</f>
        <v>0</v>
      </c>
      <c r="C79" s="2799">
        <f>$B$63</f>
        <v>0</v>
      </c>
      <c r="D79" s="644">
        <f>$B$63</f>
        <v>0</v>
      </c>
      <c r="E79" s="644">
        <f>$B$63</f>
        <v>0</v>
      </c>
      <c r="F79" s="644">
        <f>$B$63</f>
        <v>0</v>
      </c>
      <c r="G79" s="2796">
        <f>$B$63</f>
        <v>0</v>
      </c>
    </row>
    <row r="80" spans="1:7" ht="16.5" thickBot="1">
      <c r="A80" s="2800" t="s">
        <v>1094</v>
      </c>
      <c r="B80" s="2801">
        <f t="shared" ref="B80:G80" si="0">SUM(B71:B79)</f>
        <v>0</v>
      </c>
      <c r="C80" s="2801">
        <f t="shared" si="0"/>
        <v>0</v>
      </c>
      <c r="D80" s="2802">
        <f t="shared" si="0"/>
        <v>0</v>
      </c>
      <c r="E80" s="2802">
        <f t="shared" si="0"/>
        <v>0</v>
      </c>
      <c r="F80" s="2802">
        <f t="shared" si="0"/>
        <v>0</v>
      </c>
      <c r="G80" s="2801">
        <f t="shared" si="0"/>
        <v>0</v>
      </c>
    </row>
    <row r="81" spans="1:7" ht="16.5" thickBot="1">
      <c r="A81" s="2803"/>
      <c r="C81" s="1"/>
      <c r="G81" s="2804"/>
    </row>
    <row r="82" spans="1:7" ht="16.5" thickBot="1">
      <c r="A82" s="1586" t="s">
        <v>1095</v>
      </c>
      <c r="B82" s="2805">
        <f>+'Prev. Initial Balance'!D22-'Prev. Initial Balance'!D31+'Prev. Initial Balance'!D17</f>
        <v>0</v>
      </c>
      <c r="C82" s="2805">
        <f t="array" aca="1" ref="C82:G82" ca="1">'Current Asset Invest.'!B46:F46</f>
        <v>133.35</v>
      </c>
      <c r="D82" s="2806">
        <f ca="1"/>
        <v>0</v>
      </c>
      <c r="E82" s="2806">
        <f ca="1"/>
        <v>0</v>
      </c>
      <c r="F82" s="2806">
        <f ca="1"/>
        <v>0</v>
      </c>
      <c r="G82" s="2805">
        <f ca="1"/>
        <v>0</v>
      </c>
    </row>
    <row r="83" spans="1:7" ht="16.5" thickBot="1">
      <c r="A83" s="2803"/>
      <c r="C83" s="1"/>
      <c r="G83" s="2804"/>
    </row>
    <row r="84" spans="1:7" ht="16.5" thickBot="1">
      <c r="A84" s="1586" t="s">
        <v>1097</v>
      </c>
      <c r="B84" s="2807">
        <f>+'Prev. Initial Balance'!D31</f>
        <v>0</v>
      </c>
      <c r="C84" s="2807">
        <f ca="1">+'Current Asset Invest.'!B48</f>
        <v>1201.6500000000001</v>
      </c>
      <c r="D84" s="2808">
        <f ca="1">+'Current Asset Invest.'!C48</f>
        <v>-12108.752120000003</v>
      </c>
      <c r="E84" s="2808">
        <f ca="1">+'Current Asset Invest.'!D48</f>
        <v>-17183.992667300008</v>
      </c>
      <c r="F84" s="2808">
        <f ca="1">+'Current Asset Invest.'!E48</f>
        <v>-21941.566436814501</v>
      </c>
      <c r="G84" s="2807">
        <f ca="1">+'Current Asset Invest.'!F48</f>
        <v>-26337.283433767447</v>
      </c>
    </row>
    <row r="85" spans="1:7" ht="16.5" thickBot="1">
      <c r="A85" s="2803"/>
      <c r="C85" s="1"/>
      <c r="G85" s="2804"/>
    </row>
    <row r="86" spans="1:7" ht="16.5" thickBot="1">
      <c r="A86" s="1586" t="s">
        <v>1096</v>
      </c>
      <c r="B86" s="2807">
        <f>+B84+B82+B80</f>
        <v>0</v>
      </c>
      <c r="C86" s="2807">
        <f t="array" ref="C86:G86" ca="1">C80:G80+C82:G82+C84:G84</f>
        <v>1335</v>
      </c>
      <c r="D86" s="2808">
        <f ca="1"/>
        <v>-12108.752120000003</v>
      </c>
      <c r="E86" s="2808">
        <f ca="1"/>
        <v>-17183.992667300008</v>
      </c>
      <c r="F86" s="2808">
        <f ca="1"/>
        <v>-21941.566436814501</v>
      </c>
      <c r="G86" s="2807">
        <f ca="1"/>
        <v>-26337.283433767447</v>
      </c>
    </row>
  </sheetData>
  <sheetProtection sheet="1" objects="1" scenarios="1"/>
  <phoneticPr fontId="7" type="noConversion"/>
  <printOptions horizontalCentered="1"/>
  <pageMargins left="0.78740157480314965" right="0.56000000000000005" top="0.4" bottom="0.39" header="0" footer="0"/>
  <pageSetup paperSize="9" scale="83"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0">
    <tabColor indexed="43"/>
    <pageSetUpPr fitToPage="1"/>
  </sheetPr>
  <dimension ref="A1:O60"/>
  <sheetViews>
    <sheetView zoomScale="75" workbookViewId="0">
      <pane xSplit="1" ySplit="4" topLeftCell="B5" activePane="bottomRight" state="frozenSplit"/>
      <selection activeCell="G8" sqref="G8"/>
      <selection pane="topRight" activeCell="G8" sqref="G8"/>
      <selection pane="bottomLeft" activeCell="G8" sqref="G8"/>
      <selection pane="bottomRight" activeCell="G8" sqref="G8"/>
    </sheetView>
  </sheetViews>
  <sheetFormatPr baseColWidth="10" defaultColWidth="11" defaultRowHeight="12.75"/>
  <cols>
    <col min="1" max="1" width="29.25" style="86" customWidth="1"/>
    <col min="2" max="2" width="12" style="86" customWidth="1"/>
    <col min="3" max="3" width="11.875" style="86" customWidth="1"/>
    <col min="4" max="4" width="13.125" style="86" customWidth="1"/>
    <col min="5" max="5" width="13.5" style="86" customWidth="1"/>
    <col min="6" max="6" width="12" style="86" bestFit="1" customWidth="1"/>
    <col min="7" max="7" width="11.75" style="86" customWidth="1"/>
    <col min="8" max="8" width="12.25" style="86" bestFit="1" customWidth="1"/>
    <col min="9" max="9" width="11.75" style="86" bestFit="1" customWidth="1"/>
    <col min="10" max="10" width="12.125" style="86" customWidth="1"/>
    <col min="11" max="11" width="12.25" style="86" bestFit="1" customWidth="1"/>
    <col min="12" max="12" width="12" style="86" bestFit="1" customWidth="1"/>
    <col min="13" max="13" width="11.625" style="86" bestFit="1" customWidth="1"/>
    <col min="14" max="14" width="12" style="86" bestFit="1" customWidth="1"/>
    <col min="15" max="15" width="12.125" style="275" bestFit="1" customWidth="1"/>
    <col min="16" max="16384" width="11" style="86"/>
  </cols>
  <sheetData>
    <row r="1" spans="1:15" ht="22.5">
      <c r="A1" s="289" t="s">
        <v>785</v>
      </c>
      <c r="B1" s="271"/>
      <c r="E1" s="273"/>
      <c r="F1" s="2731" t="str">
        <f>Parameters!F$77</f>
        <v>Year 4:   2030</v>
      </c>
      <c r="G1" s="291"/>
      <c r="H1" s="273"/>
      <c r="I1" s="159"/>
      <c r="J1" s="274"/>
      <c r="K1" s="159"/>
    </row>
    <row r="2" spans="1:15" ht="25.5">
      <c r="A2" s="290" t="str">
        <f>'Base Data'!B9</f>
        <v>WWW, Ltd.</v>
      </c>
      <c r="B2" s="276"/>
      <c r="D2" s="270"/>
      <c r="F2" s="273"/>
      <c r="G2" s="159"/>
      <c r="H2" s="159"/>
      <c r="I2" s="159"/>
      <c r="J2" s="159"/>
      <c r="K2" s="159"/>
    </row>
    <row r="3" spans="1:15" ht="15.75" thickBot="1">
      <c r="A3" s="35"/>
      <c r="B3" s="35"/>
    </row>
    <row r="4" spans="1:15" s="277" customFormat="1" ht="18" customHeight="1" thickBot="1">
      <c r="A4" s="309"/>
      <c r="B4" s="292"/>
      <c r="C4" s="293" t="str">
        <f t="array" ref="C4:N4">meses</f>
        <v>January</v>
      </c>
      <c r="D4" s="293" t="str">
        <v>February</v>
      </c>
      <c r="E4" s="293" t="str">
        <v>March</v>
      </c>
      <c r="F4" s="293" t="str">
        <v>April</v>
      </c>
      <c r="G4" s="293" t="str">
        <v>May</v>
      </c>
      <c r="H4" s="293" t="str">
        <v>June</v>
      </c>
      <c r="I4" s="293" t="str">
        <v>July</v>
      </c>
      <c r="J4" s="293" t="str">
        <v>August</v>
      </c>
      <c r="K4" s="293" t="str">
        <v>September</v>
      </c>
      <c r="L4" s="293" t="str">
        <v>October</v>
      </c>
      <c r="M4" s="293" t="str">
        <v>November</v>
      </c>
      <c r="N4" s="297" t="str">
        <v>December</v>
      </c>
      <c r="O4" s="298" t="s">
        <v>0</v>
      </c>
    </row>
    <row r="5" spans="1:15" s="277" customFormat="1" ht="18" customHeight="1" thickBot="1">
      <c r="A5" s="296" t="str">
        <f t="array" ref="A5:A11">'Cash Flow 0'!A5:A11</f>
        <v>Cash Collections</v>
      </c>
      <c r="B5" s="278"/>
      <c r="C5" s="278"/>
      <c r="D5" s="278"/>
      <c r="E5" s="278"/>
      <c r="F5" s="278"/>
      <c r="G5" s="278"/>
      <c r="H5" s="278"/>
      <c r="I5" s="278"/>
      <c r="J5" s="278"/>
      <c r="K5" s="278"/>
      <c r="L5" s="278"/>
      <c r="M5" s="278"/>
      <c r="O5" s="299"/>
    </row>
    <row r="6" spans="1:15" ht="21" customHeight="1">
      <c r="A6" s="1178" t="str">
        <v>Sales Collection</v>
      </c>
      <c r="B6" s="1172"/>
      <c r="C6" s="2442">
        <f t="array" aca="1" ref="C6:N6" ca="1">'Collections &amp; Payments 4'!B28:M28</f>
        <v>1577.0404343958</v>
      </c>
      <c r="D6" s="2442">
        <f ca="1"/>
        <v>1577.0404343958</v>
      </c>
      <c r="E6" s="2442">
        <f ca="1"/>
        <v>1577.0404343958</v>
      </c>
      <c r="F6" s="2442">
        <f ca="1"/>
        <v>1577.0404343958</v>
      </c>
      <c r="G6" s="2442">
        <f ca="1"/>
        <v>1577.0404343958</v>
      </c>
      <c r="H6" s="2442">
        <f ca="1"/>
        <v>1577.0404343958</v>
      </c>
      <c r="I6" s="2442">
        <f ca="1"/>
        <v>1577.0404343958</v>
      </c>
      <c r="J6" s="2442">
        <f ca="1"/>
        <v>1577.0404343958</v>
      </c>
      <c r="K6" s="2442">
        <f ca="1"/>
        <v>1577.0404343958</v>
      </c>
      <c r="L6" s="2442">
        <f ca="1"/>
        <v>1577.0404343958</v>
      </c>
      <c r="M6" s="2442">
        <f ca="1"/>
        <v>1577.0404343958</v>
      </c>
      <c r="N6" s="2443">
        <f ca="1"/>
        <v>1577.0404343958</v>
      </c>
      <c r="O6" s="2444">
        <f t="shared" ref="O6:O11" ca="1" si="0">SUM(C6:N6)</f>
        <v>18924.485212749601</v>
      </c>
    </row>
    <row r="7" spans="1:15" ht="21" customHeight="1">
      <c r="A7" s="1179" t="str">
        <v>Deferred / Recovered Defaults</v>
      </c>
      <c r="B7" s="1175"/>
      <c r="C7" s="2445">
        <f t="array" aca="1" ref="C7:N7" ca="1">+recmorosos*'Collections &amp; Payments 3'!$S$31/12
+Funding!$H$19*Parameters!B57:M57</f>
        <v>0</v>
      </c>
      <c r="D7" s="2445">
        <f ca="1"/>
        <v>0</v>
      </c>
      <c r="E7" s="2445">
        <f ca="1"/>
        <v>0</v>
      </c>
      <c r="F7" s="2445">
        <f ca="1"/>
        <v>0</v>
      </c>
      <c r="G7" s="2445">
        <f ca="1"/>
        <v>0</v>
      </c>
      <c r="H7" s="2445">
        <f ca="1"/>
        <v>0</v>
      </c>
      <c r="I7" s="2445">
        <f ca="1"/>
        <v>0</v>
      </c>
      <c r="J7" s="2445">
        <f ca="1"/>
        <v>0</v>
      </c>
      <c r="K7" s="2445">
        <f ca="1"/>
        <v>0</v>
      </c>
      <c r="L7" s="2445">
        <f ca="1"/>
        <v>0</v>
      </c>
      <c r="M7" s="2445">
        <f ca="1"/>
        <v>0</v>
      </c>
      <c r="N7" s="2446">
        <f ca="1"/>
        <v>0</v>
      </c>
      <c r="O7" s="2447">
        <f t="shared" ca="1" si="0"/>
        <v>0</v>
      </c>
    </row>
    <row r="8" spans="1:15" ht="21" customHeight="1">
      <c r="A8" s="1179" t="str">
        <v>Other Cash Collections</v>
      </c>
      <c r="B8" s="1173"/>
      <c r="C8" s="2451">
        <v>0</v>
      </c>
      <c r="D8" s="2445">
        <v>0</v>
      </c>
      <c r="E8" s="2445">
        <v>0</v>
      </c>
      <c r="F8" s="2445">
        <v>0</v>
      </c>
      <c r="G8" s="2445">
        <v>0</v>
      </c>
      <c r="H8" s="2445">
        <v>0</v>
      </c>
      <c r="I8" s="2445">
        <v>0</v>
      </c>
      <c r="J8" s="2445">
        <f ca="1">IF('Personal Income Tax'!N25&lt;0,-'Personal Income Tax'!N25*'Personal Income Tax'!N19,0)</f>
        <v>0</v>
      </c>
      <c r="K8" s="2445">
        <v>0</v>
      </c>
      <c r="L8" s="2445">
        <v>0</v>
      </c>
      <c r="M8" s="2445">
        <v>0</v>
      </c>
      <c r="N8" s="2446">
        <f ca="1">IF('Corporate Income Tax'!$J$23&lt;0,-'Corporate Income Tax'!$J$23,0)</f>
        <v>0</v>
      </c>
      <c r="O8" s="2447">
        <f t="shared" ca="1" si="0"/>
        <v>0</v>
      </c>
    </row>
    <row r="9" spans="1:15" ht="21" customHeight="1">
      <c r="A9" s="1179" t="str">
        <v>VAT Refunds</v>
      </c>
      <c r="B9" s="1173"/>
      <c r="C9" s="2445">
        <f t="array" ref="C9:N9">'VAT 4'!C26:N26</f>
        <v>0</v>
      </c>
      <c r="D9" s="2445">
        <v>0</v>
      </c>
      <c r="E9" s="2445">
        <v>0</v>
      </c>
      <c r="F9" s="2445">
        <v>0</v>
      </c>
      <c r="G9" s="2445">
        <v>0</v>
      </c>
      <c r="H9" s="2445">
        <f ca="1"/>
        <v>0</v>
      </c>
      <c r="I9" s="2445">
        <v>0</v>
      </c>
      <c r="J9" s="2445">
        <v>0</v>
      </c>
      <c r="K9" s="2445">
        <v>0</v>
      </c>
      <c r="L9" s="2445">
        <v>0</v>
      </c>
      <c r="M9" s="2445">
        <v>0</v>
      </c>
      <c r="N9" s="2446">
        <v>0</v>
      </c>
      <c r="O9" s="2447">
        <f t="shared" ca="1" si="0"/>
        <v>0</v>
      </c>
    </row>
    <row r="10" spans="1:15" ht="21" customHeight="1">
      <c r="A10" s="1179" t="str">
        <v>Financial income</v>
      </c>
      <c r="B10" s="1173"/>
      <c r="C10" s="2445">
        <f t="array" ref="C10:N10" ca="1">'Financial Expenses'!C107:N107</f>
        <v>0</v>
      </c>
      <c r="D10" s="2445">
        <f ca="1"/>
        <v>0</v>
      </c>
      <c r="E10" s="2445">
        <f ca="1"/>
        <v>0</v>
      </c>
      <c r="F10" s="2445">
        <f ca="1"/>
        <v>0</v>
      </c>
      <c r="G10" s="2445">
        <f ca="1"/>
        <v>0</v>
      </c>
      <c r="H10" s="2445">
        <f ca="1"/>
        <v>0</v>
      </c>
      <c r="I10" s="2445">
        <f ca="1"/>
        <v>0</v>
      </c>
      <c r="J10" s="2445">
        <f ca="1"/>
        <v>0</v>
      </c>
      <c r="K10" s="2445">
        <f ca="1"/>
        <v>0</v>
      </c>
      <c r="L10" s="2445">
        <f ca="1"/>
        <v>0</v>
      </c>
      <c r="M10" s="2445">
        <f ca="1"/>
        <v>0</v>
      </c>
      <c r="N10" s="2446">
        <f ca="1"/>
        <v>0</v>
      </c>
      <c r="O10" s="2447">
        <f t="shared" ca="1" si="0"/>
        <v>0</v>
      </c>
    </row>
    <row r="11" spans="1:15" s="275" customFormat="1" ht="21" customHeight="1" thickBot="1">
      <c r="A11" s="1176" t="str">
        <v>Monthly Collection Budget</v>
      </c>
      <c r="B11" s="1177"/>
      <c r="C11" s="2448">
        <f t="shared" ref="C11:N11" ca="1" si="1">SUM(C6:C10)</f>
        <v>1577.0404343958</v>
      </c>
      <c r="D11" s="2448">
        <f t="shared" ca="1" si="1"/>
        <v>1577.0404343958</v>
      </c>
      <c r="E11" s="2448">
        <f t="shared" ca="1" si="1"/>
        <v>1577.0404343958</v>
      </c>
      <c r="F11" s="2448">
        <f t="shared" ca="1" si="1"/>
        <v>1577.0404343958</v>
      </c>
      <c r="G11" s="2448">
        <f t="shared" ca="1" si="1"/>
        <v>1577.0404343958</v>
      </c>
      <c r="H11" s="2448">
        <f t="shared" ca="1" si="1"/>
        <v>1577.0404343958</v>
      </c>
      <c r="I11" s="2448">
        <f t="shared" ca="1" si="1"/>
        <v>1577.0404343958</v>
      </c>
      <c r="J11" s="2448">
        <f t="shared" ca="1" si="1"/>
        <v>1577.0404343958</v>
      </c>
      <c r="K11" s="2448">
        <f t="shared" ca="1" si="1"/>
        <v>1577.0404343958</v>
      </c>
      <c r="L11" s="2448">
        <f t="shared" ca="1" si="1"/>
        <v>1577.0404343958</v>
      </c>
      <c r="M11" s="2448">
        <f t="shared" ca="1" si="1"/>
        <v>1577.0404343958</v>
      </c>
      <c r="N11" s="2449">
        <f t="shared" ca="1" si="1"/>
        <v>1577.0404343958</v>
      </c>
      <c r="O11" s="2450">
        <f t="shared" ca="1" si="0"/>
        <v>18924.485212749601</v>
      </c>
    </row>
    <row r="12" spans="1:15" s="275" customFormat="1" ht="9.75" customHeight="1">
      <c r="A12" s="294"/>
      <c r="B12" s="280"/>
      <c r="C12" s="280"/>
      <c r="D12" s="280"/>
      <c r="E12" s="280"/>
      <c r="F12" s="280"/>
      <c r="G12" s="280"/>
      <c r="H12" s="280"/>
      <c r="I12" s="280"/>
      <c r="J12" s="280"/>
      <c r="K12" s="280"/>
      <c r="L12" s="280"/>
      <c r="M12" s="280"/>
      <c r="N12" s="280"/>
      <c r="O12" s="300"/>
    </row>
    <row r="13" spans="1:15" s="275" customFormat="1" ht="21" customHeight="1" thickBot="1">
      <c r="A13" s="296" t="str">
        <f t="array" ref="A13:A17">'Cash Flow 0'!A13:A17</f>
        <v>PAYMENTS</v>
      </c>
      <c r="B13" s="281"/>
      <c r="C13" s="281"/>
      <c r="D13" s="281"/>
      <c r="E13" s="281"/>
      <c r="F13" s="281"/>
      <c r="G13" s="281"/>
      <c r="H13" s="281"/>
      <c r="I13" s="281"/>
      <c r="J13" s="281"/>
      <c r="K13" s="281"/>
      <c r="L13" s="281"/>
      <c r="M13" s="281"/>
      <c r="N13" s="281"/>
      <c r="O13" s="301"/>
    </row>
    <row r="14" spans="1:15" s="288" customFormat="1" ht="21" customHeight="1">
      <c r="A14" s="1178" t="str">
        <v>Fixed Expenses payments ( VAT incl.)</v>
      </c>
      <c r="B14" s="1172"/>
      <c r="C14" s="1184">
        <f ca="1">'Fixed Expenses 4'!B58+'Fixed Expenses 4'!B60</f>
        <v>1533.6894369755541</v>
      </c>
      <c r="D14" s="1184">
        <f ca="1">'Fixed Expenses 4'!C58+'Fixed Expenses 4'!C60</f>
        <v>1533.6894369755541</v>
      </c>
      <c r="E14" s="1184">
        <f ca="1">'Fixed Expenses 4'!D58+'Fixed Expenses 4'!D60</f>
        <v>1533.6894369755541</v>
      </c>
      <c r="F14" s="1184">
        <f ca="1">'Fixed Expenses 4'!E58+'Fixed Expenses 4'!E60</f>
        <v>1533.6894369755541</v>
      </c>
      <c r="G14" s="1184">
        <f ca="1">'Fixed Expenses 4'!F58+'Fixed Expenses 4'!F60</f>
        <v>1533.6894369755541</v>
      </c>
      <c r="H14" s="1184">
        <f ca="1">'Fixed Expenses 4'!G58+'Fixed Expenses 4'!G60</f>
        <v>1533.6894369755541</v>
      </c>
      <c r="I14" s="1184">
        <f ca="1">'Fixed Expenses 4'!H58+'Fixed Expenses 4'!H60</f>
        <v>1533.6894369755541</v>
      </c>
      <c r="J14" s="1184">
        <f ca="1">'Fixed Expenses 4'!I58+'Fixed Expenses 4'!I60</f>
        <v>1533.6894369755541</v>
      </c>
      <c r="K14" s="1184">
        <f ca="1">'Fixed Expenses 4'!J58+'Fixed Expenses 4'!J60</f>
        <v>1533.6894369755541</v>
      </c>
      <c r="L14" s="1184">
        <f ca="1">'Fixed Expenses 4'!K58+'Fixed Expenses 4'!K60</f>
        <v>1533.6894369755541</v>
      </c>
      <c r="M14" s="1184">
        <f ca="1">'Fixed Expenses 4'!L58+'Fixed Expenses 4'!L60</f>
        <v>1533.6894369755541</v>
      </c>
      <c r="N14" s="1185">
        <f ca="1">'Fixed Expenses 4'!M58+'Fixed Expenses 4'!M60</f>
        <v>1533.6894369755541</v>
      </c>
      <c r="O14" s="1186">
        <f ca="1">SUM(C14:N14)</f>
        <v>18404.273243706648</v>
      </c>
    </row>
    <row r="15" spans="1:15" s="287" customFormat="1" ht="21" customHeight="1">
      <c r="A15" s="1179" t="str">
        <v>Purchases &amp; Direct Costs payments  ( VAT incl.)</v>
      </c>
      <c r="B15" s="1173"/>
      <c r="C15" s="1187">
        <f t="array" aca="1" ref="C15:N15" ca="1">'Collections &amp; Payments 4'!B55:M55</f>
        <v>157.70404343958</v>
      </c>
      <c r="D15" s="1187">
        <f ca="1"/>
        <v>157.70404343958</v>
      </c>
      <c r="E15" s="1187">
        <f ca="1"/>
        <v>157.70404343958</v>
      </c>
      <c r="F15" s="1187">
        <f ca="1"/>
        <v>157.70404343958</v>
      </c>
      <c r="G15" s="1187">
        <f ca="1"/>
        <v>157.70404343958</v>
      </c>
      <c r="H15" s="1187">
        <f ca="1"/>
        <v>157.70404343958</v>
      </c>
      <c r="I15" s="1187">
        <f ca="1"/>
        <v>157.70404343958</v>
      </c>
      <c r="J15" s="1187">
        <f ca="1"/>
        <v>157.70404343958</v>
      </c>
      <c r="K15" s="1187">
        <f ca="1"/>
        <v>157.70404343958</v>
      </c>
      <c r="L15" s="1187">
        <f ca="1"/>
        <v>157.70404343958</v>
      </c>
      <c r="M15" s="1187">
        <f ca="1"/>
        <v>157.70404343958</v>
      </c>
      <c r="N15" s="1188">
        <f ca="1"/>
        <v>157.70404343958</v>
      </c>
      <c r="O15" s="1189">
        <f ca="1">SUM(C15:N15)</f>
        <v>1892.4485212749596</v>
      </c>
    </row>
    <row r="16" spans="1:15" s="287" customFormat="1" ht="21" customHeight="1">
      <c r="A16" s="1179" t="str">
        <v>Financial Expenses Payments</v>
      </c>
      <c r="B16" s="1173"/>
      <c r="C16" s="1187">
        <f t="array" ref="C16:N16" ca="1">'Financial Expenses'!C79:N79+'Financial Expenses'!C75:N75*Parameters!$F$33*0</f>
        <v>15.770404343958001</v>
      </c>
      <c r="D16" s="1187">
        <f ca="1"/>
        <v>15.770404343958001</v>
      </c>
      <c r="E16" s="1187">
        <f ca="1"/>
        <v>15.770404343958001</v>
      </c>
      <c r="F16" s="1187">
        <f ca="1"/>
        <v>15.770404343958001</v>
      </c>
      <c r="G16" s="1187">
        <f ca="1"/>
        <v>15.770404343958001</v>
      </c>
      <c r="H16" s="1187">
        <f ca="1"/>
        <v>15.770404343958001</v>
      </c>
      <c r="I16" s="1187">
        <f ca="1"/>
        <v>15.770404343958001</v>
      </c>
      <c r="J16" s="1187">
        <f ca="1"/>
        <v>15.770404343958001</v>
      </c>
      <c r="K16" s="1187">
        <f ca="1"/>
        <v>15.770404343958001</v>
      </c>
      <c r="L16" s="1187">
        <f ca="1"/>
        <v>15.770404343958001</v>
      </c>
      <c r="M16" s="1187">
        <f ca="1"/>
        <v>15.770404343958001</v>
      </c>
      <c r="N16" s="1188">
        <f ca="1"/>
        <v>15.770404343958001</v>
      </c>
      <c r="O16" s="1189">
        <f ca="1">SUM(C16:N16)</f>
        <v>189.24485212749605</v>
      </c>
    </row>
    <row r="17" spans="1:15" s="287" customFormat="1" ht="21" customHeight="1">
      <c r="A17" s="1179" t="str">
        <v>Leasing / Renting quotes input VAT payments</v>
      </c>
      <c r="B17" s="1173"/>
      <c r="C17" s="1187">
        <f t="array" ref="C17:N17">+Leasing!B56:M56+Renting!B52:M56</f>
        <v>0</v>
      </c>
      <c r="D17" s="1187">
        <v>0</v>
      </c>
      <c r="E17" s="1187">
        <v>0</v>
      </c>
      <c r="F17" s="1187">
        <v>0</v>
      </c>
      <c r="G17" s="1187">
        <v>0</v>
      </c>
      <c r="H17" s="1187">
        <v>0</v>
      </c>
      <c r="I17" s="1187">
        <v>0</v>
      </c>
      <c r="J17" s="1187">
        <v>0</v>
      </c>
      <c r="K17" s="1187">
        <v>0</v>
      </c>
      <c r="L17" s="1187">
        <v>0</v>
      </c>
      <c r="M17" s="1187">
        <v>0</v>
      </c>
      <c r="N17" s="1188">
        <v>0</v>
      </c>
      <c r="O17" s="1189">
        <f>SUM(C17:N17)</f>
        <v>0</v>
      </c>
    </row>
    <row r="18" spans="1:15" s="287" customFormat="1" ht="9.75" customHeight="1">
      <c r="A18" s="1180"/>
      <c r="C18" s="1706"/>
      <c r="D18" s="1707"/>
      <c r="E18" s="1708"/>
      <c r="F18" s="1707"/>
      <c r="G18" s="1707"/>
      <c r="H18" s="1707"/>
      <c r="I18" s="1707"/>
      <c r="J18" s="1707"/>
      <c r="K18" s="1707"/>
      <c r="L18" s="1707"/>
      <c r="M18" s="1707"/>
      <c r="N18" s="1709"/>
      <c r="O18" s="1710"/>
    </row>
    <row r="19" spans="1:15" s="287" customFormat="1" ht="21" customHeight="1">
      <c r="A19" s="1182" t="str">
        <f t="array" ref="A19:A25">'Cash Flow 0'!A19:A25</f>
        <v>Other payments</v>
      </c>
      <c r="B19" s="1174"/>
      <c r="C19" s="1190"/>
      <c r="D19" s="1191"/>
      <c r="E19" s="1192"/>
      <c r="F19" s="1191"/>
      <c r="G19" s="1191"/>
      <c r="H19" s="1191"/>
      <c r="I19" s="1191"/>
      <c r="J19" s="1191"/>
      <c r="K19" s="1191"/>
      <c r="L19" s="1191"/>
      <c r="M19" s="1191"/>
      <c r="N19" s="1193"/>
      <c r="O19" s="1194"/>
    </row>
    <row r="20" spans="1:15" s="287" customFormat="1" ht="21" customHeight="1">
      <c r="A20" s="1179" t="str">
        <v>Debt repayment (mortgages &amp; leasings)</v>
      </c>
      <c r="B20" s="1173"/>
      <c r="C20" s="1187">
        <f t="array" ref="C20:N20">Loans!B56:M56+Leasing!B55:M55</f>
        <v>0</v>
      </c>
      <c r="D20" s="1187">
        <v>0</v>
      </c>
      <c r="E20" s="1187">
        <v>0</v>
      </c>
      <c r="F20" s="1187">
        <v>0</v>
      </c>
      <c r="G20" s="1187">
        <v>0</v>
      </c>
      <c r="H20" s="1187">
        <v>0</v>
      </c>
      <c r="I20" s="1187">
        <v>0</v>
      </c>
      <c r="J20" s="1187">
        <v>0</v>
      </c>
      <c r="K20" s="1187">
        <v>0</v>
      </c>
      <c r="L20" s="1187">
        <v>0</v>
      </c>
      <c r="M20" s="1187">
        <v>0</v>
      </c>
      <c r="N20" s="1188">
        <v>0</v>
      </c>
      <c r="O20" s="1189">
        <f>SUM(C20:N20)</f>
        <v>0</v>
      </c>
    </row>
    <row r="21" spans="1:15" s="287" customFormat="1" ht="21" customHeight="1">
      <c r="A21" s="1179" t="str">
        <v>Other Out-flows</v>
      </c>
      <c r="B21" s="1173"/>
      <c r="C21" s="1187">
        <v>0</v>
      </c>
      <c r="D21" s="1187">
        <v>0</v>
      </c>
      <c r="E21" s="1187">
        <v>0</v>
      </c>
      <c r="F21" s="1187">
        <v>0</v>
      </c>
      <c r="G21" s="1187">
        <v>0</v>
      </c>
      <c r="H21" s="1187">
        <v>0</v>
      </c>
      <c r="I21" s="1187">
        <v>0</v>
      </c>
      <c r="J21" s="1187">
        <v>0</v>
      </c>
      <c r="K21" s="1187">
        <v>0</v>
      </c>
      <c r="L21" s="1187">
        <v>0</v>
      </c>
      <c r="M21" s="1187">
        <v>0</v>
      </c>
      <c r="N21" s="1188">
        <v>0</v>
      </c>
      <c r="O21" s="1189">
        <f>SUM(C21:N21)</f>
        <v>0</v>
      </c>
    </row>
    <row r="22" spans="1:15" s="287" customFormat="1" ht="21" customHeight="1">
      <c r="A22" s="1179" t="str">
        <v>VAT Settlements payments</v>
      </c>
      <c r="B22" s="1173"/>
      <c r="C22" s="1187">
        <f t="array" aca="1" ref="C22:N22" ca="1">'VAT 4'!C24:N24</f>
        <v>219.77907026669999</v>
      </c>
      <c r="D22" s="1187">
        <f ca="1"/>
        <v>237.677865666066</v>
      </c>
      <c r="E22" s="1187">
        <f ca="1"/>
        <v>237.677865666066</v>
      </c>
      <c r="F22" s="1187">
        <f ca="1"/>
        <v>237.677865666066</v>
      </c>
      <c r="G22" s="1187">
        <f ca="1"/>
        <v>237.677865666066</v>
      </c>
      <c r="H22" s="1187">
        <f ca="1"/>
        <v>237.677865666066</v>
      </c>
      <c r="I22" s="1187">
        <f ca="1"/>
        <v>237.677865666066</v>
      </c>
      <c r="J22" s="1187">
        <f ca="1"/>
        <v>237.677865666066</v>
      </c>
      <c r="K22" s="1187">
        <f ca="1"/>
        <v>237.677865666066</v>
      </c>
      <c r="L22" s="1187">
        <f ca="1"/>
        <v>237.677865666066</v>
      </c>
      <c r="M22" s="1187">
        <f ca="1"/>
        <v>237.677865666066</v>
      </c>
      <c r="N22" s="1188">
        <f ca="1"/>
        <v>237.677865666066</v>
      </c>
      <c r="O22" s="1189">
        <f ca="1">SUM(C22:N22)</f>
        <v>2834.2355925934257</v>
      </c>
    </row>
    <row r="23" spans="1:15" s="287" customFormat="1" ht="21" customHeight="1">
      <c r="A23" s="1179" t="str">
        <v>Income Tax payments</v>
      </c>
      <c r="B23" s="1173"/>
      <c r="C23" s="1187">
        <f ca="1">'Personal Income Tax Calc.'!N40</f>
        <v>0</v>
      </c>
      <c r="D23" s="1187"/>
      <c r="E23" s="1187"/>
      <c r="F23" s="1187">
        <f ca="1">'Corporate Income Tax'!M18+'Personal Income Tax Calc.'!E49</f>
        <v>0</v>
      </c>
      <c r="G23" s="1187"/>
      <c r="H23" s="1187">
        <f ca="1">IF('Personal Income Tax'!N25&lt;0,0,'Personal Income Tax'!N25*'Personal Income Tax'!N19)</f>
        <v>0</v>
      </c>
      <c r="I23" s="1187">
        <f ca="1">IF('Corporate Income Tax'!J23&gt;0,'Corporate Income Tax'!J23,0)+'Personal Income Tax Calc.'!H49
+'Corporate Income Tax'!$J$32/2</f>
        <v>0</v>
      </c>
      <c r="J23" s="1187"/>
      <c r="K23" s="1187"/>
      <c r="L23" s="1187">
        <f ca="1">'Corporate Income Tax'!M19+'Personal Income Tax Calc.'!K49</f>
        <v>0</v>
      </c>
      <c r="M23" s="1187"/>
      <c r="N23" s="1188">
        <f ca="1">'Corporate Income Tax'!M20
+'Corporate Income Tax'!$J$32/2</f>
        <v>0</v>
      </c>
      <c r="O23" s="1189">
        <f ca="1">SUM(C23:N23)</f>
        <v>0</v>
      </c>
    </row>
    <row r="24" spans="1:15" s="287" customFormat="1" ht="21" customHeight="1">
      <c r="A24" s="1179" t="str">
        <v>Long Term Creditors payments</v>
      </c>
      <c r="B24" s="1173"/>
      <c r="C24" s="1187">
        <f t="array" ref="C24:N24">'Unusual payments &amp; Collections'!B104:M104</f>
        <v>0</v>
      </c>
      <c r="D24" s="1187">
        <v>0</v>
      </c>
      <c r="E24" s="1187">
        <v>0</v>
      </c>
      <c r="F24" s="1187">
        <v>0</v>
      </c>
      <c r="G24" s="1187">
        <v>0</v>
      </c>
      <c r="H24" s="1187">
        <v>0</v>
      </c>
      <c r="I24" s="1187">
        <v>0</v>
      </c>
      <c r="J24" s="1187">
        <v>0</v>
      </c>
      <c r="K24" s="1187">
        <v>0</v>
      </c>
      <c r="L24" s="1187">
        <v>0</v>
      </c>
      <c r="M24" s="1187">
        <v>0</v>
      </c>
      <c r="N24" s="1188">
        <v>0</v>
      </c>
      <c r="O24" s="1189">
        <f>SUM(C24:N24)</f>
        <v>0</v>
      </c>
    </row>
    <row r="25" spans="1:15" s="288" customFormat="1" ht="21" customHeight="1" thickBot="1">
      <c r="A25" s="1183" t="str">
        <v>Total Payments forecast</v>
      </c>
      <c r="B25" s="1177"/>
      <c r="C25" s="1195">
        <f t="shared" ref="C25:N25" ca="1" si="2">SUM(C14:C24)</f>
        <v>1926.9429550257921</v>
      </c>
      <c r="D25" s="1195">
        <f t="shared" ca="1" si="2"/>
        <v>1944.8417504251581</v>
      </c>
      <c r="E25" s="1195">
        <f t="shared" ca="1" si="2"/>
        <v>1944.8417504251581</v>
      </c>
      <c r="F25" s="1195">
        <f t="shared" ca="1" si="2"/>
        <v>1944.8417504251581</v>
      </c>
      <c r="G25" s="1195">
        <f t="shared" ca="1" si="2"/>
        <v>1944.8417504251581</v>
      </c>
      <c r="H25" s="1195">
        <f t="shared" ca="1" si="2"/>
        <v>1944.8417504251581</v>
      </c>
      <c r="I25" s="1195">
        <f t="shared" ca="1" si="2"/>
        <v>1944.8417504251581</v>
      </c>
      <c r="J25" s="1195">
        <f t="shared" ca="1" si="2"/>
        <v>1944.8417504251581</v>
      </c>
      <c r="K25" s="1195">
        <f t="shared" ca="1" si="2"/>
        <v>1944.8417504251581</v>
      </c>
      <c r="L25" s="1195">
        <f t="shared" ca="1" si="2"/>
        <v>1944.8417504251581</v>
      </c>
      <c r="M25" s="1195">
        <f t="shared" ca="1" si="2"/>
        <v>1944.8417504251581</v>
      </c>
      <c r="N25" s="1196">
        <f t="shared" ca="1" si="2"/>
        <v>1944.8417504251581</v>
      </c>
      <c r="O25" s="1197">
        <f ca="1">SUM(O14:O24)</f>
        <v>23320.202209702529</v>
      </c>
    </row>
    <row r="26" spans="1:15" s="275" customFormat="1" ht="21" customHeight="1">
      <c r="A26" s="294"/>
      <c r="B26" s="315"/>
      <c r="C26" s="283"/>
      <c r="D26" s="283"/>
      <c r="E26" s="283"/>
      <c r="F26" s="283"/>
      <c r="G26" s="283"/>
      <c r="H26" s="283"/>
      <c r="I26" s="283"/>
      <c r="J26" s="283"/>
      <c r="K26" s="283"/>
      <c r="L26" s="283"/>
      <c r="M26" s="283"/>
      <c r="O26" s="302"/>
    </row>
    <row r="27" spans="1:15" s="275" customFormat="1" ht="21" customHeight="1" thickBot="1">
      <c r="A27" s="294"/>
      <c r="B27" s="282"/>
      <c r="C27" s="283"/>
      <c r="D27" s="283"/>
      <c r="E27" s="283"/>
      <c r="F27" s="283"/>
      <c r="G27" s="283"/>
      <c r="H27" s="283"/>
      <c r="I27" s="283"/>
      <c r="J27" s="283"/>
      <c r="K27" s="283"/>
      <c r="L27" s="283"/>
      <c r="M27" s="283"/>
      <c r="O27" s="302"/>
    </row>
    <row r="28" spans="1:15" s="277" customFormat="1" ht="18" customHeight="1" thickBot="1">
      <c r="A28" s="312" t="str">
        <f t="array" ref="A28:A31">'Cash Flow 0'!A28:A31</f>
        <v>Cash Flow Budget</v>
      </c>
      <c r="B28" s="292"/>
      <c r="C28" s="293" t="str">
        <f t="array" ref="C28:N28">meses</f>
        <v>January</v>
      </c>
      <c r="D28" s="293" t="str">
        <v>February</v>
      </c>
      <c r="E28" s="293" t="str">
        <v>March</v>
      </c>
      <c r="F28" s="293" t="str">
        <v>April</v>
      </c>
      <c r="G28" s="293" t="str">
        <v>May</v>
      </c>
      <c r="H28" s="293" t="str">
        <v>June</v>
      </c>
      <c r="I28" s="293" t="str">
        <v>July</v>
      </c>
      <c r="J28" s="293" t="str">
        <v>August</v>
      </c>
      <c r="K28" s="293" t="str">
        <v>September</v>
      </c>
      <c r="L28" s="293" t="str">
        <v>October</v>
      </c>
      <c r="M28" s="293" t="str">
        <v>November</v>
      </c>
      <c r="N28" s="297" t="str">
        <v>December</v>
      </c>
      <c r="O28" s="298" t="str">
        <f>O4</f>
        <v>Total</v>
      </c>
    </row>
    <row r="29" spans="1:15" s="275" customFormat="1" ht="21" customHeight="1" thickBot="1">
      <c r="A29" s="313" t="str">
        <v>Monthly Cash Collection forecast</v>
      </c>
      <c r="B29" s="284"/>
      <c r="C29" s="610">
        <f t="array" ref="C29:N29" ca="1">C11:N11</f>
        <v>1577.0404343958</v>
      </c>
      <c r="D29" s="610">
        <f ca="1"/>
        <v>1577.0404343958</v>
      </c>
      <c r="E29" s="610">
        <f ca="1"/>
        <v>1577.0404343958</v>
      </c>
      <c r="F29" s="610">
        <f ca="1"/>
        <v>1577.0404343958</v>
      </c>
      <c r="G29" s="610">
        <f ca="1"/>
        <v>1577.0404343958</v>
      </c>
      <c r="H29" s="610">
        <f ca="1"/>
        <v>1577.0404343958</v>
      </c>
      <c r="I29" s="610">
        <f ca="1"/>
        <v>1577.0404343958</v>
      </c>
      <c r="J29" s="610">
        <f ca="1"/>
        <v>1577.0404343958</v>
      </c>
      <c r="K29" s="610">
        <f ca="1"/>
        <v>1577.0404343958</v>
      </c>
      <c r="L29" s="610">
        <f ca="1"/>
        <v>1577.0404343958</v>
      </c>
      <c r="M29" s="610">
        <f ca="1"/>
        <v>1577.0404343958</v>
      </c>
      <c r="N29" s="611">
        <f ca="1"/>
        <v>1577.0404343958</v>
      </c>
      <c r="O29" s="612">
        <f ca="1">SUM(C29:N29)</f>
        <v>18924.485212749601</v>
      </c>
    </row>
    <row r="30" spans="1:15" s="275" customFormat="1" ht="21" customHeight="1" thickBot="1">
      <c r="A30" s="313" t="str">
        <v>Monthly payments forecast</v>
      </c>
      <c r="B30" s="279"/>
      <c r="C30" s="613">
        <f t="array" ref="C30:N30" ca="1">C25:N25</f>
        <v>1926.9429550257921</v>
      </c>
      <c r="D30" s="613">
        <f ca="1"/>
        <v>1944.8417504251581</v>
      </c>
      <c r="E30" s="613">
        <f ca="1"/>
        <v>1944.8417504251581</v>
      </c>
      <c r="F30" s="613">
        <f ca="1"/>
        <v>1944.8417504251581</v>
      </c>
      <c r="G30" s="613">
        <f ca="1"/>
        <v>1944.8417504251581</v>
      </c>
      <c r="H30" s="613">
        <f ca="1"/>
        <v>1944.8417504251581</v>
      </c>
      <c r="I30" s="613">
        <f ca="1"/>
        <v>1944.8417504251581</v>
      </c>
      <c r="J30" s="613">
        <f ca="1"/>
        <v>1944.8417504251581</v>
      </c>
      <c r="K30" s="613">
        <f ca="1"/>
        <v>1944.8417504251581</v>
      </c>
      <c r="L30" s="613">
        <f ca="1"/>
        <v>1944.8417504251581</v>
      </c>
      <c r="M30" s="613">
        <f ca="1"/>
        <v>1944.8417504251581</v>
      </c>
      <c r="N30" s="614">
        <f ca="1"/>
        <v>1944.8417504251581</v>
      </c>
      <c r="O30" s="612">
        <f ca="1">SUM(C30:N30)</f>
        <v>23320.202209702533</v>
      </c>
    </row>
    <row r="31" spans="1:15" s="275" customFormat="1" ht="21" customHeight="1" thickBot="1">
      <c r="A31" s="314" t="str">
        <v>Monthly Cash Flow Forecast</v>
      </c>
      <c r="B31" s="284"/>
      <c r="C31" s="615">
        <f t="array" ref="C31:N31" ca="1">C29:N29-C30:N30</f>
        <v>-349.90252062999207</v>
      </c>
      <c r="D31" s="615">
        <f ca="1"/>
        <v>-367.80131602935808</v>
      </c>
      <c r="E31" s="615">
        <f ca="1"/>
        <v>-367.80131602935808</v>
      </c>
      <c r="F31" s="615">
        <f ca="1"/>
        <v>-367.80131602935808</v>
      </c>
      <c r="G31" s="615">
        <f ca="1"/>
        <v>-367.80131602935808</v>
      </c>
      <c r="H31" s="615">
        <f ca="1"/>
        <v>-367.80131602935808</v>
      </c>
      <c r="I31" s="615">
        <f ca="1"/>
        <v>-367.80131602935808</v>
      </c>
      <c r="J31" s="615">
        <f ca="1"/>
        <v>-367.80131602935808</v>
      </c>
      <c r="K31" s="615">
        <f ca="1"/>
        <v>-367.80131602935808</v>
      </c>
      <c r="L31" s="615">
        <f ca="1"/>
        <v>-367.80131602935808</v>
      </c>
      <c r="M31" s="615">
        <f ca="1"/>
        <v>-367.80131602935808</v>
      </c>
      <c r="N31" s="616">
        <f ca="1"/>
        <v>-367.80131602935808</v>
      </c>
      <c r="O31" s="617">
        <f ca="1">O29-O30</f>
        <v>-4395.7169969529314</v>
      </c>
    </row>
    <row r="32" spans="1:15" s="275" customFormat="1" ht="21" customHeight="1" thickBot="1">
      <c r="A32" s="316"/>
      <c r="B32" s="284"/>
      <c r="C32" s="285"/>
      <c r="D32" s="285"/>
      <c r="E32" s="285"/>
      <c r="F32" s="285"/>
      <c r="G32" s="285"/>
      <c r="H32" s="285"/>
      <c r="I32" s="285"/>
      <c r="J32" s="285"/>
      <c r="K32" s="285"/>
      <c r="L32" s="285"/>
      <c r="M32" s="285"/>
      <c r="N32" s="618"/>
      <c r="O32" s="619"/>
    </row>
    <row r="33" spans="1:15" s="288" customFormat="1" ht="21" customHeight="1" thickBot="1">
      <c r="A33" s="1169" t="str">
        <f>'Cash Flow 0'!A33</f>
        <v>Credit account used amount</v>
      </c>
      <c r="B33" s="1155">
        <f ca="1">'Cash Flow 3'!N33</f>
        <v>0</v>
      </c>
      <c r="C33" s="1156">
        <f ca="1">IF(B35+C31-B33&gt;tesoreriasec,0,MIN(B33-B35-C31+tesoreriasec,Funding!$H$49))</f>
        <v>0</v>
      </c>
      <c r="D33" s="1157">
        <f ca="1">IF(C35+D31-C33&gt;tesoreriasec,0,MIN(C33-C35-D31+tesoreriasec,Funding!$H$49))</f>
        <v>0</v>
      </c>
      <c r="E33" s="1157">
        <f ca="1">IF(D35+E31-D33&gt;tesoreriasec,0,MIN(D33-D35-E31+tesoreriasec,Funding!$H$49))</f>
        <v>0</v>
      </c>
      <c r="F33" s="1157">
        <f ca="1">IF(E35+F31-E33&gt;tesoreriasec,0,MIN(E33-E35-F31+tesoreriasec,Funding!$H$49))</f>
        <v>0</v>
      </c>
      <c r="G33" s="1157">
        <f ca="1">IF(F35+G31-F33&gt;tesoreriasec,0,MIN(F33-F35-G31+tesoreriasec,Funding!$H$49))</f>
        <v>0</v>
      </c>
      <c r="H33" s="1157">
        <f ca="1">IF(G35+H31-G33&gt;tesoreriasec,0,MIN(G33-G35-H31+tesoreriasec,Funding!$H$49))</f>
        <v>0</v>
      </c>
      <c r="I33" s="1157">
        <f ca="1">IF(H35+I31-H33&gt;tesoreriasec,0,MIN(H33-H35-I31+tesoreriasec,Funding!$H$49))</f>
        <v>0</v>
      </c>
      <c r="J33" s="1157">
        <f ca="1">IF(I35+J31-I33&gt;tesoreriasec,0,MIN(I33-I35-J31+tesoreriasec,Funding!$H$49))</f>
        <v>0</v>
      </c>
      <c r="K33" s="1157">
        <f ca="1">IF(J35+K31-J33&gt;tesoreriasec,0,MIN(J33-J35-K31+tesoreriasec,Funding!$H$49))</f>
        <v>0</v>
      </c>
      <c r="L33" s="1157">
        <f ca="1">IF(K35+L31-K33&gt;tesoreriasec,0,MIN(K33-K35-L31+tesoreriasec,Funding!$H$49))</f>
        <v>0</v>
      </c>
      <c r="M33" s="1157">
        <f ca="1">IF(L35+M31-L33&gt;tesoreriasec,0,MIN(L33-L35-M31+tesoreriasec,Funding!$H$49))</f>
        <v>0</v>
      </c>
      <c r="N33" s="1158">
        <f ca="1">IF(M35+N31-M33&gt;tesoreriasec,0,MIN(M33-M35-N31+tesoreriasec,Funding!$H$49))</f>
        <v>0</v>
      </c>
      <c r="O33" s="1159"/>
    </row>
    <row r="34" spans="1:15" s="288" customFormat="1" ht="21" customHeight="1" thickBot="1">
      <c r="A34" s="1170"/>
      <c r="B34" s="1160"/>
      <c r="C34" s="1161"/>
      <c r="D34" s="1161"/>
      <c r="E34" s="1161"/>
      <c r="F34" s="1161"/>
      <c r="G34" s="1161"/>
      <c r="H34" s="1161"/>
      <c r="I34" s="1161"/>
      <c r="J34" s="1161"/>
      <c r="K34" s="1161"/>
      <c r="L34" s="1161"/>
      <c r="M34" s="1161"/>
      <c r="O34" s="1162"/>
    </row>
    <row r="35" spans="1:15" s="288" customFormat="1" ht="21" customHeight="1" thickBot="1">
      <c r="A35" s="1169" t="str">
        <f>'Cash Flow 0'!A35</f>
        <v>Monthly Final Cash balance</v>
      </c>
      <c r="B35" s="1163">
        <f ca="1">'Cash Flow 3'!N35-(Funding!H9-Funding!H25+Funding!H19)</f>
        <v>-21941.566436814501</v>
      </c>
      <c r="C35" s="1164">
        <f t="array" ref="C35:N35" ca="1">B35:M35+C31:N31+C33:N33-B33:M33</f>
        <v>-22291.468957444493</v>
      </c>
      <c r="D35" s="1165">
        <f ca="1"/>
        <v>-22659.270273473852</v>
      </c>
      <c r="E35" s="1165">
        <f ca="1"/>
        <v>-23027.071589503212</v>
      </c>
      <c r="F35" s="1165">
        <f ca="1"/>
        <v>-23394.872905532571</v>
      </c>
      <c r="G35" s="1165">
        <f ca="1"/>
        <v>-23762.674221561931</v>
      </c>
      <c r="H35" s="1165">
        <f ca="1"/>
        <v>-24130.47553759129</v>
      </c>
      <c r="I35" s="1165">
        <f ca="1"/>
        <v>-24498.276853620649</v>
      </c>
      <c r="J35" s="1165">
        <f ca="1"/>
        <v>-24866.078169650009</v>
      </c>
      <c r="K35" s="1165">
        <f ca="1"/>
        <v>-25233.879485679368</v>
      </c>
      <c r="L35" s="1165">
        <f ca="1"/>
        <v>-25601.680801708728</v>
      </c>
      <c r="M35" s="1165">
        <f ca="1"/>
        <v>-25969.482117738087</v>
      </c>
      <c r="N35" s="1166">
        <f ca="1"/>
        <v>-26337.283433767447</v>
      </c>
      <c r="O35" s="1167"/>
    </row>
    <row r="36" spans="1:15" ht="18.75" customHeight="1">
      <c r="A36" s="4"/>
      <c r="B36" s="4"/>
    </row>
    <row r="37" spans="1:15" ht="18.75" customHeight="1">
      <c r="A37" s="4"/>
      <c r="B37" s="4"/>
    </row>
    <row r="38" spans="1:15" ht="18.75" customHeight="1">
      <c r="A38" s="307"/>
      <c r="B38" s="308"/>
      <c r="C38" s="305" t="str">
        <f t="array" ref="C38:D38">'Cash Flow 0'!C38:D38</f>
        <v>Amount</v>
      </c>
      <c r="D38" s="306" t="str">
        <v>month</v>
      </c>
    </row>
    <row r="39" spans="1:15" s="287" customFormat="1" ht="21" customHeight="1">
      <c r="A39" s="286"/>
      <c r="B39" s="304" t="str">
        <f t="array" ref="B39:B41">'Cash Flow 0'!B39:B41</f>
        <v>Maximum Cash overdraft</v>
      </c>
      <c r="C39" s="1650">
        <f ca="1">MAX(C33:N33)*0-MIN(C35:N35,0)</f>
        <v>26337.283433767447</v>
      </c>
      <c r="D39" s="1154" t="str">
        <f ca="1">IF(C39&lt;&gt;0,INDEX(C4:N4,1,MATCH(-C39,C35:N35,0)),"")</f>
        <v>December</v>
      </c>
      <c r="O39" s="288"/>
    </row>
    <row r="40" spans="1:15" s="287" customFormat="1" ht="18.75" customHeight="1">
      <c r="A40" s="286"/>
      <c r="B40" s="304" t="str">
        <v>Yearly Cash Flow</v>
      </c>
      <c r="C40" s="1651">
        <f ca="1">N35-B35+B33-N33</f>
        <v>-4395.7169969529459</v>
      </c>
      <c r="D40" s="1153"/>
      <c r="O40" s="288"/>
    </row>
    <row r="41" spans="1:15" s="287" customFormat="1" ht="21" customHeight="1">
      <c r="A41" s="286"/>
      <c r="B41" s="304" t="str">
        <v>Maximum Monthly Final Cash balance</v>
      </c>
      <c r="C41" s="1652">
        <f ca="1">MAX(C35:N35)</f>
        <v>-22291.468957444493</v>
      </c>
      <c r="D41" s="1154" t="str">
        <f ca="1">INDEX(C4:N4,1,MATCH(C41,C35:N35,0))</f>
        <v>January</v>
      </c>
      <c r="O41" s="288"/>
    </row>
    <row r="42" spans="1:15" ht="18" customHeight="1">
      <c r="A42" s="4"/>
      <c r="B42" s="4"/>
    </row>
    <row r="43" spans="1:15">
      <c r="A43" s="4"/>
      <c r="B43" s="4"/>
    </row>
    <row r="44" spans="1:15" ht="15">
      <c r="A44" s="35"/>
      <c r="B44" s="35"/>
    </row>
    <row r="45" spans="1:15" ht="15">
      <c r="A45" s="35"/>
      <c r="B45" s="35"/>
    </row>
    <row r="46" spans="1:15" ht="15">
      <c r="A46" s="35"/>
      <c r="B46" s="35"/>
    </row>
    <row r="47" spans="1:15" ht="15">
      <c r="A47" s="35"/>
      <c r="B47" s="35"/>
    </row>
    <row r="48" spans="1:15" ht="15">
      <c r="A48" s="35"/>
      <c r="B48" s="35"/>
    </row>
    <row r="49" spans="1:2" ht="15">
      <c r="A49" s="35"/>
      <c r="B49" s="35"/>
    </row>
    <row r="50" spans="1:2" ht="15">
      <c r="A50" s="35"/>
      <c r="B50" s="35"/>
    </row>
    <row r="51" spans="1:2" ht="15">
      <c r="A51" s="35"/>
      <c r="B51" s="35"/>
    </row>
    <row r="52" spans="1:2" ht="15">
      <c r="A52" s="35"/>
      <c r="B52" s="35"/>
    </row>
    <row r="53" spans="1:2" ht="15">
      <c r="A53" s="35"/>
      <c r="B53" s="35"/>
    </row>
    <row r="54" spans="1:2" ht="15">
      <c r="A54" s="35"/>
      <c r="B54" s="35"/>
    </row>
    <row r="55" spans="1:2" ht="15">
      <c r="A55" s="35"/>
      <c r="B55" s="35"/>
    </row>
    <row r="56" spans="1:2" ht="15">
      <c r="A56" s="35"/>
      <c r="B56" s="35"/>
    </row>
    <row r="57" spans="1:2" ht="15">
      <c r="A57" s="35"/>
      <c r="B57" s="35"/>
    </row>
    <row r="58" spans="1:2" ht="15">
      <c r="A58" s="35"/>
      <c r="B58" s="35"/>
    </row>
    <row r="59" spans="1:2" ht="15">
      <c r="A59" s="35"/>
      <c r="B59" s="35"/>
    </row>
    <row r="60" spans="1:2" ht="15">
      <c r="A60" s="35"/>
      <c r="B60" s="35"/>
    </row>
  </sheetData>
  <sheetProtection sheet="1" objects="1" scenarios="1"/>
  <phoneticPr fontId="7" type="noConversion"/>
  <printOptions horizontalCentered="1" verticalCentered="1"/>
  <pageMargins left="0.19685039370078741" right="0.19685039370078741" top="0.39370078740157483" bottom="0.39370078740157483" header="0.11811023622047245" footer="0.11811023622047245"/>
  <pageSetup paperSize="9" scale="64" orientation="landscape" horizontalDpi="300" verticalDpi="300" r:id="rId1"/>
  <headerFooter alignWithMargins="0">
    <oddFooter>&amp;C&amp;"Tahoma,Normal"&amp;10&amp;A</oddFoot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
    <tabColor indexed="45"/>
    <pageSetUpPr fitToPage="1"/>
  </sheetPr>
  <dimension ref="A1:P106"/>
  <sheetViews>
    <sheetView topLeftCell="A10" zoomScale="75" zoomScaleNormal="75" workbookViewId="0">
      <pane xSplit="1" topLeftCell="B1" activePane="topRight" state="frozenSplit"/>
      <selection activeCell="G8" sqref="G8"/>
      <selection pane="topRight" activeCell="G8" sqref="G8"/>
    </sheetView>
  </sheetViews>
  <sheetFormatPr baseColWidth="10" defaultColWidth="11" defaultRowHeight="12.75"/>
  <cols>
    <col min="1" max="1" width="27.625" style="275" customWidth="1"/>
    <col min="2" max="2" width="11.5" style="277" customWidth="1"/>
    <col min="3" max="3" width="10.5" style="86" customWidth="1"/>
    <col min="4" max="4" width="9.75" style="86" customWidth="1"/>
    <col min="5" max="5" width="9.875" style="86" customWidth="1"/>
    <col min="6" max="6" width="9.625" style="86" customWidth="1"/>
    <col min="7" max="7" width="10.25" style="86" customWidth="1"/>
    <col min="8" max="9" width="8.75" style="86" customWidth="1"/>
    <col min="10" max="10" width="10.625" style="86" customWidth="1"/>
    <col min="11" max="11" width="10.125" style="86" customWidth="1"/>
    <col min="12" max="12" width="10.5" style="86" customWidth="1"/>
    <col min="13" max="13" width="9.75" style="86" customWidth="1"/>
    <col min="14" max="14" width="10.25" style="86" customWidth="1"/>
    <col min="15" max="15" width="9.5" style="275" customWidth="1"/>
    <col min="16" max="16384" width="11" style="86"/>
  </cols>
  <sheetData>
    <row r="1" spans="1:15" ht="25.5">
      <c r="A1" s="936" t="s">
        <v>783</v>
      </c>
      <c r="B1" s="537"/>
      <c r="F1" s="275"/>
      <c r="G1" s="275"/>
      <c r="H1" s="539"/>
      <c r="M1" s="1301"/>
    </row>
    <row r="2" spans="1:15" s="534" customFormat="1" ht="32.25">
      <c r="A2" s="162" t="str">
        <f>'Base Data'!B9</f>
        <v>WWW, Ltd.</v>
      </c>
      <c r="B2" s="537"/>
      <c r="D2" s="538"/>
      <c r="E2" s="273"/>
      <c r="G2" s="1731" t="s">
        <v>771</v>
      </c>
      <c r="O2" s="541"/>
    </row>
    <row r="4" spans="1:15" s="541" customFormat="1" ht="16.149999999999999" customHeight="1">
      <c r="A4" s="24"/>
    </row>
    <row r="5" spans="1:15" ht="19.5">
      <c r="A5" s="1308" t="s">
        <v>773</v>
      </c>
      <c r="C5" s="2732" t="str">
        <f>Parameters!B$77</f>
        <v>Year 0:   2026</v>
      </c>
      <c r="E5" s="541"/>
      <c r="F5" s="541"/>
      <c r="H5" s="541"/>
      <c r="I5" s="541"/>
      <c r="J5" s="541"/>
      <c r="K5" s="541"/>
      <c r="L5" s="541"/>
      <c r="M5" s="541"/>
      <c r="N5" s="541"/>
    </row>
    <row r="6" spans="1:15" ht="13.5" thickBot="1">
      <c r="A6" s="86"/>
      <c r="B6" s="86"/>
      <c r="O6" s="86"/>
    </row>
    <row r="7" spans="1:15" s="1032" customFormat="1" ht="26.25" customHeight="1" thickBot="1">
      <c r="A7" s="165" t="str">
        <f>CONCATENATE("Other cash coll. ",C5)</f>
        <v>Other cash coll. Year 0:   2026</v>
      </c>
      <c r="B7" s="1303" t="str">
        <f t="array" ref="B7:N7">'Sales Forecasts'!B5:N5</f>
        <v>January 
2026</v>
      </c>
      <c r="C7" s="1303" t="str">
        <v>February 
2026</v>
      </c>
      <c r="D7" s="1303" t="str">
        <v>March 
2026</v>
      </c>
      <c r="E7" s="1303" t="str">
        <v>April 
2026</v>
      </c>
      <c r="F7" s="1303" t="str">
        <v>May 
2026</v>
      </c>
      <c r="G7" s="1303" t="str">
        <v>June 
2026</v>
      </c>
      <c r="H7" s="1303" t="str">
        <v>July 
2026</v>
      </c>
      <c r="I7" s="1303" t="str">
        <v>August 
2026</v>
      </c>
      <c r="J7" s="1303" t="str">
        <v>September 
2026</v>
      </c>
      <c r="K7" s="1303" t="str">
        <v>October 
2026</v>
      </c>
      <c r="L7" s="1303" t="str">
        <v>November 
2026</v>
      </c>
      <c r="M7" s="1303" t="str">
        <v>December 
2026</v>
      </c>
      <c r="N7" s="1303" t="str">
        <v>Totals  
2026</v>
      </c>
    </row>
    <row r="8" spans="1:15" s="534" customFormat="1" ht="16.149999999999999" customHeight="1">
      <c r="A8" s="1304" t="s">
        <v>775</v>
      </c>
      <c r="B8" s="1309">
        <v>0</v>
      </c>
      <c r="C8" s="1309">
        <v>0</v>
      </c>
      <c r="D8" s="1309">
        <v>0</v>
      </c>
      <c r="E8" s="1309">
        <v>0</v>
      </c>
      <c r="F8" s="1309">
        <v>0</v>
      </c>
      <c r="G8" s="1309">
        <v>0</v>
      </c>
      <c r="H8" s="1309">
        <v>0</v>
      </c>
      <c r="I8" s="1309">
        <v>0</v>
      </c>
      <c r="J8" s="1309">
        <v>0</v>
      </c>
      <c r="K8" s="1309">
        <v>0</v>
      </c>
      <c r="L8" s="1309">
        <v>0</v>
      </c>
      <c r="M8" s="1309">
        <v>0</v>
      </c>
      <c r="N8" s="1309">
        <f>SUM(B8:M8)</f>
        <v>0</v>
      </c>
    </row>
    <row r="9" spans="1:15" s="534" customFormat="1" ht="16.149999999999999" customHeight="1">
      <c r="A9" s="1305" t="s">
        <v>254</v>
      </c>
      <c r="B9" s="1310"/>
      <c r="C9" s="1310"/>
      <c r="D9" s="1310"/>
      <c r="E9" s="1310"/>
      <c r="F9" s="1310"/>
      <c r="G9" s="1310"/>
      <c r="H9" s="1310"/>
      <c r="I9" s="1310"/>
      <c r="J9" s="1310"/>
      <c r="K9" s="1310"/>
      <c r="L9" s="1310"/>
      <c r="M9" s="1310"/>
      <c r="N9" s="1310">
        <f>SUM(B9:M9)</f>
        <v>0</v>
      </c>
    </row>
    <row r="10" spans="1:15" s="534" customFormat="1" ht="16.149999999999999" customHeight="1">
      <c r="A10" s="1305" t="s">
        <v>772</v>
      </c>
      <c r="B10" s="1310"/>
      <c r="C10" s="1310"/>
      <c r="D10" s="1310"/>
      <c r="E10" s="1310"/>
      <c r="F10" s="1310"/>
      <c r="G10" s="1310"/>
      <c r="H10" s="1310"/>
      <c r="I10" s="1310"/>
      <c r="J10" s="1310"/>
      <c r="K10" s="1310"/>
      <c r="L10" s="1310"/>
      <c r="M10" s="1724">
        <f>IF(AND(isoc&lt;&gt;0,'Current Asset Invest.'!G22&gt;'Initial Funding'!B29),'Current Asset Invest.'!G22-'Initial Funding'!B29,0)*0</f>
        <v>0</v>
      </c>
      <c r="N10" s="1310">
        <f>SUM(B10:M10)</f>
        <v>0</v>
      </c>
    </row>
    <row r="11" spans="1:15" s="534" customFormat="1" ht="16.149999999999999" customHeight="1">
      <c r="A11" s="1305" t="s">
        <v>774</v>
      </c>
      <c r="B11" s="1730">
        <f>'Current Asset Invest.'!$G$24*IF(OR(mes0&gt;COLUMN(B11)-1,COLUMN(B11)-mes0&gt;6),0,INDEX('Cashing &amp; Payment Policies'!$C$19:$H$19,1,COLUMN(B11)-mes0))*0</f>
        <v>0</v>
      </c>
      <c r="C11" s="1730">
        <f>'Current Asset Invest.'!$G$24*IF(OR(mes0&gt;COLUMN(C11)-1,COLUMN(C11)-mes0&gt;6),0,INDEX('Cashing &amp; Payment Policies'!$C$19:$H$19,1,COLUMN(C11)-mes0))*0</f>
        <v>0</v>
      </c>
      <c r="D11" s="1730">
        <f>'Current Asset Invest.'!$G$24*IF(OR(mes0&gt;COLUMN(D11)-1,COLUMN(D11)-mes0&gt;6),0,INDEX('Cashing &amp; Payment Policies'!$C$19:$H$19,1,COLUMN(D11)-mes0))*0</f>
        <v>0</v>
      </c>
      <c r="E11" s="1730">
        <f>'Current Asset Invest.'!$G$24*IF(OR(mes0&gt;COLUMN(E11)-1,COLUMN(E11)-mes0&gt;6),0,INDEX('Cashing &amp; Payment Policies'!$C$19:$H$19,1,COLUMN(E11)-mes0))*0</f>
        <v>0</v>
      </c>
      <c r="F11" s="1730">
        <f>'Current Asset Invest.'!$G$24*IF(OR(mes0&gt;COLUMN(F11)-1,COLUMN(F11)-mes0&gt;6),0,INDEX('Cashing &amp; Payment Policies'!$C$19:$H$19,1,COLUMN(F11)-mes0))*0</f>
        <v>0</v>
      </c>
      <c r="G11" s="1730">
        <f>'Current Asset Invest.'!$G$24*IF(OR(mes0&gt;COLUMN(G11)-1,COLUMN(G11)-mes0&gt;6),0,INDEX('Cashing &amp; Payment Policies'!$C$19:$H$19,1,COLUMN(G11)-mes0))*0</f>
        <v>0</v>
      </c>
      <c r="H11" s="1730">
        <f>'Current Asset Invest.'!$G$24*IF(OR(mes0&gt;COLUMN(H11)-1,COLUMN(H11)-mes0&gt;6),0,INDEX('Cashing &amp; Payment Policies'!$C$19:$H$19,1,COLUMN(H11)-mes0))*0</f>
        <v>0</v>
      </c>
      <c r="I11" s="1730">
        <f>'Current Asset Invest.'!$G$24*IF(OR(mes0&gt;COLUMN(I11)-1,COLUMN(I11)-mes0&gt;6),0,INDEX('Cashing &amp; Payment Policies'!$C$19:$H$19,1,COLUMN(I11)-mes0))*0</f>
        <v>0</v>
      </c>
      <c r="J11" s="1730">
        <f>'Current Asset Invest.'!$G$24*IF(OR(mes0&gt;COLUMN(J11)-1,COLUMN(J11)-mes0&gt;6),0,INDEX('Cashing &amp; Payment Policies'!$C$19:$H$19,1,COLUMN(J11)-mes0))*0</f>
        <v>0</v>
      </c>
      <c r="K11" s="1730">
        <f>'Current Asset Invest.'!$G$24*IF(OR(mes0&gt;COLUMN(K11)-1,COLUMN(K11)-mes0&gt;6),0,INDEX('Cashing &amp; Payment Policies'!$C$19:$H$19,1,COLUMN(K11)-mes0))*0</f>
        <v>0</v>
      </c>
      <c r="L11" s="1730">
        <f>'Current Asset Invest.'!$G$24*IF(OR(mes0&gt;COLUMN(L11)-1,COLUMN(L11)-mes0&gt;6),0,INDEX('Cashing &amp; Payment Policies'!$C$19:$H$19,1,COLUMN(L11)-mes0))*0</f>
        <v>0</v>
      </c>
      <c r="M11" s="1730">
        <f>'Current Asset Invest.'!$G$24*IF(OR(mes0&gt;COLUMN(M11)-1,COLUMN(M11)-mes0&gt;6),0,INDEX('Cashing &amp; Payment Policies'!$C$19:$H$19,1,COLUMN(M11)-mes0))*0</f>
        <v>0</v>
      </c>
      <c r="N11" s="1725">
        <f>SUM(B11:M11)</f>
        <v>0</v>
      </c>
    </row>
    <row r="12" spans="1:15" s="541" customFormat="1" ht="16.149999999999999" customHeight="1" thickBot="1">
      <c r="A12" s="1306" t="s">
        <v>776</v>
      </c>
      <c r="B12" s="1728">
        <f t="shared" ref="B12:M12" si="0">SUM(B8:B11)</f>
        <v>0</v>
      </c>
      <c r="C12" s="1728">
        <f t="shared" si="0"/>
        <v>0</v>
      </c>
      <c r="D12" s="1728">
        <f t="shared" si="0"/>
        <v>0</v>
      </c>
      <c r="E12" s="1728">
        <f t="shared" si="0"/>
        <v>0</v>
      </c>
      <c r="F12" s="1728">
        <f t="shared" si="0"/>
        <v>0</v>
      </c>
      <c r="G12" s="1728">
        <f t="shared" si="0"/>
        <v>0</v>
      </c>
      <c r="H12" s="1728">
        <f t="shared" si="0"/>
        <v>0</v>
      </c>
      <c r="I12" s="1728">
        <f t="shared" si="0"/>
        <v>0</v>
      </c>
      <c r="J12" s="1728">
        <f t="shared" si="0"/>
        <v>0</v>
      </c>
      <c r="K12" s="1728">
        <f t="shared" si="0"/>
        <v>0</v>
      </c>
      <c r="L12" s="1728">
        <f t="shared" si="0"/>
        <v>0</v>
      </c>
      <c r="M12" s="1728">
        <f t="shared" si="0"/>
        <v>0</v>
      </c>
      <c r="N12" s="1307">
        <f>SUM(B12:M12)</f>
        <v>0</v>
      </c>
    </row>
    <row r="13" spans="1:15" s="541" customFormat="1" ht="13.5" customHeight="1">
      <c r="B13" s="1040"/>
    </row>
    <row r="14" spans="1:15" s="541" customFormat="1" ht="13.5" customHeight="1">
      <c r="B14" s="1040"/>
    </row>
    <row r="15" spans="1:15" ht="19.5">
      <c r="A15" s="1308" t="str">
        <f>A5</f>
        <v>Other cash collections</v>
      </c>
      <c r="C15" s="2732" t="str">
        <f>Parameters!C$77</f>
        <v>Year 1:   2027</v>
      </c>
      <c r="E15" s="541"/>
      <c r="F15" s="541"/>
      <c r="H15" s="541"/>
      <c r="I15" s="541"/>
      <c r="J15" s="541"/>
      <c r="K15" s="541"/>
      <c r="L15" s="541"/>
      <c r="M15" s="541"/>
      <c r="N15" s="541"/>
    </row>
    <row r="16" spans="1:15" s="534" customFormat="1" ht="13.5" customHeight="1" thickBot="1">
      <c r="A16" s="541"/>
      <c r="B16" s="1032"/>
      <c r="O16" s="541"/>
    </row>
    <row r="17" spans="1:16" ht="26.25" customHeight="1" thickBot="1">
      <c r="A17" s="165" t="str">
        <f>CONCATENATE("Other cash coll.  ",C15)</f>
        <v>Other cash coll.  Year 1:   2027</v>
      </c>
      <c r="B17" s="1303" t="str">
        <f t="array" ref="B17:N17">'Sales Forecasts'!B18:N18</f>
        <v>January 
2027</v>
      </c>
      <c r="C17" s="1303" t="str">
        <v>February 
2027</v>
      </c>
      <c r="D17" s="1303" t="str">
        <v>March 
2027</v>
      </c>
      <c r="E17" s="1303" t="str">
        <v>April 
2027</v>
      </c>
      <c r="F17" s="1303" t="str">
        <v>May 
2027</v>
      </c>
      <c r="G17" s="1303" t="str">
        <v>June 
2027</v>
      </c>
      <c r="H17" s="1303" t="str">
        <v>July 
2027</v>
      </c>
      <c r="I17" s="1303" t="str">
        <v>August 
2027</v>
      </c>
      <c r="J17" s="1303" t="str">
        <v>September 
2027</v>
      </c>
      <c r="K17" s="1303" t="str">
        <v>October 
2027</v>
      </c>
      <c r="L17" s="1303" t="str">
        <v>November 
2027</v>
      </c>
      <c r="M17" s="1303" t="str">
        <v>December 
2027</v>
      </c>
      <c r="N17" s="1303" t="str">
        <v>Totals  
2027</v>
      </c>
      <c r="O17" s="541"/>
    </row>
    <row r="18" spans="1:16">
      <c r="A18" s="1304" t="str">
        <f t="array" ref="A18:A22">$A$8:$A$12</f>
        <v>Capital Disbursement</v>
      </c>
      <c r="B18" s="1309">
        <v>0</v>
      </c>
      <c r="C18" s="1309">
        <v>0</v>
      </c>
      <c r="D18" s="1309">
        <v>0</v>
      </c>
      <c r="E18" s="1309">
        <v>0</v>
      </c>
      <c r="F18" s="1309">
        <v>0</v>
      </c>
      <c r="G18" s="1309">
        <v>0</v>
      </c>
      <c r="H18" s="1309">
        <v>0</v>
      </c>
      <c r="I18" s="1309">
        <v>0</v>
      </c>
      <c r="J18" s="1309">
        <v>0</v>
      </c>
      <c r="K18" s="1309">
        <v>0</v>
      </c>
      <c r="L18" s="1309">
        <v>0</v>
      </c>
      <c r="M18" s="1309">
        <v>0</v>
      </c>
      <c r="N18" s="1309">
        <f>SUM(B18:M18)</f>
        <v>0</v>
      </c>
      <c r="O18" s="541"/>
    </row>
    <row r="19" spans="1:16">
      <c r="A19" s="1305" t="str">
        <v>Subsidies</v>
      </c>
      <c r="B19" s="1310"/>
      <c r="C19" s="1310"/>
      <c r="D19" s="1310"/>
      <c r="E19" s="1310"/>
      <c r="F19" s="1310"/>
      <c r="G19" s="1310"/>
      <c r="H19" s="1310"/>
      <c r="I19" s="1310"/>
      <c r="J19" s="1310"/>
      <c r="K19" s="1310"/>
      <c r="L19" s="1310"/>
      <c r="M19" s="1310"/>
      <c r="N19" s="1310">
        <f>SUM(B19:M19)</f>
        <v>0</v>
      </c>
      <c r="O19" s="541"/>
    </row>
    <row r="20" spans="1:16">
      <c r="A20" s="1305" t="str">
        <v>Other cash coll. atípicos</v>
      </c>
      <c r="B20" s="1310"/>
      <c r="C20" s="1310"/>
      <c r="D20" s="1310"/>
      <c r="E20" s="1310"/>
      <c r="F20" s="1310"/>
      <c r="G20" s="1310"/>
      <c r="H20" s="1310"/>
      <c r="I20" s="1310"/>
      <c r="J20" s="1310"/>
      <c r="K20" s="1310"/>
      <c r="L20" s="1310"/>
      <c r="M20" s="1724">
        <f ca="1">IF('Corporate Income Tax'!$B$23&lt;0,-'Corporate Income Tax'!$B$23,0)*0</f>
        <v>0</v>
      </c>
      <c r="N20" s="1310">
        <f ca="1">SUM(B20:M20)</f>
        <v>0</v>
      </c>
      <c r="O20" s="541"/>
    </row>
    <row r="21" spans="1:16">
      <c r="A21" s="1305" t="str">
        <v>Trade creditors coll.</v>
      </c>
      <c r="B21" s="1730">
        <f ca="1">'Current Asset Invest.'!$G$24*IF(OR(mes0&lt;=7,COLUMN(B11)&gt;mes0-6),0,INDEX('Cashing &amp; Payment Policies'!$C$19:$H$19,1,COLUMN(B11)-mes0+12))*0
+recmorosos*'Collections &amp; Payments 0'!$S$31/12*0</f>
        <v>0</v>
      </c>
      <c r="C21" s="1730">
        <f ca="1">'Current Asset Invest.'!$G$24*IF(OR(mes0&lt;=7,COLUMN(C11)&gt;mes0-6),0,INDEX('Cashing &amp; Payment Policies'!$C$19:$H$19,1,COLUMN(C11)-mes0+12))*0
+recmorosos*'Collections &amp; Payments 0'!$S$31/12*0</f>
        <v>0</v>
      </c>
      <c r="D21" s="1730">
        <f ca="1">'Current Asset Invest.'!$G$24*IF(OR(mes0&lt;=7,COLUMN(D11)&gt;mes0-6),0,INDEX('Cashing &amp; Payment Policies'!$C$19:$H$19,1,COLUMN(D11)-mes0+12))*0
+recmorosos*'Collections &amp; Payments 0'!$S$31/12*0</f>
        <v>0</v>
      </c>
      <c r="E21" s="1730">
        <f ca="1">'Current Asset Invest.'!$G$24*IF(OR(mes0&lt;=7,COLUMN(E11)&gt;mes0-6),0,INDEX('Cashing &amp; Payment Policies'!$C$19:$H$19,1,COLUMN(E11)-mes0+12))*0
+recmorosos*'Collections &amp; Payments 0'!$S$31/12*0</f>
        <v>0</v>
      </c>
      <c r="F21" s="1730">
        <f ca="1">'Current Asset Invest.'!$G$24*IF(OR(mes0&lt;=7,COLUMN(F11)&gt;mes0-6),0,INDEX('Cashing &amp; Payment Policies'!$C$19:$H$19,1,COLUMN(F11)-mes0+12))*0
+recmorosos*'Collections &amp; Payments 0'!$S$31/12*0</f>
        <v>0</v>
      </c>
      <c r="G21" s="1730">
        <f ca="1">'Current Asset Invest.'!$G$24*IF(OR(mes0&lt;=7,COLUMN(G11)&gt;mes0-6),0,INDEX('Cashing &amp; Payment Policies'!$C$19:$H$19,1,COLUMN(G11)-mes0+12))*0
+recmorosos*'Collections &amp; Payments 0'!$S$31/12*0</f>
        <v>0</v>
      </c>
      <c r="H21" s="1730">
        <f ca="1">'Current Asset Invest.'!$G$24*IF(OR(mes0&lt;=7,COLUMN(H11)&gt;mes0-6),0,INDEX('Cashing &amp; Payment Policies'!$C$19:$H$19,1,COLUMN(H11)-mes0+12))*0
+recmorosos*'Collections &amp; Payments 0'!$S$31/12*0</f>
        <v>0</v>
      </c>
      <c r="I21" s="1730">
        <f ca="1">'Current Asset Invest.'!$G$24*IF(OR(mes0&lt;=7,COLUMN(I11)&gt;mes0-6),0,INDEX('Cashing &amp; Payment Policies'!$C$19:$H$19,1,COLUMN(I11)-mes0+12))*0
+recmorosos*'Collections &amp; Payments 0'!$S$31/12*0</f>
        <v>0</v>
      </c>
      <c r="J21" s="1730">
        <f ca="1">'Current Asset Invest.'!$G$24*IF(OR(mes0&lt;=7,COLUMN(J11)&gt;mes0-6),0,INDEX('Cashing &amp; Payment Policies'!$C$19:$H$19,1,COLUMN(J11)-mes0+12))*0
+recmorosos*'Collections &amp; Payments 0'!$S$31/12*0</f>
        <v>0</v>
      </c>
      <c r="K21" s="1730">
        <f ca="1">'Current Asset Invest.'!$G$24*IF(OR(mes0&lt;=7,COLUMN(K11)&gt;mes0-6),0,INDEX('Cashing &amp; Payment Policies'!$C$19:$H$19,1,COLUMN(K11)-mes0+12))*0
+recmorosos*'Collections &amp; Payments 0'!$S$31/12*0</f>
        <v>0</v>
      </c>
      <c r="L21" s="1730">
        <f ca="1">'Current Asset Invest.'!$G$24*IF(OR(mes0&lt;=7,COLUMN(L11)&gt;mes0-6),0,INDEX('Cashing &amp; Payment Policies'!$C$19:$H$19,1,COLUMN(L11)-mes0+12))*0
+recmorosos*'Collections &amp; Payments 0'!$S$31/12*0</f>
        <v>0</v>
      </c>
      <c r="M21" s="1730">
        <f ca="1">'Current Asset Invest.'!$G$24*IF(OR(mes0&lt;=7,COLUMN(M11)&gt;mes0-6),0,INDEX('Cashing &amp; Payment Policies'!$C$19:$H$19,1,COLUMN(M11)-mes0+12))*0
+recmorosos*'Collections &amp; Payments 0'!$S$31/12*0</f>
        <v>0</v>
      </c>
      <c r="N21" s="1310">
        <f ca="1">SUM(B21:M21)</f>
        <v>0</v>
      </c>
      <c r="O21" s="541"/>
    </row>
    <row r="22" spans="1:16" ht="13.5" thickBot="1">
      <c r="A22" s="1306" t="str">
        <v>Monthly Total</v>
      </c>
      <c r="B22" s="1307">
        <f t="shared" ref="B22:M22" ca="1" si="1">SUM(B18:B21)</f>
        <v>0</v>
      </c>
      <c r="C22" s="1307">
        <f t="shared" ca="1" si="1"/>
        <v>0</v>
      </c>
      <c r="D22" s="1307">
        <f t="shared" ca="1" si="1"/>
        <v>0</v>
      </c>
      <c r="E22" s="1307">
        <f t="shared" ca="1" si="1"/>
        <v>0</v>
      </c>
      <c r="F22" s="1307">
        <f t="shared" ca="1" si="1"/>
        <v>0</v>
      </c>
      <c r="G22" s="1307">
        <f t="shared" ca="1" si="1"/>
        <v>0</v>
      </c>
      <c r="H22" s="1307">
        <f t="shared" ca="1" si="1"/>
        <v>0</v>
      </c>
      <c r="I22" s="1307">
        <f t="shared" ca="1" si="1"/>
        <v>0</v>
      </c>
      <c r="J22" s="1307">
        <f t="shared" ca="1" si="1"/>
        <v>0</v>
      </c>
      <c r="K22" s="1307">
        <f t="shared" ca="1" si="1"/>
        <v>0</v>
      </c>
      <c r="L22" s="1307">
        <f t="shared" ca="1" si="1"/>
        <v>0</v>
      </c>
      <c r="M22" s="1307">
        <f t="shared" ca="1" si="1"/>
        <v>0</v>
      </c>
      <c r="N22" s="1307">
        <f ca="1">SUM(B22:M22)</f>
        <v>0</v>
      </c>
      <c r="O22" s="541"/>
    </row>
    <row r="23" spans="1:16">
      <c r="C23" s="1302"/>
      <c r="D23" s="541"/>
      <c r="E23" s="541"/>
      <c r="F23" s="541"/>
      <c r="G23" s="541"/>
      <c r="H23" s="541"/>
      <c r="I23" s="541"/>
      <c r="J23" s="541"/>
      <c r="K23" s="541"/>
      <c r="L23" s="541"/>
      <c r="M23" s="541"/>
      <c r="N23" s="541"/>
      <c r="O23" s="541"/>
      <c r="P23" s="541"/>
    </row>
    <row r="24" spans="1:16">
      <c r="C24" s="1302"/>
      <c r="D24" s="541"/>
      <c r="E24" s="541"/>
      <c r="F24" s="541"/>
      <c r="G24" s="541"/>
      <c r="H24" s="541"/>
      <c r="I24" s="541"/>
      <c r="J24" s="541"/>
      <c r="K24" s="541"/>
      <c r="L24" s="541"/>
      <c r="M24" s="541"/>
      <c r="N24" s="541"/>
      <c r="O24" s="541"/>
      <c r="P24" s="541"/>
    </row>
    <row r="25" spans="1:16" ht="19.5">
      <c r="A25" s="1308" t="str">
        <f>A5</f>
        <v>Other cash collections</v>
      </c>
      <c r="C25" s="2732" t="str">
        <f>Parameters!D$77</f>
        <v>Year 2:   2028</v>
      </c>
      <c r="E25" s="541"/>
      <c r="F25" s="541"/>
      <c r="H25" s="541"/>
      <c r="I25" s="541"/>
      <c r="J25" s="541"/>
      <c r="K25" s="541"/>
      <c r="L25" s="541"/>
      <c r="M25" s="541"/>
      <c r="N25" s="541"/>
    </row>
    <row r="26" spans="1:16" ht="13.5" thickBot="1">
      <c r="C26" s="1302"/>
      <c r="D26" s="541"/>
      <c r="E26" s="541"/>
      <c r="F26" s="541"/>
      <c r="G26" s="541"/>
      <c r="H26" s="541"/>
      <c r="I26" s="541"/>
      <c r="J26" s="541"/>
      <c r="K26" s="541"/>
      <c r="L26" s="541"/>
      <c r="M26" s="541"/>
      <c r="N26" s="541"/>
      <c r="O26" s="541"/>
      <c r="P26" s="541"/>
    </row>
    <row r="27" spans="1:16" ht="27" customHeight="1" thickBot="1">
      <c r="A27" s="165" t="str">
        <f>CONCATENATE("Other cash coll.  ",C25)</f>
        <v>Other cash coll.  Year 2:   2028</v>
      </c>
      <c r="B27" s="1303" t="str">
        <f t="array" ref="B27:N27">'Sales Forecasts'!B31:N31</f>
        <v>January 
2028</v>
      </c>
      <c r="C27" s="1303" t="str">
        <v>February 
2028</v>
      </c>
      <c r="D27" s="1303" t="str">
        <v>March 
2028</v>
      </c>
      <c r="E27" s="1303" t="str">
        <v>April 
2028</v>
      </c>
      <c r="F27" s="1303" t="str">
        <v>May 
2028</v>
      </c>
      <c r="G27" s="1303" t="str">
        <v>June 
2028</v>
      </c>
      <c r="H27" s="1303" t="str">
        <v>July 
2028</v>
      </c>
      <c r="I27" s="1303" t="str">
        <v>August 
2028</v>
      </c>
      <c r="J27" s="1303" t="str">
        <v>September 
2028</v>
      </c>
      <c r="K27" s="1303" t="str">
        <v>October 
2028</v>
      </c>
      <c r="L27" s="1303" t="str">
        <v>November 
2028</v>
      </c>
      <c r="M27" s="1303" t="str">
        <v>December 
2028</v>
      </c>
      <c r="N27" s="1303" t="str">
        <v>Totals   
2028</v>
      </c>
      <c r="O27" s="541"/>
    </row>
    <row r="28" spans="1:16">
      <c r="A28" s="1304" t="str">
        <f t="array" ref="A28:A32">$A$8:$A$12</f>
        <v>Capital Disbursement</v>
      </c>
      <c r="B28" s="1309"/>
      <c r="C28" s="1309"/>
      <c r="D28" s="1309"/>
      <c r="E28" s="1309"/>
      <c r="F28" s="1309"/>
      <c r="G28" s="1309"/>
      <c r="H28" s="1309"/>
      <c r="I28" s="1309"/>
      <c r="J28" s="1309"/>
      <c r="K28" s="1309"/>
      <c r="L28" s="1309"/>
      <c r="M28" s="1309"/>
      <c r="N28" s="1309">
        <f>SUM(B28:M28)</f>
        <v>0</v>
      </c>
      <c r="O28" s="541"/>
    </row>
    <row r="29" spans="1:16">
      <c r="A29" s="1305" t="str">
        <v>Subsidies</v>
      </c>
      <c r="B29" s="1310"/>
      <c r="C29" s="1310"/>
      <c r="D29" s="1310"/>
      <c r="E29" s="1310"/>
      <c r="F29" s="1310"/>
      <c r="G29" s="1310"/>
      <c r="H29" s="1310"/>
      <c r="I29" s="1310"/>
      <c r="J29" s="1310"/>
      <c r="K29" s="1310"/>
      <c r="L29" s="1310"/>
      <c r="M29" s="1310"/>
      <c r="N29" s="1310">
        <f>SUM(B29:M29)</f>
        <v>0</v>
      </c>
      <c r="O29" s="541"/>
    </row>
    <row r="30" spans="1:16">
      <c r="A30" s="1305" t="str">
        <v>Other cash coll. atípicos</v>
      </c>
      <c r="B30" s="1310"/>
      <c r="C30" s="1310"/>
      <c r="D30" s="1310"/>
      <c r="E30" s="1310"/>
      <c r="F30" s="1310"/>
      <c r="G30" s="1310"/>
      <c r="H30" s="1310"/>
      <c r="I30" s="1310"/>
      <c r="J30" s="1310"/>
      <c r="K30" s="1310"/>
      <c r="L30" s="1310"/>
      <c r="M30" s="1727">
        <f ca="1">IF('Corporate Income Tax'!$D$23&lt;0,-'Corporate Income Tax'!$D$23,0)*0</f>
        <v>0</v>
      </c>
      <c r="N30" s="1310">
        <f ca="1">SUM(B30:M30)</f>
        <v>0</v>
      </c>
      <c r="O30" s="541"/>
    </row>
    <row r="31" spans="1:16">
      <c r="A31" s="1305" t="str">
        <v>Trade creditors coll.</v>
      </c>
      <c r="B31" s="1730">
        <f ca="1">+recmorosos*'Collections &amp; Payments 1'!$S$31/12*0</f>
        <v>0</v>
      </c>
      <c r="C31" s="1730">
        <f ca="1">+recmorosos*'Collections &amp; Payments 1'!$S$31/12*0</f>
        <v>0</v>
      </c>
      <c r="D31" s="1730">
        <f ca="1">+recmorosos*'Collections &amp; Payments 1'!$S$31/12*0</f>
        <v>0</v>
      </c>
      <c r="E31" s="1730">
        <f ca="1">+recmorosos*'Collections &amp; Payments 1'!$S$31/12*0</f>
        <v>0</v>
      </c>
      <c r="F31" s="1730">
        <f ca="1">+recmorosos*'Collections &amp; Payments 1'!$S$31/12*0</f>
        <v>0</v>
      </c>
      <c r="G31" s="1730">
        <f ca="1">+recmorosos*'Collections &amp; Payments 1'!$S$31/12*0</f>
        <v>0</v>
      </c>
      <c r="H31" s="1730">
        <f ca="1">+recmorosos*'Collections &amp; Payments 1'!$S$31/12*0</f>
        <v>0</v>
      </c>
      <c r="I31" s="1730">
        <f ca="1">+recmorosos*'Collections &amp; Payments 1'!$S$31/12*0</f>
        <v>0</v>
      </c>
      <c r="J31" s="1730">
        <f ca="1">+recmorosos*'Collections &amp; Payments 1'!$S$31/12*0</f>
        <v>0</v>
      </c>
      <c r="K31" s="1730">
        <f ca="1">+recmorosos*'Collections &amp; Payments 1'!$S$31/12*0</f>
        <v>0</v>
      </c>
      <c r="L31" s="1730">
        <f ca="1">+recmorosos*'Collections &amp; Payments 1'!$S$31/12*0</f>
        <v>0</v>
      </c>
      <c r="M31" s="1730">
        <f ca="1">+recmorosos*'Collections &amp; Payments 1'!$S$31/12*0</f>
        <v>0</v>
      </c>
      <c r="N31" s="1310">
        <f ca="1">SUM(B31:M31)</f>
        <v>0</v>
      </c>
      <c r="O31" s="541"/>
    </row>
    <row r="32" spans="1:16" ht="13.5" thickBot="1">
      <c r="A32" s="1306" t="str">
        <v>Monthly Total</v>
      </c>
      <c r="B32" s="1307">
        <f t="shared" ref="B32:M32" ca="1" si="2">SUM(B28:B31)</f>
        <v>0</v>
      </c>
      <c r="C32" s="1307">
        <f t="shared" ca="1" si="2"/>
        <v>0</v>
      </c>
      <c r="D32" s="1307">
        <f t="shared" ca="1" si="2"/>
        <v>0</v>
      </c>
      <c r="E32" s="1307">
        <f t="shared" ca="1" si="2"/>
        <v>0</v>
      </c>
      <c r="F32" s="1307">
        <f t="shared" ca="1" si="2"/>
        <v>0</v>
      </c>
      <c r="G32" s="1307">
        <f t="shared" ca="1" si="2"/>
        <v>0</v>
      </c>
      <c r="H32" s="1307">
        <f t="shared" ca="1" si="2"/>
        <v>0</v>
      </c>
      <c r="I32" s="1307">
        <f t="shared" ca="1" si="2"/>
        <v>0</v>
      </c>
      <c r="J32" s="1307">
        <f t="shared" ca="1" si="2"/>
        <v>0</v>
      </c>
      <c r="K32" s="1307">
        <f t="shared" ca="1" si="2"/>
        <v>0</v>
      </c>
      <c r="L32" s="1307">
        <f t="shared" ca="1" si="2"/>
        <v>0</v>
      </c>
      <c r="M32" s="1307">
        <f t="shared" ca="1" si="2"/>
        <v>0</v>
      </c>
      <c r="N32" s="1307">
        <f ca="1">SUM(B32:M32)</f>
        <v>0</v>
      </c>
      <c r="O32" s="541"/>
    </row>
    <row r="33" spans="1:16">
      <c r="C33" s="1302"/>
      <c r="D33" s="541"/>
      <c r="E33" s="541"/>
      <c r="F33" s="541"/>
      <c r="G33" s="541"/>
      <c r="H33" s="541"/>
      <c r="I33" s="541"/>
      <c r="J33" s="541"/>
      <c r="K33" s="541"/>
      <c r="L33" s="541"/>
      <c r="M33" s="541"/>
      <c r="N33" s="541"/>
      <c r="O33" s="541"/>
      <c r="P33" s="541"/>
    </row>
    <row r="34" spans="1:16">
      <c r="C34" s="1302"/>
      <c r="D34" s="541"/>
      <c r="E34" s="541"/>
      <c r="F34" s="541"/>
      <c r="G34" s="541"/>
      <c r="H34" s="541"/>
      <c r="I34" s="541"/>
      <c r="J34" s="541"/>
      <c r="K34" s="541"/>
      <c r="L34" s="541"/>
      <c r="M34" s="541"/>
      <c r="N34" s="541"/>
      <c r="O34" s="541"/>
      <c r="P34" s="541"/>
    </row>
    <row r="35" spans="1:16" ht="19.5">
      <c r="A35" s="1308" t="str">
        <f>A15</f>
        <v>Other cash collections</v>
      </c>
      <c r="C35" s="2732" t="str">
        <f>Parameters!E$77</f>
        <v>Year 3:   2029</v>
      </c>
      <c r="E35" s="541"/>
      <c r="F35" s="541"/>
      <c r="H35" s="541"/>
      <c r="I35" s="541"/>
      <c r="J35" s="541"/>
      <c r="K35" s="541"/>
      <c r="L35" s="541"/>
      <c r="M35" s="541"/>
      <c r="N35" s="541"/>
    </row>
    <row r="36" spans="1:16" ht="13.5" thickBot="1">
      <c r="C36" s="1302"/>
      <c r="D36" s="541"/>
      <c r="E36" s="541"/>
      <c r="F36" s="541"/>
      <c r="G36" s="541"/>
      <c r="H36" s="541"/>
      <c r="I36" s="541"/>
      <c r="J36" s="541"/>
      <c r="K36" s="541"/>
      <c r="L36" s="541"/>
      <c r="M36" s="541"/>
      <c r="N36" s="541"/>
      <c r="O36" s="541"/>
      <c r="P36" s="541"/>
    </row>
    <row r="37" spans="1:16" ht="27" customHeight="1" thickBot="1">
      <c r="A37" s="165" t="str">
        <f>CONCATENATE("Other cash coll.  ",C35)</f>
        <v>Other cash coll.  Year 3:   2029</v>
      </c>
      <c r="B37" s="1303" t="str">
        <f t="array" ref="B37:N37">'Sales Forecasts'!B44:N44</f>
        <v>January 
2029</v>
      </c>
      <c r="C37" s="1303" t="str">
        <v>February 
2029</v>
      </c>
      <c r="D37" s="1303" t="str">
        <v>March 
2029</v>
      </c>
      <c r="E37" s="1303" t="str">
        <v>April 
2029</v>
      </c>
      <c r="F37" s="1303" t="str">
        <v>May 
2029</v>
      </c>
      <c r="G37" s="1303" t="str">
        <v>June 
2029</v>
      </c>
      <c r="H37" s="1303" t="str">
        <v>July 
2029</v>
      </c>
      <c r="I37" s="1303" t="str">
        <v>August 
2029</v>
      </c>
      <c r="J37" s="1303" t="str">
        <v>September 
2029</v>
      </c>
      <c r="K37" s="1303" t="str">
        <v>October 
2029</v>
      </c>
      <c r="L37" s="1303" t="str">
        <v>November 
2029</v>
      </c>
      <c r="M37" s="1303" t="str">
        <v>December 
2029</v>
      </c>
      <c r="N37" s="1303" t="str">
        <v>Totals  
2029</v>
      </c>
      <c r="O37" s="541"/>
    </row>
    <row r="38" spans="1:16">
      <c r="A38" s="1304" t="str">
        <f>+A28</f>
        <v>Capital Disbursement</v>
      </c>
      <c r="B38" s="1309"/>
      <c r="C38" s="1309"/>
      <c r="D38" s="1309"/>
      <c r="E38" s="1309"/>
      <c r="F38" s="1309"/>
      <c r="G38" s="1309"/>
      <c r="H38" s="1309"/>
      <c r="I38" s="1309"/>
      <c r="J38" s="1309"/>
      <c r="K38" s="1309"/>
      <c r="L38" s="1309"/>
      <c r="M38" s="1309"/>
      <c r="N38" s="1309">
        <f t="shared" ref="N38:N43" si="3">SUM(B38:M38)</f>
        <v>0</v>
      </c>
      <c r="O38" s="541"/>
    </row>
    <row r="39" spans="1:16">
      <c r="A39" s="1305" t="s">
        <v>777</v>
      </c>
      <c r="B39" s="1729">
        <f>+Funding!G17*0</f>
        <v>0</v>
      </c>
      <c r="C39" s="1310"/>
      <c r="D39" s="1310"/>
      <c r="E39" s="1310"/>
      <c r="F39" s="1310"/>
      <c r="G39" s="1310"/>
      <c r="H39" s="1310"/>
      <c r="I39" s="1310"/>
      <c r="J39" s="1310"/>
      <c r="K39" s="1310"/>
      <c r="L39" s="1310"/>
      <c r="M39" s="1310"/>
      <c r="N39" s="1310">
        <f t="shared" si="3"/>
        <v>0</v>
      </c>
      <c r="O39" s="541"/>
    </row>
    <row r="40" spans="1:16">
      <c r="A40" s="1305" t="str">
        <f t="array" ref="A40:A43">A29:A32</f>
        <v>Subsidies</v>
      </c>
      <c r="B40" s="1310"/>
      <c r="C40" s="1310"/>
      <c r="D40" s="1310"/>
      <c r="E40" s="1310"/>
      <c r="F40" s="1310"/>
      <c r="G40" s="1310"/>
      <c r="H40" s="1310"/>
      <c r="I40" s="1310"/>
      <c r="J40" s="1310"/>
      <c r="K40" s="1310"/>
      <c r="L40" s="1310"/>
      <c r="M40" s="1310"/>
      <c r="N40" s="1310">
        <f t="shared" si="3"/>
        <v>0</v>
      </c>
      <c r="O40" s="541"/>
    </row>
    <row r="41" spans="1:16">
      <c r="A41" s="1305" t="str">
        <v>Other cash coll. atípicos</v>
      </c>
      <c r="B41" s="1310"/>
      <c r="C41" s="1310"/>
      <c r="D41" s="1310"/>
      <c r="E41" s="1310"/>
      <c r="F41" s="1310"/>
      <c r="G41" s="1310"/>
      <c r="H41" s="1310"/>
      <c r="I41" s="1310"/>
      <c r="J41" s="1310"/>
      <c r="K41" s="1310"/>
      <c r="L41" s="1310"/>
      <c r="M41" s="1727">
        <f ca="1">IF('Corporate Income Tax'!$G$23&lt;0,-'Corporate Income Tax'!$G$23,0)*0</f>
        <v>0</v>
      </c>
      <c r="N41" s="1310">
        <f t="shared" ca="1" si="3"/>
        <v>0</v>
      </c>
      <c r="O41" s="541"/>
    </row>
    <row r="42" spans="1:16">
      <c r="A42" s="1305" t="str">
        <v>Trade creditors coll.</v>
      </c>
      <c r="B42" s="1730">
        <f ca="1">+recmorosos*'Collections &amp; Payments 2'!$S$31/12*0</f>
        <v>0</v>
      </c>
      <c r="C42" s="1730">
        <f ca="1">+recmorosos*'Collections &amp; Payments 2'!$S$31/12*0</f>
        <v>0</v>
      </c>
      <c r="D42" s="1730">
        <f ca="1">+recmorosos*'Collections &amp; Payments 2'!$S$31/12*0</f>
        <v>0</v>
      </c>
      <c r="E42" s="1730">
        <f ca="1">+recmorosos*'Collections &amp; Payments 2'!$S$31/12*0</f>
        <v>0</v>
      </c>
      <c r="F42" s="1730">
        <f ca="1">+recmorosos*'Collections &amp; Payments 2'!$S$31/12*0</f>
        <v>0</v>
      </c>
      <c r="G42" s="1730">
        <f ca="1">+recmorosos*'Collections &amp; Payments 2'!$S$31/12*0</f>
        <v>0</v>
      </c>
      <c r="H42" s="1730">
        <f ca="1">+recmorosos*'Collections &amp; Payments 2'!$S$31/12*0</f>
        <v>0</v>
      </c>
      <c r="I42" s="1730">
        <f ca="1">+recmorosos*'Collections &amp; Payments 2'!$S$31/12*0</f>
        <v>0</v>
      </c>
      <c r="J42" s="1730">
        <f ca="1">+recmorosos*'Collections &amp; Payments 2'!$S$31/12*0</f>
        <v>0</v>
      </c>
      <c r="K42" s="1730">
        <f ca="1">+recmorosos*'Collections &amp; Payments 2'!$S$31/12*0</f>
        <v>0</v>
      </c>
      <c r="L42" s="1730">
        <f ca="1">+recmorosos*'Collections &amp; Payments 2'!$S$31/12*0</f>
        <v>0</v>
      </c>
      <c r="M42" s="1730">
        <f ca="1">+recmorosos*'Collections &amp; Payments 2'!$S$31/12*0</f>
        <v>0</v>
      </c>
      <c r="N42" s="1310">
        <f t="shared" ca="1" si="3"/>
        <v>0</v>
      </c>
      <c r="O42" s="541"/>
    </row>
    <row r="43" spans="1:16" ht="13.5" thickBot="1">
      <c r="A43" s="1306" t="str">
        <v>Monthly Total</v>
      </c>
      <c r="B43" s="1307">
        <f t="shared" ref="B43:M43" ca="1" si="4">SUM(B38:B42)</f>
        <v>0</v>
      </c>
      <c r="C43" s="1307">
        <f t="shared" ca="1" si="4"/>
        <v>0</v>
      </c>
      <c r="D43" s="1307">
        <f t="shared" ca="1" si="4"/>
        <v>0</v>
      </c>
      <c r="E43" s="1307">
        <f t="shared" ca="1" si="4"/>
        <v>0</v>
      </c>
      <c r="F43" s="1307">
        <f t="shared" ca="1" si="4"/>
        <v>0</v>
      </c>
      <c r="G43" s="1307">
        <f t="shared" ca="1" si="4"/>
        <v>0</v>
      </c>
      <c r="H43" s="1307">
        <f t="shared" ca="1" si="4"/>
        <v>0</v>
      </c>
      <c r="I43" s="1307">
        <f t="shared" ca="1" si="4"/>
        <v>0</v>
      </c>
      <c r="J43" s="1307">
        <f t="shared" ca="1" si="4"/>
        <v>0</v>
      </c>
      <c r="K43" s="1307">
        <f t="shared" ca="1" si="4"/>
        <v>0</v>
      </c>
      <c r="L43" s="1307">
        <f t="shared" ca="1" si="4"/>
        <v>0</v>
      </c>
      <c r="M43" s="1307">
        <f t="shared" ca="1" si="4"/>
        <v>0</v>
      </c>
      <c r="N43" s="1307">
        <f t="shared" ca="1" si="3"/>
        <v>0</v>
      </c>
      <c r="O43" s="541"/>
    </row>
    <row r="44" spans="1:16">
      <c r="C44" s="1302"/>
      <c r="D44" s="541"/>
      <c r="E44" s="541"/>
      <c r="F44" s="541"/>
      <c r="G44" s="541"/>
      <c r="H44" s="541"/>
      <c r="I44" s="541"/>
      <c r="J44" s="541"/>
      <c r="K44" s="541"/>
      <c r="L44" s="541"/>
      <c r="M44" s="541"/>
      <c r="N44" s="541"/>
      <c r="O44" s="541"/>
      <c r="P44" s="541"/>
    </row>
    <row r="45" spans="1:16">
      <c r="C45" s="1302"/>
      <c r="D45" s="541"/>
      <c r="E45" s="541"/>
      <c r="F45" s="541"/>
      <c r="G45" s="541"/>
      <c r="H45" s="541"/>
      <c r="I45" s="541"/>
      <c r="J45" s="541"/>
      <c r="K45" s="541"/>
      <c r="L45" s="541"/>
      <c r="M45" s="541"/>
      <c r="N45" s="541"/>
      <c r="O45" s="541"/>
      <c r="P45" s="541"/>
    </row>
    <row r="46" spans="1:16" ht="19.5">
      <c r="A46" s="1308" t="str">
        <f>A25</f>
        <v>Other cash collections</v>
      </c>
      <c r="C46" s="2732" t="str">
        <f>Parameters!F$77</f>
        <v>Year 4:   2030</v>
      </c>
      <c r="E46" s="541"/>
      <c r="F46" s="541"/>
      <c r="H46" s="541"/>
      <c r="I46" s="541"/>
      <c r="J46" s="541"/>
      <c r="K46" s="541"/>
      <c r="L46" s="541"/>
      <c r="M46" s="541"/>
      <c r="N46" s="541"/>
    </row>
    <row r="47" spans="1:16" ht="13.5" thickBot="1">
      <c r="C47" s="1302"/>
      <c r="D47" s="541"/>
      <c r="E47" s="541"/>
      <c r="F47" s="541"/>
      <c r="G47" s="541"/>
      <c r="H47" s="541"/>
      <c r="I47" s="541"/>
      <c r="J47" s="541"/>
      <c r="K47" s="541"/>
      <c r="L47" s="541"/>
      <c r="M47" s="541"/>
      <c r="N47" s="541"/>
      <c r="O47" s="541"/>
      <c r="P47" s="541"/>
    </row>
    <row r="48" spans="1:16" ht="27" customHeight="1" thickBot="1">
      <c r="A48" s="165" t="str">
        <f>CONCATENATE("Other cash coll.  ",C46)</f>
        <v>Other cash coll.  Year 4:   2030</v>
      </c>
      <c r="B48" s="1303" t="str">
        <f t="array" ref="B48:N48">'Sales Forecasts'!B57:N57</f>
        <v>January 
2030</v>
      </c>
      <c r="C48" s="1303" t="str">
        <v>February 
2030</v>
      </c>
      <c r="D48" s="1303" t="str">
        <v>March 
2030</v>
      </c>
      <c r="E48" s="1303" t="str">
        <v>April 
2030</v>
      </c>
      <c r="F48" s="1303" t="str">
        <v>May 
2030</v>
      </c>
      <c r="G48" s="1303" t="str">
        <v>June 
2030</v>
      </c>
      <c r="H48" s="1303" t="str">
        <v>July 
2030</v>
      </c>
      <c r="I48" s="1303" t="str">
        <v>August 
2030</v>
      </c>
      <c r="J48" s="1303" t="str">
        <v>September 
2030</v>
      </c>
      <c r="K48" s="1303" t="str">
        <v>October 
2030</v>
      </c>
      <c r="L48" s="1303" t="str">
        <v>November 
2030</v>
      </c>
      <c r="M48" s="1303" t="str">
        <v>December 
2030</v>
      </c>
      <c r="N48" s="1303" t="str">
        <v>Totals   
2030</v>
      </c>
      <c r="O48" s="541"/>
    </row>
    <row r="49" spans="1:16">
      <c r="A49" s="1304" t="str">
        <f t="array" ref="A49:A54">A38:A43</f>
        <v>Capital Disbursement</v>
      </c>
      <c r="B49" s="1309"/>
      <c r="C49" s="1309"/>
      <c r="D49" s="1309"/>
      <c r="E49" s="1309"/>
      <c r="F49" s="1309"/>
      <c r="G49" s="1309"/>
      <c r="H49" s="1309"/>
      <c r="I49" s="1309"/>
      <c r="J49" s="1309"/>
      <c r="K49" s="1309"/>
      <c r="L49" s="1309"/>
      <c r="M49" s="1309"/>
      <c r="N49" s="1309">
        <f t="shared" ref="N49:N54" si="5">SUM(B49:M49)</f>
        <v>0</v>
      </c>
      <c r="O49" s="541"/>
    </row>
    <row r="50" spans="1:16">
      <c r="A50" s="1305" t="str">
        <v>Credit from partners</v>
      </c>
      <c r="B50" s="1729">
        <f>+Funding!H17*0</f>
        <v>0</v>
      </c>
      <c r="C50" s="1310"/>
      <c r="D50" s="1310"/>
      <c r="E50" s="1310"/>
      <c r="F50" s="1310"/>
      <c r="G50" s="1310"/>
      <c r="H50" s="1310"/>
      <c r="I50" s="1310"/>
      <c r="J50" s="1310"/>
      <c r="K50" s="1310"/>
      <c r="L50" s="1310"/>
      <c r="M50" s="1310"/>
      <c r="N50" s="1310">
        <f t="shared" si="5"/>
        <v>0</v>
      </c>
      <c r="O50" s="541"/>
    </row>
    <row r="51" spans="1:16">
      <c r="A51" s="1305" t="str">
        <v>Subsidies</v>
      </c>
      <c r="B51" s="1310"/>
      <c r="C51" s="1310"/>
      <c r="D51" s="1310"/>
      <c r="E51" s="1310"/>
      <c r="F51" s="1310"/>
      <c r="G51" s="1310"/>
      <c r="H51" s="1310"/>
      <c r="I51" s="1310"/>
      <c r="J51" s="1310"/>
      <c r="K51" s="1310"/>
      <c r="L51" s="1310"/>
      <c r="M51" s="1310"/>
      <c r="N51" s="1310">
        <f t="shared" si="5"/>
        <v>0</v>
      </c>
      <c r="O51" s="541"/>
    </row>
    <row r="52" spans="1:16">
      <c r="A52" s="1305" t="str">
        <v>Other cash coll. atípicos</v>
      </c>
      <c r="B52" s="1310"/>
      <c r="C52" s="1310"/>
      <c r="D52" s="1310"/>
      <c r="E52" s="1310"/>
      <c r="F52" s="1310"/>
      <c r="G52" s="1310"/>
      <c r="H52" s="1310"/>
      <c r="I52" s="1310"/>
      <c r="J52" s="1310"/>
      <c r="K52" s="1310"/>
      <c r="L52" s="1310"/>
      <c r="M52" s="1727">
        <f ca="1">IF('Corporate Income Tax'!$J$23&lt;0,-'Corporate Income Tax'!$J$23,0)*0</f>
        <v>0</v>
      </c>
      <c r="N52" s="1310">
        <f t="shared" ca="1" si="5"/>
        <v>0</v>
      </c>
      <c r="O52" s="541"/>
    </row>
    <row r="53" spans="1:16">
      <c r="A53" s="1305" t="str">
        <v>Trade creditors coll.</v>
      </c>
      <c r="B53" s="1730">
        <f ca="1">+recmorosos*'Collections &amp; Payments 3'!$S$31/12*0</f>
        <v>0</v>
      </c>
      <c r="C53" s="1730">
        <f ca="1">+recmorosos*'Collections &amp; Payments 3'!$S$31/12*0</f>
        <v>0</v>
      </c>
      <c r="D53" s="1730">
        <f ca="1">+recmorosos*'Collections &amp; Payments 3'!$S$31/12*0</f>
        <v>0</v>
      </c>
      <c r="E53" s="1730">
        <f ca="1">+recmorosos*'Collections &amp; Payments 3'!$S$31/12*0</f>
        <v>0</v>
      </c>
      <c r="F53" s="1730">
        <f ca="1">+recmorosos*'Collections &amp; Payments 3'!$S$31/12*0</f>
        <v>0</v>
      </c>
      <c r="G53" s="1730">
        <f ca="1">+recmorosos*'Collections &amp; Payments 3'!$S$31/12*0</f>
        <v>0</v>
      </c>
      <c r="H53" s="1730">
        <f ca="1">+recmorosos*'Collections &amp; Payments 3'!$S$31/12*0</f>
        <v>0</v>
      </c>
      <c r="I53" s="1730">
        <f ca="1">+recmorosos*'Collections &amp; Payments 3'!$S$31/12*0</f>
        <v>0</v>
      </c>
      <c r="J53" s="1730">
        <f ca="1">+recmorosos*'Collections &amp; Payments 3'!$S$31/12*0</f>
        <v>0</v>
      </c>
      <c r="K53" s="1730">
        <f ca="1">+recmorosos*'Collections &amp; Payments 3'!$S$31/12*0</f>
        <v>0</v>
      </c>
      <c r="L53" s="1730">
        <f ca="1">+recmorosos*'Collections &amp; Payments 3'!$S$31/12*0</f>
        <v>0</v>
      </c>
      <c r="M53" s="1730">
        <f ca="1">+recmorosos*'Collections &amp; Payments 3'!$S$31/12*0</f>
        <v>0</v>
      </c>
      <c r="N53" s="1310">
        <f t="shared" ca="1" si="5"/>
        <v>0</v>
      </c>
      <c r="O53" s="541"/>
    </row>
    <row r="54" spans="1:16" ht="13.5" thickBot="1">
      <c r="A54" s="1306" t="str">
        <v>Monthly Total</v>
      </c>
      <c r="B54" s="1307">
        <f t="shared" ref="B54:M54" ca="1" si="6">SUM(B49:B53)</f>
        <v>0</v>
      </c>
      <c r="C54" s="1307">
        <f t="shared" ca="1" si="6"/>
        <v>0</v>
      </c>
      <c r="D54" s="1307">
        <f t="shared" ca="1" si="6"/>
        <v>0</v>
      </c>
      <c r="E54" s="1307">
        <f t="shared" ca="1" si="6"/>
        <v>0</v>
      </c>
      <c r="F54" s="1307">
        <f t="shared" ca="1" si="6"/>
        <v>0</v>
      </c>
      <c r="G54" s="1307">
        <f t="shared" ca="1" si="6"/>
        <v>0</v>
      </c>
      <c r="H54" s="1307">
        <f t="shared" ca="1" si="6"/>
        <v>0</v>
      </c>
      <c r="I54" s="1307">
        <f t="shared" ca="1" si="6"/>
        <v>0</v>
      </c>
      <c r="J54" s="1307">
        <f t="shared" ca="1" si="6"/>
        <v>0</v>
      </c>
      <c r="K54" s="1307">
        <f t="shared" ca="1" si="6"/>
        <v>0</v>
      </c>
      <c r="L54" s="1307">
        <f t="shared" ca="1" si="6"/>
        <v>0</v>
      </c>
      <c r="M54" s="1307">
        <f t="shared" ca="1" si="6"/>
        <v>0</v>
      </c>
      <c r="N54" s="1307">
        <f t="shared" ca="1" si="5"/>
        <v>0</v>
      </c>
      <c r="O54" s="541"/>
    </row>
    <row r="55" spans="1:16">
      <c r="C55" s="1302"/>
      <c r="D55" s="541"/>
      <c r="E55" s="541"/>
      <c r="F55" s="541"/>
      <c r="G55" s="541"/>
      <c r="H55" s="541"/>
      <c r="I55" s="541"/>
      <c r="J55" s="541"/>
      <c r="K55" s="541"/>
      <c r="L55" s="541"/>
      <c r="M55" s="541"/>
      <c r="N55" s="541"/>
      <c r="O55" s="541"/>
      <c r="P55" s="541"/>
    </row>
    <row r="56" spans="1:16">
      <c r="C56" s="1302"/>
      <c r="D56" s="541"/>
      <c r="E56" s="541"/>
      <c r="F56" s="541"/>
      <c r="G56" s="541"/>
      <c r="H56" s="541"/>
      <c r="I56" s="541"/>
      <c r="J56" s="541"/>
      <c r="K56" s="541"/>
      <c r="L56" s="541"/>
      <c r="M56" s="541"/>
      <c r="N56" s="541"/>
      <c r="O56" s="541"/>
      <c r="P56" s="541"/>
    </row>
    <row r="57" spans="1:16">
      <c r="C57" s="1302"/>
      <c r="D57" s="541"/>
      <c r="E57" s="541"/>
      <c r="F57" s="541"/>
      <c r="G57" s="541"/>
      <c r="H57" s="541"/>
      <c r="I57" s="541"/>
      <c r="J57" s="541"/>
      <c r="K57" s="541"/>
      <c r="L57" s="541"/>
      <c r="M57" s="541"/>
      <c r="N57" s="541"/>
      <c r="O57" s="541"/>
      <c r="P57" s="541"/>
    </row>
    <row r="58" spans="1:16">
      <c r="C58" s="1302"/>
      <c r="D58" s="541"/>
      <c r="E58" s="541"/>
      <c r="F58" s="541"/>
      <c r="G58" s="541"/>
      <c r="H58" s="541"/>
      <c r="I58" s="541"/>
      <c r="J58" s="541"/>
      <c r="K58" s="541"/>
      <c r="L58" s="541"/>
      <c r="M58" s="541"/>
      <c r="N58" s="541"/>
      <c r="O58" s="541"/>
      <c r="P58" s="541"/>
    </row>
    <row r="59" spans="1:16" ht="19.5">
      <c r="A59" s="1308" t="s">
        <v>778</v>
      </c>
      <c r="C59" s="2732" t="str">
        <f>C5</f>
        <v>Year 0:   2026</v>
      </c>
      <c r="E59" s="541"/>
      <c r="F59" s="541"/>
      <c r="H59" s="541"/>
      <c r="I59" s="541"/>
      <c r="J59" s="541"/>
      <c r="K59" s="541"/>
      <c r="L59" s="541"/>
      <c r="M59" s="541"/>
      <c r="N59" s="541"/>
    </row>
    <row r="60" spans="1:16" ht="13.5" thickBot="1">
      <c r="A60" s="541"/>
      <c r="B60" s="1032"/>
      <c r="C60" s="541"/>
      <c r="D60" s="541"/>
      <c r="E60" s="541"/>
      <c r="F60" s="541"/>
      <c r="G60" s="541"/>
      <c r="H60" s="541"/>
      <c r="I60" s="541"/>
      <c r="J60" s="541"/>
      <c r="K60" s="541"/>
      <c r="L60" s="541"/>
      <c r="M60" s="541"/>
      <c r="N60" s="541"/>
      <c r="O60" s="541"/>
      <c r="P60" s="541"/>
    </row>
    <row r="61" spans="1:16" ht="27.75" customHeight="1" thickBot="1">
      <c r="A61" s="165" t="str">
        <f>CONCATENATE("Otros pagos  ",C59)</f>
        <v>Otros pagos  Year 0:   2026</v>
      </c>
      <c r="B61" s="1303" t="str">
        <f>B7</f>
        <v>January 
2026</v>
      </c>
      <c r="C61" s="1303" t="str">
        <f t="shared" ref="C61:L61" si="7">C7</f>
        <v>February 
2026</v>
      </c>
      <c r="D61" s="1303" t="str">
        <f t="shared" si="7"/>
        <v>March 
2026</v>
      </c>
      <c r="E61" s="1303" t="str">
        <f t="shared" si="7"/>
        <v>April 
2026</v>
      </c>
      <c r="F61" s="1303" t="str">
        <f t="shared" si="7"/>
        <v>May 
2026</v>
      </c>
      <c r="G61" s="1303" t="str">
        <f t="shared" si="7"/>
        <v>June 
2026</v>
      </c>
      <c r="H61" s="1303" t="str">
        <f t="shared" si="7"/>
        <v>July 
2026</v>
      </c>
      <c r="I61" s="1303" t="str">
        <f t="shared" si="7"/>
        <v>August 
2026</v>
      </c>
      <c r="J61" s="1303" t="str">
        <f t="shared" si="7"/>
        <v>September 
2026</v>
      </c>
      <c r="K61" s="1303" t="str">
        <f t="shared" si="7"/>
        <v>October 
2026</v>
      </c>
      <c r="L61" s="1303" t="str">
        <f t="shared" si="7"/>
        <v>November 
2026</v>
      </c>
      <c r="M61" s="1303" t="str">
        <f>M7</f>
        <v>December 
2026</v>
      </c>
      <c r="N61" s="1303" t="str">
        <f>N7</f>
        <v>Totals  
2026</v>
      </c>
      <c r="O61" s="86"/>
    </row>
    <row r="62" spans="1:16">
      <c r="A62" s="1304" t="s">
        <v>779</v>
      </c>
      <c r="B62" s="1309"/>
      <c r="C62" s="1309"/>
      <c r="D62" s="1309"/>
      <c r="E62" s="1309"/>
      <c r="F62" s="1309"/>
      <c r="G62" s="1309"/>
      <c r="H62" s="1309"/>
      <c r="I62" s="1309"/>
      <c r="J62" s="1309"/>
      <c r="K62" s="1309"/>
      <c r="L62" s="1309"/>
      <c r="M62" s="1309"/>
      <c r="N62" s="1309">
        <f>SUM(B62:M62)</f>
        <v>0</v>
      </c>
      <c r="O62" s="86"/>
    </row>
    <row r="63" spans="1:16">
      <c r="A63" s="1305" t="s">
        <v>780</v>
      </c>
      <c r="B63" s="1310"/>
      <c r="C63" s="1310"/>
      <c r="D63" s="1310"/>
      <c r="E63" s="1310"/>
      <c r="F63" s="1310"/>
      <c r="G63" s="1310"/>
      <c r="H63" s="1310"/>
      <c r="I63" s="1310"/>
      <c r="J63" s="1310"/>
      <c r="K63" s="1310"/>
      <c r="L63" s="1310"/>
      <c r="M63" s="1310"/>
      <c r="N63" s="1310">
        <f>SUM(B63:M63)</f>
        <v>0</v>
      </c>
      <c r="O63" s="86"/>
    </row>
    <row r="64" spans="1:16">
      <c r="A64" s="1305" t="s">
        <v>781</v>
      </c>
      <c r="B64" s="1911">
        <v>0</v>
      </c>
      <c r="C64" s="1911"/>
      <c r="D64" s="1911"/>
      <c r="E64" s="1911"/>
      <c r="F64" s="1911"/>
      <c r="G64" s="1911"/>
      <c r="H64" s="1911"/>
      <c r="I64" s="1911"/>
      <c r="J64" s="1911"/>
      <c r="K64" s="1911"/>
      <c r="L64" s="1911"/>
      <c r="M64" s="1911"/>
      <c r="N64" s="1725">
        <f>SUM(B64:M64)</f>
        <v>0</v>
      </c>
      <c r="O64" s="86"/>
    </row>
    <row r="65" spans="1:15">
      <c r="A65" s="1305" t="s">
        <v>782</v>
      </c>
      <c r="B65" s="1724">
        <f>'Initial Funding'!$B$27*IF(OR(mes0&gt;COLUMN(B11)-1,COLUMN(B11)-mes0&gt;6),0,INDEX('Cashing &amp; Payment Policies'!$C$67:$H$67,1,COLUMN(B11)-mes0))*0</f>
        <v>0</v>
      </c>
      <c r="C65" s="1724">
        <f>'Initial Funding'!$B$27*IF(OR(mes0&gt;COLUMN(C11)-1,COLUMN(C11)-mes0&gt;6),0,INDEX('Cashing &amp; Payment Policies'!$C$67:$H$67,1,COLUMN(C11)-mes0))*0</f>
        <v>0</v>
      </c>
      <c r="D65" s="1724">
        <f>'Initial Funding'!$B$27*IF(OR(mes0&gt;COLUMN(D11)-1,COLUMN(D11)-mes0&gt;6),0,INDEX('Cashing &amp; Payment Policies'!$C$67:$H$67,1,COLUMN(D11)-mes0))*0</f>
        <v>0</v>
      </c>
      <c r="E65" s="1724">
        <f>'Initial Funding'!$B$27*IF(OR(mes0&gt;COLUMN(E11)-1,COLUMN(E11)-mes0&gt;6),0,INDEX('Cashing &amp; Payment Policies'!$C$67:$H$67,1,COLUMN(E11)-mes0))*0</f>
        <v>0</v>
      </c>
      <c r="F65" s="1724">
        <f>'Initial Funding'!$B$27*IF(OR(mes0&gt;COLUMN(F11)-1,COLUMN(F11)-mes0&gt;6),0,INDEX('Cashing &amp; Payment Policies'!$C$67:$H$67,1,COLUMN(F11)-mes0))*0</f>
        <v>0</v>
      </c>
      <c r="G65" s="1724">
        <f>'Initial Funding'!$B$27*IF(OR(mes0&gt;COLUMN(G11)-1,COLUMN(G11)-mes0&gt;6),0,INDEX('Cashing &amp; Payment Policies'!$C$67:$H$67,1,COLUMN(G11)-mes0))*0</f>
        <v>0</v>
      </c>
      <c r="H65" s="1724">
        <f>'Initial Funding'!$B$27*IF(OR(mes0&gt;COLUMN(H11)-1,COLUMN(H11)-mes0&gt;6),0,INDEX('Cashing &amp; Payment Policies'!$C$67:$H$67,1,COLUMN(H11)-mes0))*0</f>
        <v>0</v>
      </c>
      <c r="I65" s="1724">
        <f>'Initial Funding'!$B$27*IF(OR(mes0&gt;COLUMN(I11)-1,COLUMN(I11)-mes0&gt;6),0,INDEX('Cashing &amp; Payment Policies'!$C$67:$H$67,1,COLUMN(I11)-mes0))*0</f>
        <v>0</v>
      </c>
      <c r="J65" s="1724">
        <f>'Initial Funding'!$B$27*IF(OR(mes0&gt;COLUMN(J11)-1,COLUMN(J11)-mes0&gt;6),0,INDEX('Cashing &amp; Payment Policies'!$C$67:$H$67,1,COLUMN(J11)-mes0))*0</f>
        <v>0</v>
      </c>
      <c r="K65" s="1724">
        <f>'Initial Funding'!$B$27*IF(OR(mes0&gt;COLUMN(K11)-1,COLUMN(K11)-mes0&gt;6),0,INDEX('Cashing &amp; Payment Policies'!$C$67:$H$67,1,COLUMN(K11)-mes0))*0</f>
        <v>0</v>
      </c>
      <c r="L65" s="1724">
        <f>'Initial Funding'!$B$27*IF(OR(mes0&gt;COLUMN(L11)-1,COLUMN(L11)-mes0&gt;6),0,INDEX('Cashing &amp; Payment Policies'!$C$67:$H$67,1,COLUMN(L11)-mes0))*0</f>
        <v>0</v>
      </c>
      <c r="M65" s="1724">
        <f>'Initial Funding'!$B$27*IF(OR(mes0&gt;COLUMN(M11)-1,COLUMN(M11)-mes0&gt;6),0,INDEX('Cashing &amp; Payment Policies'!$C$67:$H$67,1,COLUMN(M11)-mes0))*0</f>
        <v>0</v>
      </c>
      <c r="N65" s="1725">
        <f>SUM(B65:M65)</f>
        <v>0</v>
      </c>
      <c r="O65" s="86"/>
    </row>
    <row r="66" spans="1:15" ht="13.5" thickBot="1">
      <c r="A66" s="1306" t="s">
        <v>577</v>
      </c>
      <c r="B66" s="1726">
        <f t="shared" ref="B66:M66" si="8">SUM(B62:B65)</f>
        <v>0</v>
      </c>
      <c r="C66" s="1726">
        <f t="shared" si="8"/>
        <v>0</v>
      </c>
      <c r="D66" s="1726">
        <f t="shared" si="8"/>
        <v>0</v>
      </c>
      <c r="E66" s="1726">
        <f t="shared" si="8"/>
        <v>0</v>
      </c>
      <c r="F66" s="1726">
        <f t="shared" si="8"/>
        <v>0</v>
      </c>
      <c r="G66" s="1726">
        <f t="shared" si="8"/>
        <v>0</v>
      </c>
      <c r="H66" s="1726">
        <f t="shared" si="8"/>
        <v>0</v>
      </c>
      <c r="I66" s="1726">
        <f t="shared" si="8"/>
        <v>0</v>
      </c>
      <c r="J66" s="1726">
        <f t="shared" si="8"/>
        <v>0</v>
      </c>
      <c r="K66" s="1726">
        <f t="shared" si="8"/>
        <v>0</v>
      </c>
      <c r="L66" s="1726">
        <f t="shared" si="8"/>
        <v>0</v>
      </c>
      <c r="M66" s="1726">
        <f t="shared" si="8"/>
        <v>0</v>
      </c>
      <c r="N66" s="1307">
        <f>SUM(B66:M66)</f>
        <v>0</v>
      </c>
      <c r="O66" s="86"/>
    </row>
    <row r="67" spans="1:15">
      <c r="A67" s="541"/>
      <c r="B67" s="1032"/>
      <c r="C67" s="534"/>
      <c r="D67" s="534"/>
      <c r="E67" s="534"/>
      <c r="F67" s="534"/>
      <c r="G67" s="534"/>
      <c r="H67" s="534"/>
      <c r="I67" s="534"/>
      <c r="J67" s="534"/>
      <c r="K67" s="534"/>
      <c r="L67" s="534"/>
      <c r="M67" s="534"/>
      <c r="O67" s="86"/>
    </row>
    <row r="68" spans="1:15">
      <c r="O68" s="86"/>
    </row>
    <row r="69" spans="1:15" ht="19.5">
      <c r="A69" s="1308" t="str">
        <f>A59</f>
        <v>Other Non usual payments</v>
      </c>
      <c r="C69" s="2732" t="str">
        <f>C15</f>
        <v>Year 1:   2027</v>
      </c>
      <c r="E69" s="541"/>
      <c r="F69" s="541"/>
      <c r="H69" s="541"/>
      <c r="I69" s="541"/>
      <c r="J69" s="541"/>
      <c r="K69" s="541"/>
      <c r="L69" s="541"/>
      <c r="M69" s="541"/>
      <c r="N69" s="541"/>
    </row>
    <row r="70" spans="1:15" ht="13.5" thickBot="1">
      <c r="A70" s="541"/>
      <c r="B70" s="1032"/>
      <c r="C70" s="541"/>
      <c r="D70" s="541"/>
      <c r="E70" s="541"/>
      <c r="F70" s="541"/>
      <c r="G70" s="541"/>
      <c r="H70" s="541"/>
      <c r="I70" s="541"/>
      <c r="J70" s="541"/>
      <c r="K70" s="541"/>
      <c r="L70" s="541"/>
      <c r="M70" s="541"/>
      <c r="N70" s="541"/>
    </row>
    <row r="71" spans="1:15" ht="27" customHeight="1" thickBot="1">
      <c r="A71" s="165" t="str">
        <f>CONCATENATE("Otros pagos  ",C69)</f>
        <v>Otros pagos  Year 1:   2027</v>
      </c>
      <c r="B71" s="1303" t="str">
        <f>B17</f>
        <v>January 
2027</v>
      </c>
      <c r="C71" s="1303" t="str">
        <f t="shared" ref="C71:L71" si="9">C17</f>
        <v>February 
2027</v>
      </c>
      <c r="D71" s="1303" t="str">
        <f t="shared" si="9"/>
        <v>March 
2027</v>
      </c>
      <c r="E71" s="1303" t="str">
        <f t="shared" si="9"/>
        <v>April 
2027</v>
      </c>
      <c r="F71" s="1303" t="str">
        <f t="shared" si="9"/>
        <v>May 
2027</v>
      </c>
      <c r="G71" s="1303" t="str">
        <f t="shared" si="9"/>
        <v>June 
2027</v>
      </c>
      <c r="H71" s="1303" t="str">
        <f t="shared" si="9"/>
        <v>July 
2027</v>
      </c>
      <c r="I71" s="1303" t="str">
        <f t="shared" si="9"/>
        <v>August 
2027</v>
      </c>
      <c r="J71" s="1303" t="str">
        <f t="shared" si="9"/>
        <v>September 
2027</v>
      </c>
      <c r="K71" s="1303" t="str">
        <f t="shared" si="9"/>
        <v>October 
2027</v>
      </c>
      <c r="L71" s="1303" t="str">
        <f t="shared" si="9"/>
        <v>November 
2027</v>
      </c>
      <c r="M71" s="1303" t="str">
        <f>M17</f>
        <v>December 
2027</v>
      </c>
      <c r="N71" s="1303" t="str">
        <f>N17</f>
        <v>Totals  
2027</v>
      </c>
    </row>
    <row r="72" spans="1:15">
      <c r="A72" s="1304" t="str">
        <f t="array" ref="A72:A76">$A$62:$A$66</f>
        <v>Investmment payments</v>
      </c>
      <c r="B72" s="1309"/>
      <c r="C72" s="1309"/>
      <c r="D72" s="1309"/>
      <c r="E72" s="1309"/>
      <c r="F72" s="1309"/>
      <c r="G72" s="1309"/>
      <c r="H72" s="1309"/>
      <c r="I72" s="1309"/>
      <c r="J72" s="1309"/>
      <c r="K72" s="1309"/>
      <c r="L72" s="1309"/>
      <c r="M72" s="1309"/>
      <c r="N72" s="1309">
        <f>SUM(B72:M72)</f>
        <v>0</v>
      </c>
    </row>
    <row r="73" spans="1:15">
      <c r="A73" s="1305" t="str">
        <v>dividend payments</v>
      </c>
      <c r="B73" s="1310"/>
      <c r="C73" s="1310"/>
      <c r="D73" s="1310"/>
      <c r="E73" s="1310"/>
      <c r="F73" s="1310"/>
      <c r="G73" s="1310"/>
      <c r="H73" s="1724">
        <f ca="1">'Corporate Income Tax'!$B$32/2*0</f>
        <v>0</v>
      </c>
      <c r="I73" s="1310"/>
      <c r="J73" s="1310"/>
      <c r="K73" s="1310"/>
      <c r="L73" s="1310"/>
      <c r="M73" s="1724">
        <f ca="1">'Corporate Income Tax'!$B$32/2*0</f>
        <v>0</v>
      </c>
      <c r="N73" s="1310">
        <f ca="1">SUM(B73:M73)</f>
        <v>0</v>
      </c>
    </row>
    <row r="74" spans="1:15">
      <c r="A74" s="1305" t="str">
        <v>Other LT Creditors payments</v>
      </c>
      <c r="B74" s="1911"/>
      <c r="C74" s="1911"/>
      <c r="D74" s="1911"/>
      <c r="E74" s="1911"/>
      <c r="F74" s="1911"/>
      <c r="G74" s="1911"/>
      <c r="H74" s="1911"/>
      <c r="I74" s="1911"/>
      <c r="J74" s="1911"/>
      <c r="K74" s="1911"/>
      <c r="L74" s="1911"/>
      <c r="M74" s="1911"/>
      <c r="N74" s="1725">
        <f>SUM(B74:M74)</f>
        <v>0</v>
      </c>
    </row>
    <row r="75" spans="1:15">
      <c r="A75" s="1305" t="str">
        <v>Suppliers credits payments</v>
      </c>
      <c r="B75" s="1724">
        <f>'Initial Funding'!$B$27*IF(OR(mes0&lt;=7,COLUMN(B11)&gt;mes0-6),0,INDEX('Cashing &amp; Payment Policies'!$C$67:$H$67,1,COLUMN(B11)-mes0+12))*0</f>
        <v>0</v>
      </c>
      <c r="C75" s="1724">
        <f>'Initial Funding'!$B$27*IF(OR(mes0&lt;=7,COLUMN(C11)&gt;mes0-6),0,INDEX('Cashing &amp; Payment Policies'!$C$67:$H$67,1,COLUMN(C11)-mes0+12))*0</f>
        <v>0</v>
      </c>
      <c r="D75" s="1724">
        <f>'Initial Funding'!$B$27*IF(OR(mes0&lt;=7,COLUMN(D11)&gt;mes0-6),0,INDEX('Cashing &amp; Payment Policies'!$C$67:$H$67,1,COLUMN(D11)-mes0+12))*0</f>
        <v>0</v>
      </c>
      <c r="E75" s="1724">
        <f>'Initial Funding'!$B$27*IF(OR(mes0&lt;=7,COLUMN(E11)&gt;mes0-6),0,INDEX('Cashing &amp; Payment Policies'!$C$67:$H$67,1,COLUMN(E11)-mes0+12))*0</f>
        <v>0</v>
      </c>
      <c r="F75" s="1724">
        <f>'Initial Funding'!$B$27*IF(OR(mes0&lt;=7,COLUMN(F11)&gt;mes0-6),0,INDEX('Cashing &amp; Payment Policies'!$C$67:$H$67,1,COLUMN(F11)-mes0+12))*0</f>
        <v>0</v>
      </c>
      <c r="G75" s="1724">
        <f>'Initial Funding'!$B$27*IF(OR(mes0&lt;=7,COLUMN(G11)&gt;mes0-6),0,INDEX('Cashing &amp; Payment Policies'!$C$67:$H$67,1,COLUMN(G11)-mes0+12))*0</f>
        <v>0</v>
      </c>
      <c r="H75" s="1724">
        <f>'Initial Funding'!$B$27*IF(OR(mes0&lt;=7,COLUMN(H11)&gt;mes0-6),0,INDEX('Cashing &amp; Payment Policies'!$C$67:$H$67,1,COLUMN(H11)-mes0+12))*0</f>
        <v>0</v>
      </c>
      <c r="I75" s="1724">
        <f>'Initial Funding'!$B$27*IF(OR(mes0&lt;=7,COLUMN(I11)&gt;mes0-6),0,INDEX('Cashing &amp; Payment Policies'!$C$67:$H$67,1,COLUMN(I11)-mes0+12))*0</f>
        <v>0</v>
      </c>
      <c r="J75" s="1724">
        <f>'Initial Funding'!$B$27*IF(OR(mes0&lt;=7,COLUMN(J11)&gt;mes0-6),0,INDEX('Cashing &amp; Payment Policies'!$C$67:$H$67,1,COLUMN(J11)-mes0+12))*0</f>
        <v>0</v>
      </c>
      <c r="K75" s="1724">
        <f>'Initial Funding'!$B$27*IF(OR(mes0&lt;=7,COLUMN(K11)&gt;mes0-6),0,INDEX('Cashing &amp; Payment Policies'!$C$67:$H$67,1,COLUMN(K11)-mes0+12))*0</f>
        <v>0</v>
      </c>
      <c r="L75" s="1724">
        <f>'Initial Funding'!$B$27*IF(OR(mes0&lt;=7,COLUMN(L11)&gt;mes0-6),0,INDEX('Cashing &amp; Payment Policies'!$C$67:$H$67,1,COLUMN(L11)-mes0+12))*0</f>
        <v>0</v>
      </c>
      <c r="M75" s="1724">
        <f>'Initial Funding'!$B$27*IF(OR(mes0&lt;=7,COLUMN(M11)&gt;mes0-6),0,INDEX('Cashing &amp; Payment Policies'!$C$67:$H$67,1,COLUMN(M11)-mes0+12))*0</f>
        <v>0</v>
      </c>
      <c r="N75" s="1310">
        <f>SUM(B75:M75)</f>
        <v>0</v>
      </c>
    </row>
    <row r="76" spans="1:15" ht="13.5" thickBot="1">
      <c r="A76" s="1306" t="str">
        <v>Monthly Totals</v>
      </c>
      <c r="B76" s="1728">
        <f t="shared" ref="B76:M76" si="10">SUM(B72:B75)</f>
        <v>0</v>
      </c>
      <c r="C76" s="1728">
        <f t="shared" si="10"/>
        <v>0</v>
      </c>
      <c r="D76" s="1728">
        <f t="shared" si="10"/>
        <v>0</v>
      </c>
      <c r="E76" s="1728">
        <f t="shared" si="10"/>
        <v>0</v>
      </c>
      <c r="F76" s="1728">
        <f t="shared" si="10"/>
        <v>0</v>
      </c>
      <c r="G76" s="1728">
        <f t="shared" si="10"/>
        <v>0</v>
      </c>
      <c r="H76" s="1728">
        <f t="shared" ca="1" si="10"/>
        <v>0</v>
      </c>
      <c r="I76" s="1728">
        <f t="shared" si="10"/>
        <v>0</v>
      </c>
      <c r="J76" s="1728">
        <f t="shared" si="10"/>
        <v>0</v>
      </c>
      <c r="K76" s="1728">
        <f t="shared" si="10"/>
        <v>0</v>
      </c>
      <c r="L76" s="1728">
        <f t="shared" si="10"/>
        <v>0</v>
      </c>
      <c r="M76" s="1728">
        <f t="shared" ca="1" si="10"/>
        <v>0</v>
      </c>
      <c r="N76" s="1307">
        <f ca="1">SUM(B76:M76)</f>
        <v>0</v>
      </c>
    </row>
    <row r="79" spans="1:15" ht="19.5">
      <c r="A79" s="1308" t="str">
        <f>A59</f>
        <v>Other Non usual payments</v>
      </c>
      <c r="C79" s="2732" t="str">
        <f>C25</f>
        <v>Year 2:   2028</v>
      </c>
      <c r="E79" s="541"/>
      <c r="F79" s="541"/>
      <c r="H79" s="541"/>
      <c r="I79" s="541"/>
      <c r="J79" s="541"/>
      <c r="K79" s="541"/>
      <c r="L79" s="541"/>
      <c r="M79" s="541"/>
      <c r="N79" s="541"/>
    </row>
    <row r="80" spans="1:15" ht="13.5" thickBot="1">
      <c r="A80" s="541"/>
      <c r="B80" s="1032"/>
      <c r="C80" s="541"/>
      <c r="D80" s="541"/>
      <c r="E80" s="541"/>
      <c r="F80" s="541"/>
      <c r="G80" s="541"/>
      <c r="H80" s="541"/>
      <c r="I80" s="541"/>
      <c r="J80" s="541"/>
      <c r="K80" s="541"/>
      <c r="L80" s="541"/>
      <c r="M80" s="541"/>
      <c r="N80" s="541"/>
    </row>
    <row r="81" spans="1:14" ht="29.25" customHeight="1" thickBot="1">
      <c r="A81" s="165" t="str">
        <f>CONCATENATE("Otros pagos  ",C79)</f>
        <v>Otros pagos  Year 2:   2028</v>
      </c>
      <c r="B81" s="1303" t="str">
        <f>B27</f>
        <v>January 
2028</v>
      </c>
      <c r="C81" s="1303" t="str">
        <f t="shared" ref="C81:L81" si="11">C27</f>
        <v>February 
2028</v>
      </c>
      <c r="D81" s="1303" t="str">
        <f t="shared" si="11"/>
        <v>March 
2028</v>
      </c>
      <c r="E81" s="1303" t="str">
        <f t="shared" si="11"/>
        <v>April 
2028</v>
      </c>
      <c r="F81" s="1303" t="str">
        <f t="shared" si="11"/>
        <v>May 
2028</v>
      </c>
      <c r="G81" s="1303" t="str">
        <f t="shared" si="11"/>
        <v>June 
2028</v>
      </c>
      <c r="H81" s="1303" t="str">
        <f t="shared" si="11"/>
        <v>July 
2028</v>
      </c>
      <c r="I81" s="1303" t="str">
        <f t="shared" si="11"/>
        <v>August 
2028</v>
      </c>
      <c r="J81" s="1303" t="str">
        <f t="shared" si="11"/>
        <v>September 
2028</v>
      </c>
      <c r="K81" s="1303" t="str">
        <f t="shared" si="11"/>
        <v>October 
2028</v>
      </c>
      <c r="L81" s="1303" t="str">
        <f t="shared" si="11"/>
        <v>November 
2028</v>
      </c>
      <c r="M81" s="1303" t="str">
        <f>M27</f>
        <v>December 
2028</v>
      </c>
      <c r="N81" s="1303" t="str">
        <f>N27</f>
        <v>Totals   
2028</v>
      </c>
    </row>
    <row r="82" spans="1:14">
      <c r="A82" s="1304" t="str">
        <f t="array" ref="A82:A86">$A$62:$A$66</f>
        <v>Investmment payments</v>
      </c>
      <c r="B82" s="1309"/>
      <c r="C82" s="1309"/>
      <c r="D82" s="1309"/>
      <c r="E82" s="1309"/>
      <c r="F82" s="1309"/>
      <c r="G82" s="1309"/>
      <c r="H82" s="1309"/>
      <c r="I82" s="1309"/>
      <c r="J82" s="1309"/>
      <c r="K82" s="1309"/>
      <c r="L82" s="1309"/>
      <c r="M82" s="1309"/>
      <c r="N82" s="1309">
        <f>SUM(B82:M82)</f>
        <v>0</v>
      </c>
    </row>
    <row r="83" spans="1:14">
      <c r="A83" s="1305" t="str">
        <v>dividend payments</v>
      </c>
      <c r="B83" s="1310"/>
      <c r="C83" s="1310"/>
      <c r="D83" s="1310"/>
      <c r="E83" s="1310"/>
      <c r="F83" s="1310"/>
      <c r="G83" s="1310"/>
      <c r="H83" s="1724">
        <f ca="1">'Corporate Income Tax'!$D$32/2*0</f>
        <v>0</v>
      </c>
      <c r="I83" s="1310"/>
      <c r="J83" s="1310"/>
      <c r="K83" s="1310"/>
      <c r="L83" s="1310"/>
      <c r="M83" s="1727">
        <f ca="1">'Corporate Income Tax'!$D$32/2*0</f>
        <v>0</v>
      </c>
      <c r="N83" s="1310">
        <f ca="1">SUM(B83:M83)</f>
        <v>0</v>
      </c>
    </row>
    <row r="84" spans="1:14">
      <c r="A84" s="1305" t="str">
        <v>Other LT Creditors payments</v>
      </c>
      <c r="B84" s="1911"/>
      <c r="C84" s="1911"/>
      <c r="D84" s="1911"/>
      <c r="E84" s="1911"/>
      <c r="F84" s="1911"/>
      <c r="G84" s="1911"/>
      <c r="H84" s="1911"/>
      <c r="I84" s="1911"/>
      <c r="J84" s="1911"/>
      <c r="K84" s="1911"/>
      <c r="L84" s="1911"/>
      <c r="M84" s="1911"/>
      <c r="N84" s="1725">
        <f>SUM(B84:M84)</f>
        <v>0</v>
      </c>
    </row>
    <row r="85" spans="1:14">
      <c r="A85" s="1305" t="str">
        <v>Suppliers credits payments</v>
      </c>
      <c r="B85" s="1310"/>
      <c r="C85" s="1310"/>
      <c r="D85" s="1310"/>
      <c r="E85" s="1310"/>
      <c r="F85" s="1310"/>
      <c r="G85" s="1310"/>
      <c r="H85" s="1310"/>
      <c r="I85" s="1310"/>
      <c r="J85" s="1310"/>
      <c r="K85" s="1310"/>
      <c r="L85" s="1310"/>
      <c r="M85" s="1310"/>
      <c r="N85" s="1310">
        <f>SUM(B85:M85)</f>
        <v>0</v>
      </c>
    </row>
    <row r="86" spans="1:14" ht="13.5" thickBot="1">
      <c r="A86" s="1306" t="str">
        <v>Monthly Totals</v>
      </c>
      <c r="B86" s="1728">
        <f t="shared" ref="B86:M86" si="12">SUM(B82:B85)</f>
        <v>0</v>
      </c>
      <c r="C86" s="1728">
        <f t="shared" si="12"/>
        <v>0</v>
      </c>
      <c r="D86" s="1728">
        <f t="shared" si="12"/>
        <v>0</v>
      </c>
      <c r="E86" s="1728">
        <f t="shared" si="12"/>
        <v>0</v>
      </c>
      <c r="F86" s="1728">
        <f t="shared" si="12"/>
        <v>0</v>
      </c>
      <c r="G86" s="1728">
        <f t="shared" si="12"/>
        <v>0</v>
      </c>
      <c r="H86" s="1728">
        <f t="shared" ca="1" si="12"/>
        <v>0</v>
      </c>
      <c r="I86" s="1728">
        <f t="shared" si="12"/>
        <v>0</v>
      </c>
      <c r="J86" s="1728">
        <f t="shared" si="12"/>
        <v>0</v>
      </c>
      <c r="K86" s="1728">
        <f t="shared" si="12"/>
        <v>0</v>
      </c>
      <c r="L86" s="1728">
        <f t="shared" si="12"/>
        <v>0</v>
      </c>
      <c r="M86" s="1728">
        <f t="shared" ca="1" si="12"/>
        <v>0</v>
      </c>
      <c r="N86" s="1307">
        <f ca="1">SUM(B86:M86)</f>
        <v>0</v>
      </c>
    </row>
    <row r="89" spans="1:14" ht="19.5">
      <c r="A89" s="1308" t="str">
        <f>A69</f>
        <v>Other Non usual payments</v>
      </c>
      <c r="C89" s="2732" t="str">
        <f>+C35</f>
        <v>Year 3:   2029</v>
      </c>
      <c r="E89" s="541"/>
      <c r="F89" s="541"/>
      <c r="H89" s="541"/>
      <c r="I89" s="541"/>
      <c r="J89" s="541"/>
      <c r="K89" s="541"/>
      <c r="L89" s="541"/>
      <c r="M89" s="541"/>
      <c r="N89" s="541"/>
    </row>
    <row r="90" spans="1:14" ht="13.5" thickBot="1">
      <c r="A90" s="541"/>
      <c r="B90" s="1032"/>
      <c r="C90" s="541"/>
      <c r="D90" s="541"/>
      <c r="E90" s="541"/>
      <c r="F90" s="541"/>
      <c r="G90" s="541"/>
      <c r="H90" s="541"/>
      <c r="I90" s="541"/>
      <c r="J90" s="541"/>
      <c r="K90" s="541"/>
      <c r="L90" s="541"/>
      <c r="M90" s="541"/>
      <c r="N90" s="541"/>
    </row>
    <row r="91" spans="1:14" ht="29.25" customHeight="1" thickBot="1">
      <c r="A91" s="165" t="str">
        <f>CONCATENATE("Otros pagos  ",C89)</f>
        <v>Otros pagos  Year 3:   2029</v>
      </c>
      <c r="B91" s="1303" t="str">
        <f>CONCATENATE('Sales Forecast 0'!B4," ","
",
$C$89)</f>
        <v>January 
Year 3:   2029</v>
      </c>
      <c r="C91" s="1303" t="str">
        <f>CONCATENATE('Sales Forecast 0'!C4," ","
",
$C$89)</f>
        <v>February 
Year 3:   2029</v>
      </c>
      <c r="D91" s="1303" t="str">
        <f>CONCATENATE('Sales Forecast 0'!D4," ","
",
$C$89)</f>
        <v>March 
Year 3:   2029</v>
      </c>
      <c r="E91" s="1303" t="str">
        <f>CONCATENATE('Sales Forecast 0'!E4," ","
",
$C$89)</f>
        <v>April 
Year 3:   2029</v>
      </c>
      <c r="F91" s="1303" t="str">
        <f>CONCATENATE('Sales Forecast 0'!F4," ","
",
$C$89)</f>
        <v>May 
Year 3:   2029</v>
      </c>
      <c r="G91" s="1303" t="str">
        <f>CONCATENATE('Sales Forecast 0'!G4," ","
",
$C$89)</f>
        <v>June 
Year 3:   2029</v>
      </c>
      <c r="H91" s="1303" t="str">
        <f>CONCATENATE('Sales Forecast 0'!H4," ","
",
$C$89)</f>
        <v>July 
Year 3:   2029</v>
      </c>
      <c r="I91" s="1303" t="str">
        <f>CONCATENATE('Sales Forecast 0'!I4," ","
",
$C$89)</f>
        <v>August 
Year 3:   2029</v>
      </c>
      <c r="J91" s="1303" t="str">
        <f>CONCATENATE('Sales Forecast 0'!J4," ","
",
$C$89)</f>
        <v>September 
Year 3:   2029</v>
      </c>
      <c r="K91" s="1303" t="str">
        <f>CONCATENATE('Sales Forecast 0'!K4," ","
",
$C$89)</f>
        <v>October 
Year 3:   2029</v>
      </c>
      <c r="L91" s="1303" t="str">
        <f>CONCATENATE('Sales Forecast 0'!L4," ","
",
$C$89)</f>
        <v>November 
Year 3:   2029</v>
      </c>
      <c r="M91" s="1303" t="str">
        <f>CONCATENATE('Sales Forecast 0'!M4," ","
",
$C$89)</f>
        <v>December 
Year 3:   2029</v>
      </c>
      <c r="N91" s="1303" t="str">
        <f>CONCATENATE('Sales Forecast 0'!N4," ","
",
$C$89)</f>
        <v>Totals 
Year 3:   2029</v>
      </c>
    </row>
    <row r="92" spans="1:14">
      <c r="A92" s="1304" t="str">
        <f t="array" ref="A92:A96">$A$62:$A$66</f>
        <v>Investmment payments</v>
      </c>
      <c r="B92" s="1309"/>
      <c r="C92" s="1309"/>
      <c r="D92" s="1309"/>
      <c r="E92" s="1309"/>
      <c r="F92" s="1309"/>
      <c r="G92" s="1309"/>
      <c r="H92" s="1309"/>
      <c r="I92" s="1309"/>
      <c r="J92" s="1309"/>
      <c r="K92" s="1309"/>
      <c r="L92" s="1309"/>
      <c r="M92" s="1309"/>
      <c r="N92" s="1309">
        <f>SUM(B92:M92)</f>
        <v>0</v>
      </c>
    </row>
    <row r="93" spans="1:14">
      <c r="A93" s="1305" t="str">
        <v>dividend payments</v>
      </c>
      <c r="B93" s="1310"/>
      <c r="C93" s="1310"/>
      <c r="D93" s="1310"/>
      <c r="E93" s="1310"/>
      <c r="F93" s="1310"/>
      <c r="G93" s="1310"/>
      <c r="H93" s="1727">
        <f ca="1">'Corporate Income Tax'!$G$32/2*0</f>
        <v>0</v>
      </c>
      <c r="I93" s="1310"/>
      <c r="J93" s="1310"/>
      <c r="K93" s="1310"/>
      <c r="L93" s="1310"/>
      <c r="M93" s="1727">
        <f ca="1">'Corporate Income Tax'!$G$32/2*0</f>
        <v>0</v>
      </c>
      <c r="N93" s="1310">
        <f ca="1">SUM(B93:M93)</f>
        <v>0</v>
      </c>
    </row>
    <row r="94" spans="1:14">
      <c r="A94" s="1305" t="str">
        <v>Other LT Creditors payments</v>
      </c>
      <c r="B94" s="1911"/>
      <c r="C94" s="1911"/>
      <c r="D94" s="1911"/>
      <c r="E94" s="1911"/>
      <c r="F94" s="1911"/>
      <c r="G94" s="1911"/>
      <c r="H94" s="1911"/>
      <c r="I94" s="1911"/>
      <c r="J94" s="1911"/>
      <c r="K94" s="1911"/>
      <c r="L94" s="1911"/>
      <c r="M94" s="1911"/>
      <c r="N94" s="1725">
        <f>SUM(B94:M94)</f>
        <v>0</v>
      </c>
    </row>
    <row r="95" spans="1:14">
      <c r="A95" s="1305" t="str">
        <v>Suppliers credits payments</v>
      </c>
      <c r="B95" s="1310"/>
      <c r="C95" s="1310"/>
      <c r="D95" s="1310"/>
      <c r="E95" s="1310"/>
      <c r="F95" s="1310"/>
      <c r="G95" s="1310"/>
      <c r="H95" s="1310"/>
      <c r="I95" s="1310"/>
      <c r="J95" s="1310"/>
      <c r="K95" s="1310"/>
      <c r="L95" s="1310"/>
      <c r="M95" s="1310"/>
      <c r="N95" s="1310">
        <f>SUM(B95:M95)</f>
        <v>0</v>
      </c>
    </row>
    <row r="96" spans="1:14" ht="13.5" thickBot="1">
      <c r="A96" s="1306" t="str">
        <v>Monthly Totals</v>
      </c>
      <c r="B96" s="1728">
        <f t="shared" ref="B96:M96" si="13">SUM(B92:B95)</f>
        <v>0</v>
      </c>
      <c r="C96" s="1728">
        <f t="shared" si="13"/>
        <v>0</v>
      </c>
      <c r="D96" s="1728">
        <f t="shared" si="13"/>
        <v>0</v>
      </c>
      <c r="E96" s="1728">
        <f t="shared" si="13"/>
        <v>0</v>
      </c>
      <c r="F96" s="1728">
        <f t="shared" si="13"/>
        <v>0</v>
      </c>
      <c r="G96" s="1728">
        <f t="shared" si="13"/>
        <v>0</v>
      </c>
      <c r="H96" s="1728">
        <f t="shared" ca="1" si="13"/>
        <v>0</v>
      </c>
      <c r="I96" s="1728">
        <f t="shared" si="13"/>
        <v>0</v>
      </c>
      <c r="J96" s="1728">
        <f t="shared" si="13"/>
        <v>0</v>
      </c>
      <c r="K96" s="1728">
        <f t="shared" si="13"/>
        <v>0</v>
      </c>
      <c r="L96" s="1728">
        <f t="shared" si="13"/>
        <v>0</v>
      </c>
      <c r="M96" s="1728">
        <f t="shared" ca="1" si="13"/>
        <v>0</v>
      </c>
      <c r="N96" s="1307">
        <f ca="1">SUM(B96:M96)</f>
        <v>0</v>
      </c>
    </row>
    <row r="99" spans="1:14" ht="19.5">
      <c r="A99" s="1308" t="str">
        <f>A79</f>
        <v>Other Non usual payments</v>
      </c>
      <c r="C99" s="2732" t="str">
        <f>+C46</f>
        <v>Year 4:   2030</v>
      </c>
      <c r="E99" s="541"/>
      <c r="F99" s="541"/>
      <c r="H99" s="541"/>
      <c r="I99" s="541"/>
      <c r="J99" s="541"/>
      <c r="K99" s="541"/>
      <c r="L99" s="541"/>
      <c r="M99" s="541"/>
      <c r="N99" s="541"/>
    </row>
    <row r="100" spans="1:14" ht="13.5" thickBot="1">
      <c r="A100" s="541"/>
      <c r="B100" s="1032"/>
      <c r="C100" s="541"/>
      <c r="D100" s="541"/>
      <c r="E100" s="541"/>
      <c r="F100" s="541"/>
      <c r="G100" s="541"/>
      <c r="H100" s="541"/>
      <c r="I100" s="541"/>
      <c r="J100" s="541"/>
      <c r="K100" s="541"/>
      <c r="L100" s="541"/>
      <c r="M100" s="541"/>
      <c r="N100" s="541"/>
    </row>
    <row r="101" spans="1:14" ht="29.25" customHeight="1" thickBot="1">
      <c r="A101" s="165" t="str">
        <f>CONCATENATE("Otros pagos  ",C99)</f>
        <v>Otros pagos  Year 4:   2030</v>
      </c>
      <c r="B101" s="1303" t="str">
        <f>CONCATENATE('Sales Forecast 0'!B4," ","
",
$C$99)</f>
        <v>January 
Year 4:   2030</v>
      </c>
      <c r="C101" s="1303" t="str">
        <f>CONCATENATE('Sales Forecast 0'!C4," ","
",
$C$99)</f>
        <v>February 
Year 4:   2030</v>
      </c>
      <c r="D101" s="1303" t="str">
        <f>CONCATENATE('Sales Forecast 0'!D4," ","
",
$C$99)</f>
        <v>March 
Year 4:   2030</v>
      </c>
      <c r="E101" s="1303" t="str">
        <f>CONCATENATE('Sales Forecast 0'!E4," ","
",
$C$99)</f>
        <v>April 
Year 4:   2030</v>
      </c>
      <c r="F101" s="1303" t="str">
        <f>CONCATENATE('Sales Forecast 0'!F4," ","
",
$C$99)</f>
        <v>May 
Year 4:   2030</v>
      </c>
      <c r="G101" s="1303" t="str">
        <f>CONCATENATE('Sales Forecast 0'!G4," ","
",
$C$99)</f>
        <v>June 
Year 4:   2030</v>
      </c>
      <c r="H101" s="1303" t="str">
        <f>CONCATENATE('Sales Forecast 0'!H4," ","
",
$C$99)</f>
        <v>July 
Year 4:   2030</v>
      </c>
      <c r="I101" s="1303" t="str">
        <f>CONCATENATE('Sales Forecast 0'!I4," ","
",
$C$99)</f>
        <v>August 
Year 4:   2030</v>
      </c>
      <c r="J101" s="1303" t="str">
        <f>CONCATENATE('Sales Forecast 0'!J4," ","
",
$C$99)</f>
        <v>September 
Year 4:   2030</v>
      </c>
      <c r="K101" s="1303" t="str">
        <f>CONCATENATE('Sales Forecast 0'!K4," ","
",
$C$99)</f>
        <v>October 
Year 4:   2030</v>
      </c>
      <c r="L101" s="1303" t="str">
        <f>CONCATENATE('Sales Forecast 0'!L4," ","
",
$C$99)</f>
        <v>November 
Year 4:   2030</v>
      </c>
      <c r="M101" s="1303" t="str">
        <f>CONCATENATE('Sales Forecast 0'!M4," ","
",
$C$99)</f>
        <v>December 
Year 4:   2030</v>
      </c>
      <c r="N101" s="1303" t="str">
        <f>CONCATENATE('Sales Forecast 0'!N4," ","
",
$C$99)</f>
        <v>Totals 
Year 4:   2030</v>
      </c>
    </row>
    <row r="102" spans="1:14">
      <c r="A102" s="1304" t="str">
        <f t="array" ref="A102:A106">$A$62:$A$66</f>
        <v>Investmment payments</v>
      </c>
      <c r="B102" s="1309"/>
      <c r="C102" s="1309"/>
      <c r="D102" s="1309"/>
      <c r="E102" s="1309"/>
      <c r="F102" s="1309"/>
      <c r="G102" s="1309"/>
      <c r="H102" s="1309"/>
      <c r="I102" s="1309"/>
      <c r="J102" s="1309"/>
      <c r="K102" s="1309"/>
      <c r="L102" s="1309"/>
      <c r="M102" s="1309"/>
      <c r="N102" s="1309">
        <f>SUM(B102:M102)</f>
        <v>0</v>
      </c>
    </row>
    <row r="103" spans="1:14">
      <c r="A103" s="1305" t="str">
        <v>dividend payments</v>
      </c>
      <c r="B103" s="1310"/>
      <c r="C103" s="1310"/>
      <c r="D103" s="1310"/>
      <c r="E103" s="1310"/>
      <c r="F103" s="1310"/>
      <c r="G103" s="1310"/>
      <c r="H103" s="1727">
        <f ca="1">'Corporate Income Tax'!$J$32/2*0</f>
        <v>0</v>
      </c>
      <c r="I103" s="1310"/>
      <c r="J103" s="1310"/>
      <c r="K103" s="1310"/>
      <c r="L103" s="1310"/>
      <c r="M103" s="1727">
        <f ca="1">'Corporate Income Tax'!$J$32/2*0</f>
        <v>0</v>
      </c>
      <c r="N103" s="1310">
        <f ca="1">SUM(B103:M103)</f>
        <v>0</v>
      </c>
    </row>
    <row r="104" spans="1:14">
      <c r="A104" s="1305" t="str">
        <v>Other LT Creditors payments</v>
      </c>
      <c r="B104" s="1911"/>
      <c r="C104" s="1911"/>
      <c r="D104" s="1911"/>
      <c r="E104" s="1911"/>
      <c r="F104" s="1911"/>
      <c r="G104" s="1911"/>
      <c r="H104" s="1911"/>
      <c r="I104" s="1911"/>
      <c r="J104" s="1911"/>
      <c r="K104" s="1911"/>
      <c r="L104" s="1911"/>
      <c r="M104" s="1911"/>
      <c r="N104" s="1725">
        <f>SUM(B104:M104)</f>
        <v>0</v>
      </c>
    </row>
    <row r="105" spans="1:14">
      <c r="A105" s="1305" t="str">
        <v>Suppliers credits payments</v>
      </c>
      <c r="B105" s="1310"/>
      <c r="C105" s="1310"/>
      <c r="D105" s="1310"/>
      <c r="E105" s="1310"/>
      <c r="F105" s="1310"/>
      <c r="G105" s="1310"/>
      <c r="H105" s="1310"/>
      <c r="I105" s="1310"/>
      <c r="J105" s="1310"/>
      <c r="K105" s="1310"/>
      <c r="L105" s="1310"/>
      <c r="M105" s="1310"/>
      <c r="N105" s="1310">
        <f>SUM(B105:M105)</f>
        <v>0</v>
      </c>
    </row>
    <row r="106" spans="1:14" ht="13.5" thickBot="1">
      <c r="A106" s="1306" t="str">
        <v>Monthly Totals</v>
      </c>
      <c r="B106" s="1728">
        <f t="shared" ref="B106:M106" si="14">SUM(B102:B105)</f>
        <v>0</v>
      </c>
      <c r="C106" s="1728">
        <f t="shared" si="14"/>
        <v>0</v>
      </c>
      <c r="D106" s="1728">
        <f t="shared" si="14"/>
        <v>0</v>
      </c>
      <c r="E106" s="1728">
        <f t="shared" si="14"/>
        <v>0</v>
      </c>
      <c r="F106" s="1728">
        <f t="shared" si="14"/>
        <v>0</v>
      </c>
      <c r="G106" s="1728">
        <f t="shared" si="14"/>
        <v>0</v>
      </c>
      <c r="H106" s="1728">
        <f t="shared" ca="1" si="14"/>
        <v>0</v>
      </c>
      <c r="I106" s="1728">
        <f t="shared" si="14"/>
        <v>0</v>
      </c>
      <c r="J106" s="1728">
        <f t="shared" si="14"/>
        <v>0</v>
      </c>
      <c r="K106" s="1728">
        <f t="shared" si="14"/>
        <v>0</v>
      </c>
      <c r="L106" s="1728">
        <f t="shared" si="14"/>
        <v>0</v>
      </c>
      <c r="M106" s="1728">
        <f t="shared" ca="1" si="14"/>
        <v>0</v>
      </c>
      <c r="N106" s="1307">
        <f ca="1">SUM(B106:M106)</f>
        <v>0</v>
      </c>
    </row>
  </sheetData>
  <sheetProtection sheet="1" objects="1" scenarios="1"/>
  <phoneticPr fontId="7" type="noConversion"/>
  <printOptions horizontalCentered="1" verticalCentered="1"/>
  <pageMargins left="0.39370078740157483" right="0.39370078740157483" top="0.59055118110236227" bottom="0.59055118110236227" header="0.31496062992125984" footer="0.31496062992125984"/>
  <pageSetup paperSize="9" scale="60" fitToHeight="2" orientation="landscape" horizontalDpi="300" verticalDpi="300" r:id="rId1"/>
  <headerFooter alignWithMargins="0">
    <oddFooter>&amp;C&amp;"Tahoma,Normal"&amp;10&amp;A</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61">
    <tabColor indexed="61"/>
    <pageSetUpPr fitToPage="1"/>
  </sheetPr>
  <dimension ref="A1:BI78"/>
  <sheetViews>
    <sheetView showGridLines="0" topLeftCell="A26" zoomScaleNormal="100" workbookViewId="0">
      <selection activeCell="F32" sqref="F32"/>
    </sheetView>
  </sheetViews>
  <sheetFormatPr baseColWidth="10" defaultColWidth="11" defaultRowHeight="12.75"/>
  <cols>
    <col min="1" max="1" width="27" style="86" customWidth="1"/>
    <col min="2" max="2" width="12.375" style="86" customWidth="1"/>
    <col min="3" max="3" width="12.125" style="86" customWidth="1"/>
    <col min="4" max="4" width="11.125" style="86" customWidth="1"/>
    <col min="5" max="5" width="12.5" style="86" customWidth="1"/>
    <col min="6" max="6" width="11" style="86"/>
    <col min="7" max="7" width="11.75" style="86" customWidth="1"/>
    <col min="8" max="16384" width="11" style="86"/>
  </cols>
  <sheetData>
    <row r="1" spans="1:7" ht="22.5">
      <c r="A1" s="317" t="s">
        <v>784</v>
      </c>
      <c r="B1" s="271"/>
      <c r="C1" s="272"/>
      <c r="E1" s="273"/>
      <c r="F1" s="159"/>
      <c r="G1" s="274"/>
    </row>
    <row r="2" spans="1:7" ht="25.5">
      <c r="A2" s="318" t="str">
        <f>'Base Data'!B9</f>
        <v>WWW, Ltd.</v>
      </c>
      <c r="B2" s="276"/>
      <c r="D2" s="270"/>
      <c r="F2" s="273"/>
      <c r="G2" s="159"/>
    </row>
    <row r="3" spans="1:7" ht="15.75" thickBot="1">
      <c r="A3" s="35"/>
      <c r="B3" s="35"/>
    </row>
    <row r="4" spans="1:7" s="277" customFormat="1" ht="31.5" customHeight="1" thickBot="1">
      <c r="A4" s="2452" t="str">
        <f t="array" ref="A4:A9">'Cash Flow 0'!A5:A10</f>
        <v>Cash Collections</v>
      </c>
      <c r="B4" s="2058"/>
      <c r="C4" s="2733" t="str">
        <f t="array" ref="C4:G4">anni</f>
        <v>Year 0:   2026</v>
      </c>
      <c r="D4" s="2734" t="str">
        <v>Year 1:   2027</v>
      </c>
      <c r="E4" s="2733" t="str">
        <v>Year 2:   2028</v>
      </c>
      <c r="F4" s="2734" t="str">
        <v>Year 3:   2029</v>
      </c>
      <c r="G4" s="2733" t="str">
        <v>Year 4:   2030</v>
      </c>
    </row>
    <row r="5" spans="1:7" s="287" customFormat="1" ht="21" customHeight="1">
      <c r="A5" s="1200" t="str">
        <v>Sales Collection</v>
      </c>
      <c r="B5" s="1198"/>
      <c r="C5" s="1202">
        <f t="array" ref="C5:C9" ca="1">'Cash Flow 0'!$O6:$O10</f>
        <v>8712</v>
      </c>
      <c r="D5" s="1203">
        <f t="array" ref="D5:D9" ca="1">'Cash Flow 1'!$O6:$O10</f>
        <v>14955.599999999997</v>
      </c>
      <c r="E5" s="1202">
        <f t="array" ref="E5:E9" ca="1">'Cash Flow 2'!$O6:$O10</f>
        <v>16174.481399999995</v>
      </c>
      <c r="F5" s="1203">
        <f t="array" ref="F5:F9" ca="1">'Cash Flow 3'!$O6:$O10</f>
        <v>17500.634832119995</v>
      </c>
      <c r="G5" s="1202">
        <f t="array" ref="G5:G9" ca="1">'Cash Flow 4'!$O6:$O10</f>
        <v>18924.485212749601</v>
      </c>
    </row>
    <row r="6" spans="1:7" s="287" customFormat="1" ht="21" customHeight="1">
      <c r="A6" s="2009" t="str">
        <v>Deferred / Recovered Defaults</v>
      </c>
      <c r="B6" s="1174"/>
      <c r="C6" s="1206">
        <v>0</v>
      </c>
      <c r="D6" s="1207">
        <f ca="1"/>
        <v>0</v>
      </c>
      <c r="E6" s="1206">
        <f ca="1"/>
        <v>0</v>
      </c>
      <c r="F6" s="1207">
        <f ca="1"/>
        <v>0</v>
      </c>
      <c r="G6" s="1206">
        <f ca="1"/>
        <v>0</v>
      </c>
    </row>
    <row r="7" spans="1:7" s="287" customFormat="1" ht="21" customHeight="1">
      <c r="A7" s="1201" t="str">
        <v>Other Cash Collections</v>
      </c>
      <c r="B7" s="1199"/>
      <c r="C7" s="1206">
        <v>0</v>
      </c>
      <c r="D7" s="1207">
        <f ca="1"/>
        <v>0</v>
      </c>
      <c r="E7" s="1206">
        <f ca="1"/>
        <v>0</v>
      </c>
      <c r="F7" s="1207">
        <f ca="1"/>
        <v>0</v>
      </c>
      <c r="G7" s="1206">
        <f ca="1"/>
        <v>0</v>
      </c>
    </row>
    <row r="8" spans="1:7" s="287" customFormat="1" ht="21" customHeight="1">
      <c r="A8" s="1201" t="str">
        <v>VAT Refunds</v>
      </c>
      <c r="B8" s="1199"/>
      <c r="C8" s="1204">
        <v>0</v>
      </c>
      <c r="D8" s="1205">
        <f ca="1"/>
        <v>0</v>
      </c>
      <c r="E8" s="1204">
        <f ca="1"/>
        <v>0</v>
      </c>
      <c r="F8" s="1205">
        <f ca="1"/>
        <v>0</v>
      </c>
      <c r="G8" s="1204">
        <f ca="1"/>
        <v>0</v>
      </c>
    </row>
    <row r="9" spans="1:7" s="287" customFormat="1" ht="21" customHeight="1">
      <c r="A9" s="1201" t="str">
        <v>Financial income</v>
      </c>
      <c r="B9" s="1199"/>
      <c r="C9" s="1204">
        <f ca="1"/>
        <v>0</v>
      </c>
      <c r="D9" s="1205">
        <f ca="1"/>
        <v>0</v>
      </c>
      <c r="E9" s="1204">
        <f ca="1"/>
        <v>0</v>
      </c>
      <c r="F9" s="1205">
        <f ca="1"/>
        <v>0</v>
      </c>
      <c r="G9" s="1204">
        <f ca="1"/>
        <v>0</v>
      </c>
    </row>
    <row r="10" spans="1:7" s="288" customFormat="1" ht="18.75" customHeight="1" thickBot="1">
      <c r="A10" s="1176" t="s">
        <v>786</v>
      </c>
      <c r="B10" s="1208"/>
      <c r="C10" s="1209">
        <f ca="1">SUM(C5:C9)</f>
        <v>8712</v>
      </c>
      <c r="D10" s="1210">
        <f ca="1">SUM(D5:D9)</f>
        <v>14955.599999999997</v>
      </c>
      <c r="E10" s="1209">
        <f ca="1">SUM(E5:E9)</f>
        <v>16174.481399999995</v>
      </c>
      <c r="F10" s="1210">
        <f ca="1">SUM(F5:F9)</f>
        <v>17500.634832119995</v>
      </c>
      <c r="G10" s="1209">
        <f ca="1">SUM(G5:G9)</f>
        <v>18924.485212749601</v>
      </c>
    </row>
    <row r="11" spans="1:7" s="275" customFormat="1" ht="14.25" customHeight="1" thickBot="1">
      <c r="A11" s="323"/>
      <c r="B11" s="280"/>
      <c r="C11" s="280"/>
      <c r="D11" s="280"/>
      <c r="E11" s="280"/>
      <c r="F11" s="280"/>
      <c r="G11" s="295"/>
    </row>
    <row r="12" spans="1:7" s="275" customFormat="1" ht="31.5" customHeight="1" thickBot="1">
      <c r="A12" s="2057" t="str">
        <f t="array" ref="A12:A16">'Cash Flow 0'!A13:A17</f>
        <v>PAYMENTS</v>
      </c>
      <c r="B12" s="2058"/>
      <c r="C12" s="2733" t="str">
        <f t="array" ref="C12:G12">anni</f>
        <v>Year 0:   2026</v>
      </c>
      <c r="D12" s="2734" t="str">
        <v>Year 1:   2027</v>
      </c>
      <c r="E12" s="2733" t="str">
        <v>Year 2:   2028</v>
      </c>
      <c r="F12" s="2734" t="str">
        <v>Year 3:   2029</v>
      </c>
      <c r="G12" s="2733" t="str">
        <v>Year 4:   2030</v>
      </c>
    </row>
    <row r="13" spans="1:7" s="288" customFormat="1" ht="21" customHeight="1">
      <c r="A13" s="1200" t="str">
        <v>Fixed Expenses payments ( VAT incl.)</v>
      </c>
      <c r="B13" s="1198"/>
      <c r="C13" s="1202">
        <f t="array" ref="C13:C16" ca="1">'Cash Flow 0'!$O14:$O17</f>
        <v>15719.496000000001</v>
      </c>
      <c r="D13" s="1203">
        <f t="array" ref="D13:D16" ca="1">'Cash Flow 1'!$O14:$O17</f>
        <v>16411.849439999995</v>
      </c>
      <c r="E13" s="1202">
        <f t="array" ref="E13:E16" ca="1">'Cash Flow 2'!$O14:$O17</f>
        <v>17048.543139599999</v>
      </c>
      <c r="F13" s="1203">
        <f t="array" ref="F13:F16" ca="1">'Cash Flow 3'!$O14:$O17</f>
        <v>17712.460090467597</v>
      </c>
      <c r="G13" s="1202">
        <f t="array" ref="G13:G16" ca="1">'Cash Flow 4'!$O14:$O17</f>
        <v>18404.273243706648</v>
      </c>
    </row>
    <row r="14" spans="1:7" s="287" customFormat="1" ht="21" customHeight="1">
      <c r="A14" s="1201" t="str">
        <v>Purchases &amp; Direct Costs payments  ( VAT incl.)</v>
      </c>
      <c r="B14" s="1199"/>
      <c r="C14" s="1204">
        <f ca="1"/>
        <v>871.2</v>
      </c>
      <c r="D14" s="1205">
        <f ca="1"/>
        <v>1495.5600000000004</v>
      </c>
      <c r="E14" s="1204">
        <f ca="1"/>
        <v>1617.4481399999997</v>
      </c>
      <c r="F14" s="1205">
        <f ca="1"/>
        <v>1750.0634832120004</v>
      </c>
      <c r="G14" s="1204">
        <f ca="1"/>
        <v>1892.4485212749596</v>
      </c>
    </row>
    <row r="15" spans="1:7" s="287" customFormat="1" ht="21" customHeight="1">
      <c r="A15" s="1201" t="str">
        <v>Financial Expenses Payments</v>
      </c>
      <c r="B15" s="1199"/>
      <c r="C15" s="1204">
        <f ca="1"/>
        <v>87.11999999999999</v>
      </c>
      <c r="D15" s="1205">
        <f ca="1"/>
        <v>149.55599999999995</v>
      </c>
      <c r="E15" s="1204">
        <f ca="1"/>
        <v>161.74481399999999</v>
      </c>
      <c r="F15" s="1205">
        <f ca="1"/>
        <v>175.00634832119999</v>
      </c>
      <c r="G15" s="1204">
        <f ca="1"/>
        <v>189.24485212749605</v>
      </c>
    </row>
    <row r="16" spans="1:7" s="287" customFormat="1" ht="21" customHeight="1">
      <c r="A16" s="1201" t="str">
        <v>Leasing / Renting quotes input VAT payments</v>
      </c>
      <c r="B16" s="1199"/>
      <c r="C16" s="1204">
        <v>0</v>
      </c>
      <c r="D16" s="1205">
        <v>0</v>
      </c>
      <c r="E16" s="1204">
        <v>0</v>
      </c>
      <c r="F16" s="1205">
        <v>0</v>
      </c>
      <c r="G16" s="1204">
        <v>0</v>
      </c>
    </row>
    <row r="17" spans="1:7" s="287" customFormat="1" ht="21" customHeight="1">
      <c r="A17" s="1201" t="str">
        <f t="array" ref="A17:A22">'Cash Flow 0'!A20:A25</f>
        <v>Debt repayment (mortgages &amp; leasings)</v>
      </c>
      <c r="B17" s="1199"/>
      <c r="C17" s="1204">
        <f t="array" ref="C17:C21">'Cash Flow 0'!$O20:$O24</f>
        <v>0</v>
      </c>
      <c r="D17" s="1205">
        <f t="array" ref="D17:D21">'Cash Flow 1'!$O20:$O24</f>
        <v>0</v>
      </c>
      <c r="E17" s="1204">
        <f t="array" ref="E17:E21">'Cash Flow 2'!$O20:$O24</f>
        <v>0</v>
      </c>
      <c r="F17" s="1205">
        <f t="array" ref="F17:F21">'Cash Flow 3'!$O20:$O24</f>
        <v>0</v>
      </c>
      <c r="G17" s="1204">
        <f t="array" ref="G17:G21">'Cash Flow 4'!$O20:$O24</f>
        <v>0</v>
      </c>
    </row>
    <row r="18" spans="1:7" s="287" customFormat="1" ht="21" customHeight="1">
      <c r="A18" s="1201" t="str">
        <v>Other Out-flows</v>
      </c>
      <c r="B18" s="1199"/>
      <c r="C18" s="1204">
        <f ca="1"/>
        <v>0</v>
      </c>
      <c r="D18" s="1205">
        <v>0</v>
      </c>
      <c r="E18" s="1204">
        <v>0</v>
      </c>
      <c r="F18" s="1205">
        <v>0</v>
      </c>
      <c r="G18" s="1204">
        <v>0</v>
      </c>
    </row>
    <row r="19" spans="1:7" s="287" customFormat="1" ht="21" customHeight="1">
      <c r="A19" s="1201" t="str">
        <v>VAT Settlements payments</v>
      </c>
      <c r="B19" s="1199"/>
      <c r="C19" s="1204">
        <f ca="1"/>
        <v>992.71199999999988</v>
      </c>
      <c r="D19" s="1205">
        <f ca="1"/>
        <v>2250.508679999999</v>
      </c>
      <c r="E19" s="1204">
        <f ca="1"/>
        <v>2421.9858537</v>
      </c>
      <c r="F19" s="1205">
        <f ca="1"/>
        <v>2620.6786796336996</v>
      </c>
      <c r="G19" s="1204">
        <f ca="1"/>
        <v>2834.2355925934257</v>
      </c>
    </row>
    <row r="20" spans="1:7" s="287" customFormat="1" ht="21" customHeight="1">
      <c r="A20" s="1201" t="str">
        <v>Income Tax payments</v>
      </c>
      <c r="B20" s="1199"/>
      <c r="C20" s="1204">
        <f ca="1"/>
        <v>0</v>
      </c>
      <c r="D20" s="1205">
        <f ca="1"/>
        <v>0</v>
      </c>
      <c r="E20" s="1204">
        <f ca="1"/>
        <v>0</v>
      </c>
      <c r="F20" s="1205">
        <f ca="1"/>
        <v>0</v>
      </c>
      <c r="G20" s="1204">
        <f ca="1"/>
        <v>0</v>
      </c>
    </row>
    <row r="21" spans="1:7" s="287" customFormat="1" ht="21" customHeight="1">
      <c r="A21" s="1201" t="str">
        <v>Long Term Creditors payments</v>
      </c>
      <c r="B21" s="1199"/>
      <c r="C21" s="1204">
        <v>0</v>
      </c>
      <c r="D21" s="1205">
        <v>0</v>
      </c>
      <c r="E21" s="1204">
        <v>0</v>
      </c>
      <c r="F21" s="1205">
        <v>0</v>
      </c>
      <c r="G21" s="1204">
        <v>0</v>
      </c>
    </row>
    <row r="22" spans="1:7" s="288" customFormat="1" ht="21" customHeight="1" thickBot="1">
      <c r="A22" s="1176" t="str">
        <v>Total Payments forecast</v>
      </c>
      <c r="B22" s="1208"/>
      <c r="C22" s="1211">
        <f ca="1">SUM(C13:C21)</f>
        <v>17670.527999999998</v>
      </c>
      <c r="D22" s="1212">
        <f ca="1">SUM(D13:D21)</f>
        <v>20307.474119999995</v>
      </c>
      <c r="E22" s="1211">
        <f ca="1">SUM(E13:E21)</f>
        <v>21249.7219473</v>
      </c>
      <c r="F22" s="1212">
        <f ca="1">SUM(F13:F21)</f>
        <v>22258.208601634498</v>
      </c>
      <c r="G22" s="1211">
        <f ca="1">SUM(G13:G21)</f>
        <v>23320.202209702529</v>
      </c>
    </row>
    <row r="23" spans="1:7" s="275" customFormat="1" ht="15" customHeight="1" thickBot="1">
      <c r="A23" s="323"/>
    </row>
    <row r="24" spans="1:7" ht="15" customHeight="1" thickBot="1">
      <c r="A24" s="4"/>
      <c r="B24" s="4"/>
      <c r="C24" s="516" t="str">
        <f t="array" ref="C24:G24">Parameters!D62:H62</f>
        <v>Year 0</v>
      </c>
      <c r="D24" s="517">
        <v>1</v>
      </c>
      <c r="E24" s="518">
        <v>2</v>
      </c>
      <c r="F24" s="517">
        <v>3</v>
      </c>
      <c r="G24" s="519">
        <v>4</v>
      </c>
    </row>
    <row r="25" spans="1:7" s="288" customFormat="1" ht="21" customHeight="1" thickBot="1">
      <c r="A25" s="334" t="s">
        <v>762</v>
      </c>
      <c r="B25" s="335"/>
      <c r="C25" s="325">
        <f t="array" ref="C25:G25" ca="1">C10:G10-C22:G22</f>
        <v>-8958.5279999999984</v>
      </c>
      <c r="D25" s="338">
        <f ca="1"/>
        <v>-5351.8741199999986</v>
      </c>
      <c r="E25" s="325">
        <f ca="1"/>
        <v>-5075.2405473000053</v>
      </c>
      <c r="F25" s="338">
        <f ca="1"/>
        <v>-4757.5737695145035</v>
      </c>
      <c r="G25" s="325">
        <f ca="1"/>
        <v>-4395.7169969529277</v>
      </c>
    </row>
    <row r="26" spans="1:7" s="275" customFormat="1" ht="8.25" customHeight="1" thickBot="1">
      <c r="A26" s="316"/>
      <c r="B26" s="336"/>
      <c r="C26" s="302"/>
      <c r="E26" s="302"/>
      <c r="G26" s="302"/>
    </row>
    <row r="27" spans="1:7" s="288" customFormat="1" ht="21" customHeight="1" thickBot="1">
      <c r="A27" s="324" t="s">
        <v>788</v>
      </c>
      <c r="B27" s="337">
        <f ca="1">'Cash Flow 0'!$B35</f>
        <v>2201.65</v>
      </c>
      <c r="C27" s="325">
        <f ca="1">'Cash Flow 0'!$N$35</f>
        <v>-6756.8779999999988</v>
      </c>
      <c r="D27" s="339">
        <f ca="1">'Cash Flow 1'!$N$35</f>
        <v>-12108.752120000003</v>
      </c>
      <c r="E27" s="325">
        <f ca="1">'Cash Flow 2'!$N$35</f>
        <v>-17183.992667300008</v>
      </c>
      <c r="F27" s="339">
        <f ca="1">'Cash Flow 3'!$N$35</f>
        <v>-21941.566436814501</v>
      </c>
      <c r="G27" s="325">
        <f ca="1">'Cash Flow 4'!$N$35</f>
        <v>-26337.283433767447</v>
      </c>
    </row>
    <row r="28" spans="1:7">
      <c r="A28" s="323"/>
      <c r="B28" s="280"/>
      <c r="C28" s="300"/>
      <c r="D28" s="280"/>
      <c r="E28" s="300"/>
      <c r="F28" s="280"/>
      <c r="G28" s="300"/>
    </row>
    <row r="29" spans="1:7" s="287" customFormat="1" ht="21.75" customHeight="1">
      <c r="A29" s="320"/>
      <c r="B29" s="303" t="s">
        <v>789</v>
      </c>
      <c r="C29" s="326">
        <f ca="1">'Cash Flow 0'!$C41</f>
        <v>1107.0720000000001</v>
      </c>
      <c r="D29" s="332">
        <f ca="1">'Cash Flow 1'!$C41</f>
        <v>-7200.1671199999992</v>
      </c>
      <c r="E29" s="328">
        <f ca="1">'Cash Flow 2'!$C41</f>
        <v>-12517.644557800004</v>
      </c>
      <c r="F29" s="332">
        <f ca="1">'Cash Flow 3'!$C41</f>
        <v>-17565.17616482341</v>
      </c>
      <c r="G29" s="330">
        <f ca="1">'Cash Flow 4'!$C41</f>
        <v>-22291.468957444493</v>
      </c>
    </row>
    <row r="30" spans="1:7" s="287" customFormat="1" ht="21" customHeight="1" thickBot="1">
      <c r="A30" s="321"/>
      <c r="B30" s="322" t="s">
        <v>790</v>
      </c>
      <c r="C30" s="327" t="str">
        <f ca="1">'Cash Flow 0'!$D41</f>
        <v>January</v>
      </c>
      <c r="D30" s="333" t="str">
        <f ca="1">'Cash Flow 1'!$D41</f>
        <v>January</v>
      </c>
      <c r="E30" s="329" t="str">
        <f ca="1">'Cash Flow 2'!$D41</f>
        <v>January</v>
      </c>
      <c r="F30" s="333" t="str">
        <f ca="1">'Cash Flow 3'!$D41</f>
        <v>January</v>
      </c>
      <c r="G30" s="331" t="str">
        <f ca="1">'Cash Flow 4'!$D41</f>
        <v>January</v>
      </c>
    </row>
    <row r="31" spans="1:7" ht="19.5" customHeight="1" thickBot="1">
      <c r="A31" s="4"/>
      <c r="B31" s="4"/>
    </row>
    <row r="32" spans="1:7" ht="15" customHeight="1" thickBot="1">
      <c r="A32" s="1797" t="s">
        <v>791</v>
      </c>
      <c r="B32" s="759"/>
      <c r="C32" s="516" t="str">
        <f t="array" ref="C32:G32">Parameters!D62:H62</f>
        <v>Year 0</v>
      </c>
      <c r="D32" s="517">
        <v>1</v>
      </c>
      <c r="E32" s="518">
        <v>2</v>
      </c>
      <c r="F32" s="517">
        <v>3</v>
      </c>
      <c r="G32" s="519">
        <v>4</v>
      </c>
    </row>
    <row r="33" spans="1:7" s="287" customFormat="1" ht="21" customHeight="1" thickBot="1">
      <c r="A33" s="319"/>
      <c r="B33" s="1795" t="s">
        <v>794</v>
      </c>
      <c r="C33" s="1213">
        <f ca="1">MAX('Cash Flow 0'!$C$33:$N$33)</f>
        <v>0</v>
      </c>
      <c r="D33" s="1214">
        <f ca="1">MAX('Cash Flow 1'!$C$33:$N$33)</f>
        <v>0</v>
      </c>
      <c r="E33" s="1215">
        <f ca="1">MAX('Cash Flow 2'!$C$33:$N$33)</f>
        <v>0</v>
      </c>
      <c r="F33" s="1214">
        <f ca="1">MAX('Cash Flow 3'!$C$33:$N$33)</f>
        <v>0</v>
      </c>
      <c r="G33" s="1216">
        <f ca="1">MAX('Cash Flow 4'!$C$33:$N$33)</f>
        <v>0</v>
      </c>
    </row>
    <row r="34" spans="1:7" s="287" customFormat="1" ht="21" customHeight="1" thickBot="1">
      <c r="A34" s="319"/>
      <c r="B34" s="1795" t="s">
        <v>793</v>
      </c>
      <c r="C34" s="325">
        <f ca="1">-'Cash Flow 0'!$C39</f>
        <v>-6756.8779999999988</v>
      </c>
      <c r="D34" s="325">
        <f ca="1">-'Cash Flow 1'!$C39</f>
        <v>-12108.752120000003</v>
      </c>
      <c r="E34" s="325">
        <f ca="1">-'Cash Flow 2'!$C39</f>
        <v>-17183.992667300008</v>
      </c>
      <c r="F34" s="325">
        <f ca="1">-'Cash Flow 3'!$C39</f>
        <v>-21941.566436814501</v>
      </c>
      <c r="G34" s="325">
        <f ca="1">-'Cash Flow 4'!$C39</f>
        <v>-26337.283433767447</v>
      </c>
    </row>
    <row r="35" spans="1:7" s="287" customFormat="1" ht="21" customHeight="1" thickBot="1">
      <c r="A35" s="321"/>
      <c r="B35" s="322" t="s">
        <v>792</v>
      </c>
      <c r="C35" s="327" t="str">
        <f ca="1">'Cash Flow 0'!$D39</f>
        <v>December</v>
      </c>
      <c r="D35" s="333" t="str">
        <f ca="1">'Cash Flow 1'!$D39</f>
        <v>December</v>
      </c>
      <c r="E35" s="329" t="str">
        <f ca="1">'Cash Flow 2'!$D39</f>
        <v>December</v>
      </c>
      <c r="F35" s="333" t="str">
        <f ca="1">'Cash Flow 3'!$D39</f>
        <v>December</v>
      </c>
      <c r="G35" s="331" t="str">
        <f ca="1">'Cash Flow 4'!$D39</f>
        <v>December</v>
      </c>
    </row>
    <row r="37" spans="1:7">
      <c r="A37" s="4"/>
      <c r="B37" s="4"/>
    </row>
    <row r="38" spans="1:7" ht="15">
      <c r="A38" s="35"/>
      <c r="B38" s="35"/>
    </row>
    <row r="39" spans="1:7" ht="15">
      <c r="A39" s="35"/>
      <c r="B39" s="35"/>
    </row>
    <row r="40" spans="1:7" ht="15">
      <c r="A40" s="35"/>
      <c r="B40" s="35"/>
    </row>
    <row r="41" spans="1:7" ht="15">
      <c r="A41" s="35"/>
      <c r="B41" s="35"/>
    </row>
    <row r="42" spans="1:7" ht="15">
      <c r="A42" s="35"/>
      <c r="B42" s="35"/>
    </row>
    <row r="43" spans="1:7" ht="15">
      <c r="A43" s="35"/>
      <c r="B43" s="35"/>
    </row>
    <row r="44" spans="1:7" ht="15">
      <c r="A44" s="35"/>
      <c r="B44" s="35"/>
    </row>
    <row r="45" spans="1:7" ht="15">
      <c r="A45" s="35"/>
      <c r="B45" s="35"/>
    </row>
    <row r="46" spans="1:7" ht="15">
      <c r="A46" s="35"/>
      <c r="B46" s="35"/>
    </row>
    <row r="47" spans="1:7" ht="15">
      <c r="A47" s="35"/>
      <c r="B47" s="35"/>
    </row>
    <row r="48" spans="1:7" ht="15">
      <c r="A48" s="35"/>
      <c r="B48" s="35"/>
    </row>
    <row r="49" spans="1:17" ht="15">
      <c r="A49" s="35"/>
      <c r="B49" s="35"/>
    </row>
    <row r="50" spans="1:17" ht="15">
      <c r="A50" s="35"/>
      <c r="B50" s="35"/>
    </row>
    <row r="51" spans="1:17" ht="15">
      <c r="A51" s="35"/>
      <c r="B51" s="35"/>
    </row>
    <row r="52" spans="1:17" ht="15">
      <c r="A52" s="35"/>
      <c r="B52" s="35"/>
    </row>
    <row r="53" spans="1:17" ht="15">
      <c r="A53" s="35"/>
      <c r="B53" s="35"/>
    </row>
    <row r="54" spans="1:17" ht="15">
      <c r="A54" s="35"/>
      <c r="B54" s="35"/>
    </row>
    <row r="62" spans="1:17">
      <c r="A62" s="1321"/>
      <c r="B62" s="2499" t="str">
        <f t="array" ref="B62:M62">meses</f>
        <v>January</v>
      </c>
      <c r="C62" s="2499" t="str">
        <v>February</v>
      </c>
      <c r="D62" s="2499" t="str">
        <v>March</v>
      </c>
      <c r="E62" s="2499" t="str">
        <v>April</v>
      </c>
      <c r="F62" s="2499" t="str">
        <v>May</v>
      </c>
      <c r="G62" s="2499" t="str">
        <v>June</v>
      </c>
      <c r="H62" s="2499" t="str">
        <v>July</v>
      </c>
      <c r="I62" s="2499" t="str">
        <v>August</v>
      </c>
      <c r="J62" s="2499" t="str">
        <v>September</v>
      </c>
      <c r="K62" s="2499" t="str">
        <v>October</v>
      </c>
      <c r="L62" s="2499" t="str">
        <v>November</v>
      </c>
      <c r="M62" s="2499" t="str">
        <v>December</v>
      </c>
      <c r="N62" s="1036"/>
      <c r="O62" s="1036"/>
      <c r="P62" s="1036"/>
      <c r="Q62" s="1036"/>
    </row>
    <row r="63" spans="1:17">
      <c r="A63" s="1322" t="str">
        <f t="array" ref="A63:A67">annivert</f>
        <v>Year 0:   2026</v>
      </c>
      <c r="B63" s="1321">
        <f t="array" ref="B63:M63" ca="1">'Cash Flow 0'!C35:N35</f>
        <v>1107.0720000000001</v>
      </c>
      <c r="C63" s="1321">
        <f ca="1"/>
        <v>90.814000000000306</v>
      </c>
      <c r="D63" s="1321">
        <f ca="1"/>
        <v>-847.12399999999957</v>
      </c>
      <c r="E63" s="1321">
        <f ca="1"/>
        <v>-1715.554363636363</v>
      </c>
      <c r="F63" s="1321">
        <f ca="1"/>
        <v>-2571.7307272727267</v>
      </c>
      <c r="G63" s="1321">
        <f ca="1"/>
        <v>-3363.3325454545447</v>
      </c>
      <c r="H63" s="1321">
        <f ca="1"/>
        <v>-4090.3598181818174</v>
      </c>
      <c r="I63" s="1321">
        <f ca="1"/>
        <v>-4752.8125454545443</v>
      </c>
      <c r="J63" s="1321">
        <f ca="1"/>
        <v>-5350.6907272727258</v>
      </c>
      <c r="K63" s="1321">
        <f ca="1"/>
        <v>-5883.9943636363623</v>
      </c>
      <c r="L63" s="1321">
        <f ca="1"/>
        <v>-6352.723454545453</v>
      </c>
      <c r="M63" s="1321">
        <f ca="1"/>
        <v>-6756.8779999999988</v>
      </c>
    </row>
    <row r="64" spans="1:17">
      <c r="A64" s="1322" t="str">
        <v>Year 1:   2027</v>
      </c>
      <c r="B64" s="1321">
        <f t="array" ref="B64:M64" ca="1">'Cash Flow 1'!C35:N35</f>
        <v>-7200.1671199999992</v>
      </c>
      <c r="C64" s="1321">
        <f ca="1"/>
        <v>-7646.4021199999988</v>
      </c>
      <c r="D64" s="1321">
        <f ca="1"/>
        <v>-8092.6371199999985</v>
      </c>
      <c r="E64" s="1321">
        <f ca="1"/>
        <v>-8538.8721199999982</v>
      </c>
      <c r="F64" s="1321">
        <f ca="1"/>
        <v>-8985.1071199999988</v>
      </c>
      <c r="G64" s="1321">
        <f ca="1"/>
        <v>-9431.3421199999993</v>
      </c>
      <c r="H64" s="1321">
        <f ca="1"/>
        <v>-9877.5771199999999</v>
      </c>
      <c r="I64" s="1321">
        <f ca="1"/>
        <v>-10323.812120000001</v>
      </c>
      <c r="J64" s="1321">
        <f ca="1"/>
        <v>-10770.047120000001</v>
      </c>
      <c r="K64" s="1321">
        <f ca="1"/>
        <v>-11216.282120000002</v>
      </c>
      <c r="L64" s="1321">
        <f ca="1"/>
        <v>-11662.517120000002</v>
      </c>
      <c r="M64" s="1321">
        <f ca="1"/>
        <v>-12108.752120000003</v>
      </c>
    </row>
    <row r="65" spans="1:61">
      <c r="A65" s="1322" t="str">
        <v>Year 2:   2028</v>
      </c>
      <c r="B65" s="1321">
        <f t="array" ref="B65:M65" ca="1">'Cash Flow 2'!C35:N35</f>
        <v>-12517.644557800004</v>
      </c>
      <c r="C65" s="1321">
        <f ca="1"/>
        <v>-12941.858022300004</v>
      </c>
      <c r="D65" s="1321">
        <f ca="1"/>
        <v>-13366.071486800005</v>
      </c>
      <c r="E65" s="1321">
        <f ca="1"/>
        <v>-13790.284951300006</v>
      </c>
      <c r="F65" s="1321">
        <f ca="1"/>
        <v>-14214.498415800006</v>
      </c>
      <c r="G65" s="1321">
        <f ca="1"/>
        <v>-14638.711880300007</v>
      </c>
      <c r="H65" s="1321">
        <f ca="1"/>
        <v>-15062.925344800007</v>
      </c>
      <c r="I65" s="1321">
        <f ca="1"/>
        <v>-15487.138809300008</v>
      </c>
      <c r="J65" s="1321">
        <f ca="1"/>
        <v>-15911.352273800008</v>
      </c>
      <c r="K65" s="1321">
        <f ca="1"/>
        <v>-16335.565738300009</v>
      </c>
      <c r="L65" s="1321">
        <f ca="1"/>
        <v>-16759.779202800008</v>
      </c>
      <c r="M65" s="1321">
        <f ca="1"/>
        <v>-17183.992667300008</v>
      </c>
    </row>
    <row r="66" spans="1:61">
      <c r="A66" s="1322" t="str">
        <v>Year 3:   2029</v>
      </c>
      <c r="B66" s="1321">
        <f t="array" ref="B66:M66" ca="1">'Cash Flow 3'!C35:N35</f>
        <v>-17565.17616482341</v>
      </c>
      <c r="C66" s="1321">
        <f ca="1"/>
        <v>-17963.029825913509</v>
      </c>
      <c r="D66" s="1321">
        <f ca="1"/>
        <v>-18360.883487003608</v>
      </c>
      <c r="E66" s="1321">
        <f ca="1"/>
        <v>-18758.737148093707</v>
      </c>
      <c r="F66" s="1321">
        <f ca="1"/>
        <v>-19156.590809183806</v>
      </c>
      <c r="G66" s="1321">
        <f ca="1"/>
        <v>-19554.444470273906</v>
      </c>
      <c r="H66" s="1321">
        <f ca="1"/>
        <v>-19952.298131364005</v>
      </c>
      <c r="I66" s="1321">
        <f ca="1"/>
        <v>-20350.151792454104</v>
      </c>
      <c r="J66" s="1321">
        <f ca="1"/>
        <v>-20748.005453544203</v>
      </c>
      <c r="K66" s="1321">
        <f ca="1"/>
        <v>-21145.859114634302</v>
      </c>
      <c r="L66" s="1321">
        <f ca="1"/>
        <v>-21543.712775724402</v>
      </c>
      <c r="M66" s="1321">
        <f ca="1"/>
        <v>-21941.566436814501</v>
      </c>
    </row>
    <row r="67" spans="1:61">
      <c r="A67" s="1322" t="str">
        <v>Year 4:   2030</v>
      </c>
      <c r="B67" s="1321">
        <f t="array" ref="B67:M67" ca="1">'Cash Flow 4'!C35:N35</f>
        <v>-22291.468957444493</v>
      </c>
      <c r="C67" s="1321">
        <f ca="1"/>
        <v>-22659.270273473852</v>
      </c>
      <c r="D67" s="1321">
        <f ca="1"/>
        <v>-23027.071589503212</v>
      </c>
      <c r="E67" s="1321">
        <f ca="1"/>
        <v>-23394.872905532571</v>
      </c>
      <c r="F67" s="1321">
        <f ca="1"/>
        <v>-23762.674221561931</v>
      </c>
      <c r="G67" s="1321">
        <f ca="1"/>
        <v>-24130.47553759129</v>
      </c>
      <c r="H67" s="1321">
        <f ca="1"/>
        <v>-24498.276853620649</v>
      </c>
      <c r="I67" s="1321">
        <f ca="1"/>
        <v>-24866.078169650009</v>
      </c>
      <c r="J67" s="1321">
        <f ca="1"/>
        <v>-25233.879485679368</v>
      </c>
      <c r="K67" s="1321">
        <f ca="1"/>
        <v>-25601.680801708728</v>
      </c>
      <c r="L67" s="1321">
        <f ca="1"/>
        <v>-25969.482117738087</v>
      </c>
      <c r="M67" s="1321">
        <f ca="1"/>
        <v>-26337.283433767447</v>
      </c>
    </row>
    <row r="69" spans="1:61">
      <c r="A69" s="2499" t="s">
        <v>795</v>
      </c>
    </row>
    <row r="70" spans="1:61">
      <c r="A70" s="1322" t="str">
        <f t="array" ref="A70:A74">annivert</f>
        <v>Year 0:   2026</v>
      </c>
      <c r="B70" s="1321">
        <f>Funding!D49</f>
        <v>0</v>
      </c>
    </row>
    <row r="71" spans="1:61">
      <c r="A71" s="1322" t="str">
        <v>Year 1:   2027</v>
      </c>
      <c r="B71" s="1321">
        <f>Funding!E49</f>
        <v>0</v>
      </c>
    </row>
    <row r="72" spans="1:61">
      <c r="A72" s="1322" t="str">
        <v>Year 2:   2028</v>
      </c>
      <c r="B72" s="1321">
        <f>Funding!F49</f>
        <v>0</v>
      </c>
    </row>
    <row r="73" spans="1:61">
      <c r="A73" s="1322" t="str">
        <v>Year 3:   2029</v>
      </c>
      <c r="B73" s="1321">
        <f>Funding!G49</f>
        <v>0</v>
      </c>
    </row>
    <row r="74" spans="1:61">
      <c r="A74" s="1322" t="str">
        <v>Year 4:   2030</v>
      </c>
      <c r="B74" s="1321">
        <f>Funding!H49</f>
        <v>0</v>
      </c>
    </row>
    <row r="78" spans="1:61">
      <c r="A78" s="1322" t="s">
        <v>126</v>
      </c>
      <c r="B78" s="1321">
        <f ca="1">B63</f>
        <v>1107.0720000000001</v>
      </c>
      <c r="C78" s="1321">
        <f t="shared" ref="C78:M78" ca="1" si="0">C63</f>
        <v>90.814000000000306</v>
      </c>
      <c r="D78" s="1321">
        <f t="shared" ca="1" si="0"/>
        <v>-847.12399999999957</v>
      </c>
      <c r="E78" s="1321">
        <f t="shared" ca="1" si="0"/>
        <v>-1715.554363636363</v>
      </c>
      <c r="F78" s="1321">
        <f t="shared" ca="1" si="0"/>
        <v>-2571.7307272727267</v>
      </c>
      <c r="G78" s="1321">
        <f t="shared" ca="1" si="0"/>
        <v>-3363.3325454545447</v>
      </c>
      <c r="H78" s="1321">
        <f t="shared" ca="1" si="0"/>
        <v>-4090.3598181818174</v>
      </c>
      <c r="I78" s="1321">
        <f t="shared" ca="1" si="0"/>
        <v>-4752.8125454545443</v>
      </c>
      <c r="J78" s="1321">
        <f t="shared" ca="1" si="0"/>
        <v>-5350.6907272727258</v>
      </c>
      <c r="K78" s="1321">
        <f t="shared" ca="1" si="0"/>
        <v>-5883.9943636363623</v>
      </c>
      <c r="L78" s="1321">
        <f t="shared" ca="1" si="0"/>
        <v>-6352.723454545453</v>
      </c>
      <c r="M78" s="1321">
        <f t="shared" ca="1" si="0"/>
        <v>-6756.8779999999988</v>
      </c>
      <c r="N78" s="1321">
        <f t="shared" ref="N78:Y78" ca="1" si="1">B64</f>
        <v>-7200.1671199999992</v>
      </c>
      <c r="O78" s="1321">
        <f t="shared" ca="1" si="1"/>
        <v>-7646.4021199999988</v>
      </c>
      <c r="P78" s="1321">
        <f t="shared" ca="1" si="1"/>
        <v>-8092.6371199999985</v>
      </c>
      <c r="Q78" s="1321">
        <f t="shared" ca="1" si="1"/>
        <v>-8538.8721199999982</v>
      </c>
      <c r="R78" s="1321">
        <f t="shared" ca="1" si="1"/>
        <v>-8985.1071199999988</v>
      </c>
      <c r="S78" s="1321">
        <f t="shared" ca="1" si="1"/>
        <v>-9431.3421199999993</v>
      </c>
      <c r="T78" s="1321">
        <f t="shared" ca="1" si="1"/>
        <v>-9877.5771199999999</v>
      </c>
      <c r="U78" s="1321">
        <f t="shared" ca="1" si="1"/>
        <v>-10323.812120000001</v>
      </c>
      <c r="V78" s="1321">
        <f t="shared" ca="1" si="1"/>
        <v>-10770.047120000001</v>
      </c>
      <c r="W78" s="1321">
        <f t="shared" ca="1" si="1"/>
        <v>-11216.282120000002</v>
      </c>
      <c r="X78" s="1321">
        <f t="shared" ca="1" si="1"/>
        <v>-11662.517120000002</v>
      </c>
      <c r="Y78" s="1321">
        <f t="shared" ca="1" si="1"/>
        <v>-12108.752120000003</v>
      </c>
      <c r="Z78" s="1321">
        <f t="shared" ref="Z78:AK78" ca="1" si="2">B65</f>
        <v>-12517.644557800004</v>
      </c>
      <c r="AA78" s="1321">
        <f t="shared" ca="1" si="2"/>
        <v>-12941.858022300004</v>
      </c>
      <c r="AB78" s="1321">
        <f t="shared" ca="1" si="2"/>
        <v>-13366.071486800005</v>
      </c>
      <c r="AC78" s="1321">
        <f t="shared" ca="1" si="2"/>
        <v>-13790.284951300006</v>
      </c>
      <c r="AD78" s="1321">
        <f t="shared" ca="1" si="2"/>
        <v>-14214.498415800006</v>
      </c>
      <c r="AE78" s="1321">
        <f t="shared" ca="1" si="2"/>
        <v>-14638.711880300007</v>
      </c>
      <c r="AF78" s="1321">
        <f t="shared" ca="1" si="2"/>
        <v>-15062.925344800007</v>
      </c>
      <c r="AG78" s="1321">
        <f t="shared" ca="1" si="2"/>
        <v>-15487.138809300008</v>
      </c>
      <c r="AH78" s="1321">
        <f t="shared" ca="1" si="2"/>
        <v>-15911.352273800008</v>
      </c>
      <c r="AI78" s="1321">
        <f t="shared" ca="1" si="2"/>
        <v>-16335.565738300009</v>
      </c>
      <c r="AJ78" s="1321">
        <f t="shared" ca="1" si="2"/>
        <v>-16759.779202800008</v>
      </c>
      <c r="AK78" s="1321">
        <f t="shared" ca="1" si="2"/>
        <v>-17183.992667300008</v>
      </c>
      <c r="AL78" s="1321">
        <f t="shared" ref="AL78:AW78" ca="1" si="3">B66</f>
        <v>-17565.17616482341</v>
      </c>
      <c r="AM78" s="1321">
        <f t="shared" ca="1" si="3"/>
        <v>-17963.029825913509</v>
      </c>
      <c r="AN78" s="1321">
        <f t="shared" ca="1" si="3"/>
        <v>-18360.883487003608</v>
      </c>
      <c r="AO78" s="1321">
        <f t="shared" ca="1" si="3"/>
        <v>-18758.737148093707</v>
      </c>
      <c r="AP78" s="1321">
        <f t="shared" ca="1" si="3"/>
        <v>-19156.590809183806</v>
      </c>
      <c r="AQ78" s="1321">
        <f t="shared" ca="1" si="3"/>
        <v>-19554.444470273906</v>
      </c>
      <c r="AR78" s="1321">
        <f t="shared" ca="1" si="3"/>
        <v>-19952.298131364005</v>
      </c>
      <c r="AS78" s="1321">
        <f t="shared" ca="1" si="3"/>
        <v>-20350.151792454104</v>
      </c>
      <c r="AT78" s="1321">
        <f t="shared" ca="1" si="3"/>
        <v>-20748.005453544203</v>
      </c>
      <c r="AU78" s="1321">
        <f t="shared" ca="1" si="3"/>
        <v>-21145.859114634302</v>
      </c>
      <c r="AV78" s="1321">
        <f t="shared" ca="1" si="3"/>
        <v>-21543.712775724402</v>
      </c>
      <c r="AW78" s="1321">
        <f t="shared" ca="1" si="3"/>
        <v>-21941.566436814501</v>
      </c>
      <c r="AX78" s="1321">
        <f t="shared" ref="AX78:BI78" ca="1" si="4">B67</f>
        <v>-22291.468957444493</v>
      </c>
      <c r="AY78" s="1321">
        <f t="shared" ca="1" si="4"/>
        <v>-22659.270273473852</v>
      </c>
      <c r="AZ78" s="1321">
        <f t="shared" ca="1" si="4"/>
        <v>-23027.071589503212</v>
      </c>
      <c r="BA78" s="1321">
        <f t="shared" ca="1" si="4"/>
        <v>-23394.872905532571</v>
      </c>
      <c r="BB78" s="1321">
        <f t="shared" ca="1" si="4"/>
        <v>-23762.674221561931</v>
      </c>
      <c r="BC78" s="1321">
        <f t="shared" ca="1" si="4"/>
        <v>-24130.47553759129</v>
      </c>
      <c r="BD78" s="1321">
        <f t="shared" ca="1" si="4"/>
        <v>-24498.276853620649</v>
      </c>
      <c r="BE78" s="1321">
        <f t="shared" ca="1" si="4"/>
        <v>-24866.078169650009</v>
      </c>
      <c r="BF78" s="1321">
        <f t="shared" ca="1" si="4"/>
        <v>-25233.879485679368</v>
      </c>
      <c r="BG78" s="1321">
        <f t="shared" ca="1" si="4"/>
        <v>-25601.680801708728</v>
      </c>
      <c r="BH78" s="1321">
        <f t="shared" ca="1" si="4"/>
        <v>-25969.482117738087</v>
      </c>
      <c r="BI78" s="1321">
        <f t="shared" ca="1" si="4"/>
        <v>-26337.283433767447</v>
      </c>
    </row>
  </sheetData>
  <sheetProtection sheet="1" objects="1" scenarios="1"/>
  <phoneticPr fontId="7" type="noConversion"/>
  <printOptions horizontalCentered="1"/>
  <pageMargins left="0.86614173228346458" right="0.74803149606299213" top="0.56999999999999995" bottom="0.62" header="0.11811023622047245" footer="0.11811023622047245"/>
  <pageSetup paperSize="9" scale="74" orientation="portrait" horizontalDpi="300" verticalDpi="300" r:id="rId1"/>
  <headerFooter alignWithMargins="0">
    <oddFooter>&amp;C&amp;"Tahoma,Normal"&amp;10&amp;A</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33"/>
  <dimension ref="A1:R100"/>
  <sheetViews>
    <sheetView showGridLines="0" zoomScale="85" zoomScaleNormal="85" workbookViewId="0">
      <selection activeCell="E23" sqref="E23"/>
    </sheetView>
  </sheetViews>
  <sheetFormatPr baseColWidth="10" defaultColWidth="11" defaultRowHeight="15"/>
  <cols>
    <col min="1" max="1" width="11" style="35"/>
    <col min="2" max="2" width="23.875" style="35" customWidth="1"/>
    <col min="3" max="3" width="13.875" style="35" customWidth="1"/>
    <col min="4" max="8" width="12.75" style="35" customWidth="1"/>
    <col min="9" max="9" width="13.5" style="35" customWidth="1"/>
    <col min="10" max="10" width="11" style="35"/>
    <col min="11" max="11" width="11.25" style="35" customWidth="1"/>
    <col min="12" max="16384" width="11" style="35"/>
  </cols>
  <sheetData>
    <row r="1" spans="1:18" s="61" customFormat="1" ht="24.75" customHeight="1">
      <c r="B1" s="66" t="s">
        <v>813</v>
      </c>
      <c r="R1" s="230"/>
    </row>
    <row r="2" spans="1:18" s="61" customFormat="1" ht="22.5">
      <c r="A2" s="60"/>
      <c r="B2" s="66" t="str">
        <f>'Base Data'!B9</f>
        <v>WWW, Ltd.</v>
      </c>
      <c r="P2" s="230"/>
    </row>
    <row r="3" spans="1:18" s="61" customFormat="1" ht="18.75" customHeight="1">
      <c r="B3" s="59"/>
      <c r="R3" s="230"/>
    </row>
    <row r="4" spans="1:18" s="61" customFormat="1" ht="18.75" customHeight="1" thickBot="1">
      <c r="B4" s="59"/>
      <c r="R4" s="230"/>
    </row>
    <row r="5" spans="1:18" ht="23.25" thickBot="1">
      <c r="B5" s="366" t="s">
        <v>796</v>
      </c>
      <c r="C5" s="62"/>
      <c r="D5" s="62"/>
      <c r="E5" s="62"/>
      <c r="F5" s="62"/>
      <c r="G5" s="62"/>
      <c r="H5" s="62"/>
      <c r="I5" s="62"/>
      <c r="J5" s="62"/>
      <c r="K5" s="63"/>
    </row>
    <row r="6" spans="1:18" ht="50.25" customHeight="1" thickBot="1">
      <c r="B6" s="367"/>
      <c r="C6" s="340"/>
      <c r="D6" s="2056" t="str">
        <f t="array" ref="D6:H6">CONCATENATE(anni," Data")</f>
        <v>Year 0:   2026 Data</v>
      </c>
      <c r="E6" s="2056" t="str">
        <v>Year 1:   2027 Data</v>
      </c>
      <c r="F6" s="2056" t="str">
        <v>Year 2:   2028 Data</v>
      </c>
      <c r="G6" s="2056" t="str">
        <v>Year 3:   2029 Data</v>
      </c>
      <c r="H6" s="2056" t="str">
        <v>Year 4:   2030 Data</v>
      </c>
      <c r="I6" s="340"/>
      <c r="J6" s="340"/>
      <c r="K6" s="368"/>
    </row>
    <row r="7" spans="1:18">
      <c r="B7" s="248"/>
      <c r="C7" s="375" t="s">
        <v>629</v>
      </c>
      <c r="D7" s="341">
        <f>'Fixed Expenses 0'!N27</f>
        <v>15432</v>
      </c>
      <c r="E7" s="342">
        <f>'Fixed Expenses 1'!N27</f>
        <v>15936</v>
      </c>
      <c r="F7" s="341">
        <f ca="1">'Fixed Expenses 2'!$N$27</f>
        <v>16535.04</v>
      </c>
      <c r="G7" s="341">
        <f ca="1">'Fixed Expenses 3'!$N$27</f>
        <v>17158.041600000004</v>
      </c>
      <c r="H7" s="341">
        <f ca="1">'Fixed Expenses 4'!$N$27</f>
        <v>17805.963263999998</v>
      </c>
      <c r="I7" s="343" t="str">
        <f>CONCATENATE(Parameters!$H$11," / year")</f>
        <v>€ / year</v>
      </c>
      <c r="J7" s="344"/>
      <c r="K7" s="369"/>
    </row>
    <row r="8" spans="1:18">
      <c r="B8" s="370"/>
      <c r="C8" s="376" t="s">
        <v>530</v>
      </c>
      <c r="D8" s="346">
        <f ca="1">'Fixed Expenses 0'!N55</f>
        <v>237.59999999999994</v>
      </c>
      <c r="E8" s="347">
        <f ca="1">'Fixed Expenses 1'!N55</f>
        <v>393.26399999999995</v>
      </c>
      <c r="F8" s="346">
        <f ca="1">'Fixed Expenses 2'!$N$55</f>
        <v>424.38275999999996</v>
      </c>
      <c r="G8" s="346">
        <f ca="1">'Fixed Expenses 3'!$N$55</f>
        <v>458.19709956000014</v>
      </c>
      <c r="H8" s="346">
        <f ca="1">'Fixed Expenses 4'!$N$55</f>
        <v>494.47105760880004</v>
      </c>
      <c r="I8" s="348" t="s">
        <v>30</v>
      </c>
      <c r="J8" s="345"/>
      <c r="K8" s="371"/>
    </row>
    <row r="9" spans="1:18">
      <c r="B9" s="372"/>
      <c r="C9" s="377" t="s">
        <v>490</v>
      </c>
      <c r="D9" s="350">
        <f t="array" ref="D9:H9">Amortizations!D41:H41</f>
        <v>0</v>
      </c>
      <c r="E9" s="351">
        <v>0</v>
      </c>
      <c r="F9" s="350">
        <v>0</v>
      </c>
      <c r="G9" s="350">
        <v>0</v>
      </c>
      <c r="H9" s="350">
        <v>0</v>
      </c>
      <c r="I9" s="352" t="s">
        <v>30</v>
      </c>
      <c r="J9" s="349"/>
      <c r="K9" s="205"/>
    </row>
    <row r="10" spans="1:18">
      <c r="B10" s="103"/>
      <c r="C10" s="378" t="s">
        <v>797</v>
      </c>
      <c r="D10" s="353">
        <f ca="1">SUM(D7:D9)</f>
        <v>15669.6</v>
      </c>
      <c r="E10" s="354">
        <f ca="1">SUM(E7:E9)</f>
        <v>16329.263999999999</v>
      </c>
      <c r="F10" s="353">
        <f ca="1">SUM(F7:F9)</f>
        <v>16959.422760000001</v>
      </c>
      <c r="G10" s="353">
        <f ca="1">SUM(G7:G9)</f>
        <v>17616.238699560003</v>
      </c>
      <c r="H10" s="353">
        <f ca="1">SUM(H7:H9)</f>
        <v>18300.434321608798</v>
      </c>
      <c r="I10" s="355" t="s">
        <v>30</v>
      </c>
      <c r="K10" s="373"/>
    </row>
    <row r="11" spans="1:18" ht="15.75" thickBot="1">
      <c r="B11" s="370"/>
      <c r="C11" s="345"/>
      <c r="D11" s="364"/>
      <c r="E11" s="345"/>
      <c r="F11" s="364"/>
      <c r="G11" s="364"/>
      <c r="H11" s="364"/>
      <c r="I11" s="345"/>
      <c r="J11" s="345"/>
      <c r="K11" s="371"/>
    </row>
    <row r="12" spans="1:18" ht="15.75" thickBot="1">
      <c r="B12" s="64"/>
      <c r="C12" s="379" t="s">
        <v>798</v>
      </c>
      <c r="D12" s="1501">
        <f ca="1">'Yearly Income St'!B27</f>
        <v>-87.11999999999999</v>
      </c>
      <c r="E12" s="1501">
        <f ca="1">'Yearly Income St'!D27</f>
        <v>-149.55599999999995</v>
      </c>
      <c r="F12" s="1501">
        <f ca="1">'Yearly Income St'!G27</f>
        <v>-161.74481399999999</v>
      </c>
      <c r="G12" s="1501">
        <f ca="1">'Yearly Income St'!J27</f>
        <v>-175.00634832119999</v>
      </c>
      <c r="H12" s="1501">
        <f ca="1">'Yearly Income St'!M27</f>
        <v>-189.24485212749605</v>
      </c>
      <c r="I12" s="365" t="str">
        <f>CONCATENATE(Parameters!$H$11," / year")</f>
        <v>€ / year</v>
      </c>
      <c r="J12" s="359"/>
      <c r="K12" s="374"/>
    </row>
    <row r="13" spans="1:18" ht="15.75" thickBot="1">
      <c r="B13" s="103"/>
      <c r="D13" s="356"/>
      <c r="F13" s="356"/>
      <c r="G13" s="356"/>
      <c r="H13" s="356"/>
      <c r="K13" s="373"/>
    </row>
    <row r="14" spans="1:18" s="48" customFormat="1">
      <c r="B14" s="825"/>
      <c r="C14" s="2454" t="s">
        <v>799</v>
      </c>
      <c r="D14" s="829">
        <f ca="1">C48</f>
        <v>7199.9999999999991</v>
      </c>
      <c r="E14" s="830">
        <f ca="1">C61</f>
        <v>12360</v>
      </c>
      <c r="F14" s="829">
        <f ca="1">C74</f>
        <v>13367.339999999998</v>
      </c>
      <c r="G14" s="829">
        <f ca="1">C87</f>
        <v>14463.334572</v>
      </c>
      <c r="H14" s="829">
        <f ca="1">C100</f>
        <v>15640.070423759998</v>
      </c>
      <c r="I14" s="844" t="str">
        <f>CONCATENATE(Parameters!$H$11," / year forecast")</f>
        <v>€ / year forecast</v>
      </c>
      <c r="J14" s="827"/>
      <c r="K14" s="828"/>
    </row>
    <row r="15" spans="1:18" s="48" customFormat="1" ht="15.75" thickBot="1">
      <c r="B15" s="831"/>
      <c r="C15" s="2455" t="s">
        <v>800</v>
      </c>
      <c r="D15" s="832">
        <f ca="1">D14/(12-mes0+1)</f>
        <v>599.99999999999989</v>
      </c>
      <c r="E15" s="833">
        <f t="array" aca="1" ref="E15:H15" ca="1">E14:H14/12</f>
        <v>1030</v>
      </c>
      <c r="F15" s="832">
        <f ca="1"/>
        <v>1113.9449999999999</v>
      </c>
      <c r="G15" s="832">
        <f ca="1"/>
        <v>1205.277881</v>
      </c>
      <c r="H15" s="832">
        <f ca="1"/>
        <v>1303.3392019799999</v>
      </c>
      <c r="I15" s="824" t="str">
        <f>CONCATENATE(Parameters!$H$11," / month average")</f>
        <v>€ / month average</v>
      </c>
      <c r="J15" s="834"/>
      <c r="K15" s="835"/>
    </row>
    <row r="16" spans="1:18" ht="15.75" thickBot="1">
      <c r="B16" s="103"/>
      <c r="D16" s="356"/>
      <c r="F16" s="356"/>
      <c r="G16" s="356"/>
      <c r="H16" s="356"/>
      <c r="K16" s="373"/>
    </row>
    <row r="17" spans="2:18" s="48" customFormat="1" ht="16.5" customHeight="1">
      <c r="B17" s="825"/>
      <c r="C17" s="2414" t="s">
        <v>806</v>
      </c>
      <c r="D17" s="2604">
        <f t="array" ref="D17:H17" ca="1">IFERROR((D14:H14-D23:H23)*D20:H20,"N/A")</f>
        <v>-9189.6000000000022</v>
      </c>
      <c r="E17" s="2605">
        <f ca="1"/>
        <v>-5205.2640000000001</v>
      </c>
      <c r="F17" s="2604">
        <f ca="1"/>
        <v>-4928.8167600000052</v>
      </c>
      <c r="G17" s="2604">
        <f ca="1"/>
        <v>-4599.2375847600033</v>
      </c>
      <c r="H17" s="2604">
        <f ca="1"/>
        <v>-4224.3709402248005</v>
      </c>
      <c r="I17" s="845" t="str">
        <f>CONCATENATE(Parameters!$H$11," / year")</f>
        <v>€ / year</v>
      </c>
      <c r="J17" s="827"/>
      <c r="K17" s="828"/>
    </row>
    <row r="18" spans="2:18" s="48" customFormat="1" ht="16.5" customHeight="1" thickBot="1">
      <c r="B18" s="820"/>
      <c r="C18" s="2456" t="s">
        <v>807</v>
      </c>
      <c r="D18" s="2606">
        <f t="array" ref="D18:H18" ca="1">IFERROR(D17:H17-D12:H12,"N/A")</f>
        <v>-9102.4800000000014</v>
      </c>
      <c r="E18" s="2607">
        <f ca="1"/>
        <v>-5055.7080000000005</v>
      </c>
      <c r="F18" s="2606">
        <f ca="1"/>
        <v>-4767.0719460000055</v>
      </c>
      <c r="G18" s="2606">
        <f ca="1"/>
        <v>-4424.2312364388035</v>
      </c>
      <c r="H18" s="2606">
        <f ca="1"/>
        <v>-4035.1260880973045</v>
      </c>
      <c r="I18" s="846" t="str">
        <f>CONCATENATE(Parameters!$H$11," / year")</f>
        <v>€ / year</v>
      </c>
      <c r="J18" s="821"/>
      <c r="K18" s="822"/>
    </row>
    <row r="19" spans="2:18" ht="15.75" thickBot="1">
      <c r="B19" s="103"/>
      <c r="D19" s="356"/>
      <c r="F19" s="356"/>
      <c r="G19" s="356"/>
      <c r="H19" s="356"/>
      <c r="K19" s="373"/>
    </row>
    <row r="20" spans="2:18" ht="15.75" thickBot="1">
      <c r="B20" s="64"/>
      <c r="C20" s="2457" t="s">
        <v>805</v>
      </c>
      <c r="D20" s="357">
        <f ca="1">H48</f>
        <v>0.9</v>
      </c>
      <c r="E20" s="358">
        <f ca="1">H61</f>
        <v>0.9</v>
      </c>
      <c r="F20" s="357">
        <f ca="1">H74</f>
        <v>0.89999999999999991</v>
      </c>
      <c r="G20" s="357">
        <f ca="1">H87</f>
        <v>0.9</v>
      </c>
      <c r="H20" s="357">
        <f ca="1">H100</f>
        <v>0.89999999999999991</v>
      </c>
      <c r="I20" s="359"/>
      <c r="J20" s="359"/>
      <c r="K20" s="374"/>
    </row>
    <row r="21" spans="2:18">
      <c r="B21" s="103"/>
      <c r="D21" s="356"/>
      <c r="F21" s="356"/>
      <c r="G21" s="356"/>
      <c r="H21" s="356"/>
      <c r="K21" s="373"/>
    </row>
    <row r="22" spans="2:18" ht="15.75" thickBot="1">
      <c r="B22" s="103"/>
      <c r="D22" s="356"/>
      <c r="F22" s="356"/>
      <c r="G22" s="356"/>
      <c r="H22" s="356"/>
      <c r="K22" s="373"/>
    </row>
    <row r="23" spans="2:18" s="48" customFormat="1" ht="17.25" customHeight="1">
      <c r="B23" s="818"/>
      <c r="C23" s="2459" t="s">
        <v>803</v>
      </c>
      <c r="D23" s="2608">
        <f t="array" ref="D23:H23" ca="1">IFERROR(D10:H10/D20:H20,"N/A")</f>
        <v>17410.666666666668</v>
      </c>
      <c r="E23" s="2609">
        <f ca="1"/>
        <v>18143.626666666667</v>
      </c>
      <c r="F23" s="2608">
        <f ca="1"/>
        <v>18843.803066666671</v>
      </c>
      <c r="G23" s="2608">
        <f ca="1"/>
        <v>19573.59855506667</v>
      </c>
      <c r="H23" s="2608">
        <f ca="1"/>
        <v>20333.815912898666</v>
      </c>
      <c r="I23" s="823" t="str">
        <f>CONCATENATE(Parameters!$H$11," of yearly sales")</f>
        <v>€ of yearly sales</v>
      </c>
      <c r="J23" s="771"/>
      <c r="K23" s="819"/>
    </row>
    <row r="24" spans="2:18" s="48" customFormat="1" ht="17.25" customHeight="1" thickBot="1">
      <c r="B24" s="820"/>
      <c r="C24" s="2460" t="s">
        <v>802</v>
      </c>
      <c r="D24" s="2610">
        <f ca="1">IFERROR(D23/(12-mes0+1),"N/A")</f>
        <v>1450.8888888888889</v>
      </c>
      <c r="E24" s="2611">
        <f t="array" ref="E24:H24" ca="1">IFERROR(E23:H23/12,"N/A")</f>
        <v>1511.9688888888888</v>
      </c>
      <c r="F24" s="2610">
        <f ca="1"/>
        <v>1570.3169222222225</v>
      </c>
      <c r="G24" s="2610">
        <f ca="1"/>
        <v>1631.1332129222226</v>
      </c>
      <c r="H24" s="2610">
        <f ca="1"/>
        <v>1694.4846594082221</v>
      </c>
      <c r="I24" s="824" t="str">
        <f>CONCATENATE(Parameters!$H$11," / month average")</f>
        <v>€ / month average</v>
      </c>
      <c r="J24" s="821"/>
      <c r="K24" s="822"/>
    </row>
    <row r="25" spans="2:18">
      <c r="B25" s="103"/>
      <c r="C25" s="253"/>
      <c r="D25" s="360"/>
      <c r="E25" s="361"/>
      <c r="F25" s="360"/>
      <c r="G25" s="360"/>
      <c r="H25" s="360"/>
      <c r="I25" s="362"/>
      <c r="K25" s="373"/>
    </row>
    <row r="26" spans="2:18" ht="15.75" thickBot="1">
      <c r="B26" s="103"/>
      <c r="C26" s="253"/>
      <c r="D26" s="360"/>
      <c r="E26" s="361"/>
      <c r="F26" s="360"/>
      <c r="G26" s="360"/>
      <c r="H26" s="360"/>
      <c r="I26" s="362"/>
      <c r="K26" s="373"/>
    </row>
    <row r="27" spans="2:18" s="48" customFormat="1" ht="21.75" customHeight="1">
      <c r="B27" s="818"/>
      <c r="C27" s="2459" t="s">
        <v>804</v>
      </c>
      <c r="D27" s="2608">
        <f t="array" ref="D27:H27" ca="1">IFERROR((D10:H10-D12:H12)/D20:H20,"N/A")</f>
        <v>17507.466666666667</v>
      </c>
      <c r="E27" s="2609">
        <f ca="1"/>
        <v>18309.8</v>
      </c>
      <c r="F27" s="2608">
        <f ca="1"/>
        <v>19023.519526666671</v>
      </c>
      <c r="G27" s="2608">
        <f ca="1"/>
        <v>19768.050053201336</v>
      </c>
      <c r="H27" s="2608">
        <f ca="1"/>
        <v>20544.087970818106</v>
      </c>
      <c r="I27" s="823" t="str">
        <f t="array" ref="I27:I28">I23:I24</f>
        <v>€ of yearly sales</v>
      </c>
      <c r="J27" s="771"/>
      <c r="K27" s="819"/>
    </row>
    <row r="28" spans="2:18" s="48" customFormat="1" ht="21.75" customHeight="1" thickBot="1">
      <c r="B28" s="820"/>
      <c r="C28" s="2460" t="s">
        <v>802</v>
      </c>
      <c r="D28" s="2610">
        <f t="array" aca="1" ref="D28" ca="1">IFERROR(D27/(12-mes0+1),"N/A")</f>
        <v>1458.9555555555555</v>
      </c>
      <c r="E28" s="2611">
        <f t="array" ref="E28:H28" ca="1">IFERROR(E27:H27/12,"N/A")</f>
        <v>1525.8166666666666</v>
      </c>
      <c r="F28" s="2610">
        <f ca="1"/>
        <v>1585.2932938888891</v>
      </c>
      <c r="G28" s="2610">
        <f ca="1"/>
        <v>1647.3375044334446</v>
      </c>
      <c r="H28" s="2610">
        <f ca="1"/>
        <v>1712.0073309015088</v>
      </c>
      <c r="I28" s="824" t="str">
        <v>€ / month average</v>
      </c>
      <c r="J28" s="821"/>
      <c r="K28" s="822"/>
    </row>
    <row r="29" spans="2:18">
      <c r="B29" s="103"/>
      <c r="D29" s="356"/>
      <c r="F29" s="356"/>
      <c r="G29" s="356"/>
      <c r="H29" s="356"/>
      <c r="K29" s="373"/>
    </row>
    <row r="30" spans="2:18" ht="15.75" thickBot="1">
      <c r="B30" s="103"/>
      <c r="D30" s="356"/>
      <c r="F30" s="356"/>
      <c r="G30" s="356"/>
      <c r="H30" s="356"/>
      <c r="K30" s="373"/>
    </row>
    <row r="31" spans="2:18" s="48" customFormat="1" ht="21.75" customHeight="1">
      <c r="B31" s="825"/>
      <c r="C31" s="826" t="s">
        <v>929</v>
      </c>
      <c r="D31" s="836">
        <f ca="1">IFERROR(C48/D23,"N/A")</f>
        <v>0.4135395925869198</v>
      </c>
      <c r="E31" s="837">
        <f ca="1">IFERROR((C61)/E23,"N/A")</f>
        <v>0.68123094831463316</v>
      </c>
      <c r="F31" s="836">
        <f ca="1">IFERROR(C74/F23,"N/A")</f>
        <v>0.70937591274480361</v>
      </c>
      <c r="G31" s="836">
        <f ca="1">IFERROR(C87/G23,"N/A")</f>
        <v>0.73892056850507604</v>
      </c>
      <c r="H31" s="836">
        <f ca="1">IFERROR(C100/H23,"N/A")</f>
        <v>0.76916553640277563</v>
      </c>
      <c r="I31" s="2453" t="s">
        <v>801</v>
      </c>
      <c r="J31" s="771"/>
      <c r="K31" s="819"/>
    </row>
    <row r="32" spans="2:18" s="842" customFormat="1" ht="20.25" customHeight="1" thickBot="1">
      <c r="B32" s="831"/>
      <c r="C32" s="838" t="s">
        <v>930</v>
      </c>
      <c r="D32" s="839">
        <f ca="1">IFERROR(D14/D27,"N/A")</f>
        <v>0.41125310343777127</v>
      </c>
      <c r="E32" s="840">
        <f ca="1">IFERROR(E14/E27,"N/A")</f>
        <v>0.67504833477154313</v>
      </c>
      <c r="F32" s="839">
        <f ca="1">IFERROR(F14/F27,"N/A")</f>
        <v>0.70267439110107943</v>
      </c>
      <c r="G32" s="839">
        <f ca="1">IFERROR(G14/G27,"N/A")</f>
        <v>0.73165206143626371</v>
      </c>
      <c r="H32" s="839">
        <f ca="1">IFERROR(H14/H27,"N/A")</f>
        <v>0.76129300292989255</v>
      </c>
      <c r="I32" s="841"/>
      <c r="J32" s="834"/>
      <c r="K32" s="835"/>
      <c r="R32" s="843"/>
    </row>
    <row r="33" spans="2:18" s="61" customFormat="1" ht="18.75" customHeight="1">
      <c r="B33" s="59"/>
      <c r="R33" s="230"/>
    </row>
    <row r="34" spans="2:18" s="61" customFormat="1" ht="18.75" customHeight="1" thickBot="1">
      <c r="B34" s="59"/>
      <c r="R34" s="230"/>
    </row>
    <row r="35" spans="2:18" s="61" customFormat="1" ht="18.75" customHeight="1" thickBot="1">
      <c r="B35" s="1476" t="s">
        <v>814</v>
      </c>
      <c r="C35" s="1477"/>
      <c r="D35" s="1478">
        <f t="array" ref="D35:H35" ca="1">IF(D32:H32&gt;1,0,1/D32:H32-1)</f>
        <v>1.431592592592593</v>
      </c>
      <c r="E35" s="1478">
        <f ca="1"/>
        <v>0.48137540453074434</v>
      </c>
      <c r="F35" s="1478">
        <f ca="1"/>
        <v>0.42313426056842074</v>
      </c>
      <c r="G35" s="1478">
        <f ca="1"/>
        <v>0.36676987971161878</v>
      </c>
      <c r="H35" s="1478">
        <f ca="1"/>
        <v>0.31355469727348839</v>
      </c>
      <c r="I35" s="1475">
        <f ca="1">MAX(D35:H35)</f>
        <v>1.431592592592593</v>
      </c>
      <c r="R35" s="230"/>
    </row>
    <row r="36" spans="2:18" s="61" customFormat="1" ht="18.75" customHeight="1">
      <c r="B36" s="59"/>
      <c r="R36" s="230"/>
    </row>
    <row r="37" spans="2:18" s="61" customFormat="1" ht="24" customHeight="1">
      <c r="B37" s="66" t="str">
        <f>CONCATENATE("Sales &amp; Margins distribution in ",Parameters!$G$11)</f>
        <v>Sales &amp; Margins distribution in Euros</v>
      </c>
      <c r="R37" s="230"/>
    </row>
    <row r="38" spans="2:18" s="61" customFormat="1" ht="23.25" thickBot="1">
      <c r="B38" s="2458"/>
      <c r="C38" s="2735" t="str">
        <f>Parameters!B$77</f>
        <v>Year 0:   2026</v>
      </c>
      <c r="D38" s="363" t="str">
        <f>IF(mes0=1,"",CONCATENATE("(",12-mes0+1," months)"))</f>
        <v/>
      </c>
      <c r="R38" s="230"/>
    </row>
    <row r="39" spans="2:18" s="61" customFormat="1" ht="16.5" customHeight="1" thickBot="1">
      <c r="B39" s="2474" t="s">
        <v>812</v>
      </c>
      <c r="C39" s="2472" t="s">
        <v>617</v>
      </c>
      <c r="D39" s="2475" t="s">
        <v>1</v>
      </c>
      <c r="E39" s="2472" t="s">
        <v>808</v>
      </c>
      <c r="F39" s="2476" t="s">
        <v>2</v>
      </c>
      <c r="G39" s="2473" t="s">
        <v>809</v>
      </c>
      <c r="H39" s="2475" t="s">
        <v>810</v>
      </c>
      <c r="I39" s="433" t="s">
        <v>811</v>
      </c>
    </row>
    <row r="40" spans="2:18" s="61" customFormat="1" ht="18.75" customHeight="1">
      <c r="B40" s="2470" t="str">
        <f t="array" ref="B40:B47">productos</f>
        <v>product 1</v>
      </c>
      <c r="C40" s="2461">
        <f t="array" aca="1" ref="C40:C47" ca="1">'Sales Forecast 0'!N17:N24</f>
        <v>7199.9999999999991</v>
      </c>
      <c r="D40" s="2462">
        <f t="array" aca="1" ref="D40:D47" ca="1">IF(C$48=0,"",C40:C47/C$48)</f>
        <v>1</v>
      </c>
      <c r="E40" s="2461">
        <f t="array" aca="1" ref="E40:E47" ca="1">'DC Distr 0'!$N20:N27</f>
        <v>720</v>
      </c>
      <c r="F40" s="2462">
        <f t="array" aca="1" ref="F40:F47" ca="1">IF(E$48=0,"",E40:E47/E$48)</f>
        <v>1</v>
      </c>
      <c r="G40" s="2461">
        <f t="array" aca="1" ref="G40:G47" ca="1">C40:C47-E40:E47</f>
        <v>6479.9999999999991</v>
      </c>
      <c r="H40" s="2463">
        <f t="array" aca="1" ref="H40:H47" ca="1">IF(C40:C47=0,"",G40:G47/C40:C47)</f>
        <v>0.9</v>
      </c>
      <c r="I40" s="2464">
        <f t="shared" ref="I40:I47" ca="1" si="0">IF($G$48=0,"",G40/$G$48)</f>
        <v>1</v>
      </c>
    </row>
    <row r="41" spans="2:18" s="61" customFormat="1" ht="14.25" customHeight="1">
      <c r="B41" s="2471" t="str">
        <v/>
      </c>
      <c r="C41" s="2465">
        <f ca="1"/>
        <v>0</v>
      </c>
      <c r="D41" s="2466">
        <f ca="1"/>
        <v>0</v>
      </c>
      <c r="E41" s="2465">
        <f ca="1"/>
        <v>0</v>
      </c>
      <c r="F41" s="2466">
        <f ca="1"/>
        <v>0</v>
      </c>
      <c r="G41" s="2465">
        <f ca="1"/>
        <v>0</v>
      </c>
      <c r="H41" s="2467" t="str">
        <f ca="1"/>
        <v/>
      </c>
      <c r="I41" s="2468">
        <f t="shared" ca="1" si="0"/>
        <v>0</v>
      </c>
    </row>
    <row r="42" spans="2:18" s="61" customFormat="1" ht="14.25" customHeight="1">
      <c r="B42" s="2471" t="str">
        <v/>
      </c>
      <c r="C42" s="2465">
        <f ca="1"/>
        <v>0</v>
      </c>
      <c r="D42" s="2466">
        <f ca="1"/>
        <v>0</v>
      </c>
      <c r="E42" s="2465">
        <f ca="1"/>
        <v>0</v>
      </c>
      <c r="F42" s="2466">
        <f ca="1"/>
        <v>0</v>
      </c>
      <c r="G42" s="2465">
        <f ca="1"/>
        <v>0</v>
      </c>
      <c r="H42" s="2467" t="str">
        <f ca="1"/>
        <v/>
      </c>
      <c r="I42" s="2468">
        <f t="shared" ca="1" si="0"/>
        <v>0</v>
      </c>
    </row>
    <row r="43" spans="2:18" s="61" customFormat="1" ht="14.25" customHeight="1">
      <c r="B43" s="2471" t="str">
        <v/>
      </c>
      <c r="C43" s="2465">
        <f ca="1"/>
        <v>0</v>
      </c>
      <c r="D43" s="2466">
        <f ca="1"/>
        <v>0</v>
      </c>
      <c r="E43" s="2465">
        <f ca="1"/>
        <v>0</v>
      </c>
      <c r="F43" s="2466">
        <f ca="1"/>
        <v>0</v>
      </c>
      <c r="G43" s="2465">
        <f ca="1"/>
        <v>0</v>
      </c>
      <c r="H43" s="2467" t="str">
        <f ca="1"/>
        <v/>
      </c>
      <c r="I43" s="2468">
        <f t="shared" ca="1" si="0"/>
        <v>0</v>
      </c>
    </row>
    <row r="44" spans="2:18" s="61" customFormat="1" ht="14.25" customHeight="1">
      <c r="B44" s="2471" t="str">
        <v/>
      </c>
      <c r="C44" s="2465">
        <f ca="1"/>
        <v>0</v>
      </c>
      <c r="D44" s="2466">
        <f ca="1"/>
        <v>0</v>
      </c>
      <c r="E44" s="2465">
        <f ca="1"/>
        <v>0</v>
      </c>
      <c r="F44" s="2466">
        <f ca="1"/>
        <v>0</v>
      </c>
      <c r="G44" s="2465">
        <f ca="1"/>
        <v>0</v>
      </c>
      <c r="H44" s="2467" t="str">
        <f ca="1"/>
        <v/>
      </c>
      <c r="I44" s="2468">
        <f t="shared" ca="1" si="0"/>
        <v>0</v>
      </c>
    </row>
    <row r="45" spans="2:18" s="61" customFormat="1" ht="14.25" customHeight="1">
      <c r="B45" s="2471" t="str">
        <v/>
      </c>
      <c r="C45" s="2465">
        <f ca="1"/>
        <v>0</v>
      </c>
      <c r="D45" s="2466">
        <f ca="1"/>
        <v>0</v>
      </c>
      <c r="E45" s="2465">
        <f ca="1"/>
        <v>0</v>
      </c>
      <c r="F45" s="2466">
        <f ca="1"/>
        <v>0</v>
      </c>
      <c r="G45" s="2465">
        <f ca="1"/>
        <v>0</v>
      </c>
      <c r="H45" s="2467" t="str">
        <f ca="1"/>
        <v/>
      </c>
      <c r="I45" s="2468">
        <f t="shared" ca="1" si="0"/>
        <v>0</v>
      </c>
    </row>
    <row r="46" spans="2:18" s="61" customFormat="1" ht="14.25" customHeight="1">
      <c r="B46" s="2471" t="str">
        <v/>
      </c>
      <c r="C46" s="2465">
        <f ca="1"/>
        <v>0</v>
      </c>
      <c r="D46" s="2466">
        <f ca="1"/>
        <v>0</v>
      </c>
      <c r="E46" s="2465">
        <f ca="1"/>
        <v>0</v>
      </c>
      <c r="F46" s="2466">
        <f ca="1"/>
        <v>0</v>
      </c>
      <c r="G46" s="2465">
        <f ca="1"/>
        <v>0</v>
      </c>
      <c r="H46" s="2467" t="str">
        <f ca="1"/>
        <v/>
      </c>
      <c r="I46" s="2468">
        <f t="shared" ca="1" si="0"/>
        <v>0</v>
      </c>
    </row>
    <row r="47" spans="2:18" s="61" customFormat="1" ht="14.25" customHeight="1" thickBot="1">
      <c r="B47" s="2471" t="str">
        <v/>
      </c>
      <c r="C47" s="2465">
        <f ca="1"/>
        <v>0</v>
      </c>
      <c r="D47" s="2466">
        <f ca="1"/>
        <v>0</v>
      </c>
      <c r="E47" s="2465">
        <f ca="1"/>
        <v>0</v>
      </c>
      <c r="F47" s="2466">
        <f ca="1"/>
        <v>0</v>
      </c>
      <c r="G47" s="2469">
        <f ca="1"/>
        <v>0</v>
      </c>
      <c r="H47" s="2467" t="str">
        <f ca="1"/>
        <v/>
      </c>
      <c r="I47" s="2468">
        <f t="shared" ca="1" si="0"/>
        <v>0</v>
      </c>
    </row>
    <row r="48" spans="2:18" s="842" customFormat="1" ht="17.25" customHeight="1" thickBot="1">
      <c r="B48" s="2783" t="s">
        <v>529</v>
      </c>
      <c r="C48" s="1218">
        <f ca="1">SUM(C40:C47)</f>
        <v>7199.9999999999991</v>
      </c>
      <c r="D48" s="1219">
        <f ca="1">SUM(D40:D47)</f>
        <v>1</v>
      </c>
      <c r="E48" s="1220">
        <f ca="1">SUM(E40:E47)</f>
        <v>720</v>
      </c>
      <c r="F48" s="1221">
        <f ca="1">SUM(F40:F47)</f>
        <v>1</v>
      </c>
      <c r="G48" s="1222">
        <f ca="1">C48-E48</f>
        <v>6479.9999999999991</v>
      </c>
      <c r="H48" s="1217">
        <f ca="1">IFERROR(G48/C48,0)</f>
        <v>0.9</v>
      </c>
      <c r="I48" s="1223">
        <f ca="1">SUM(I40:I47)</f>
        <v>1</v>
      </c>
    </row>
    <row r="50" spans="1:16" s="61" customFormat="1" ht="18.75" customHeight="1">
      <c r="B50" s="59"/>
      <c r="P50" s="230"/>
    </row>
    <row r="51" spans="1:16" s="61" customFormat="1" ht="23.25" thickBot="1">
      <c r="B51" s="2458"/>
      <c r="C51" s="2735" t="str">
        <f>Parameters!C$77</f>
        <v>Year 1:   2027</v>
      </c>
      <c r="N51" s="230"/>
    </row>
    <row r="52" spans="1:16" s="61" customFormat="1" ht="16.5" customHeight="1" thickBot="1">
      <c r="B52" s="2474" t="str">
        <f t="array" ref="B52:I52">B$39:I$39</f>
        <v>Product Lines</v>
      </c>
      <c r="C52" s="2472" t="str">
        <v>Sales</v>
      </c>
      <c r="D52" s="2475" t="str">
        <v>% / Vtas</v>
      </c>
      <c r="E52" s="2472" t="str">
        <v>Cost</v>
      </c>
      <c r="F52" s="2476" t="str">
        <v>% / Ctes</v>
      </c>
      <c r="G52" s="2473" t="str">
        <v>Margin</v>
      </c>
      <c r="H52" s="2475" t="str">
        <v>margin %</v>
      </c>
      <c r="I52" s="433" t="str">
        <v>% contrib.</v>
      </c>
    </row>
    <row r="53" spans="1:16" s="61" customFormat="1" ht="18.75" customHeight="1">
      <c r="B53" s="2470" t="str">
        <f t="array" ref="B53:B60">productos</f>
        <v>product 1</v>
      </c>
      <c r="C53" s="2461">
        <f t="array" aca="1" ref="C53:C60" ca="1">'Sales Forecast 1'!N17:N24</f>
        <v>12360</v>
      </c>
      <c r="D53" s="2462">
        <f t="shared" ref="D53:D60" ca="1" si="1">IF($C$61=0,"",C53/$C$61)</f>
        <v>1</v>
      </c>
      <c r="E53" s="2461">
        <f t="array" aca="1" ref="E53:E60" ca="1">'DC Distr 1'!$N20:N27</f>
        <v>1236.0000000000002</v>
      </c>
      <c r="F53" s="2462">
        <f t="shared" ref="F53:F60" ca="1" si="2">IF($E$61=0,"",E53/$E$61)</f>
        <v>1</v>
      </c>
      <c r="G53" s="2461">
        <f t="array" aca="1" ref="G53:G60" ca="1">C53:C60-E53:E60</f>
        <v>11124</v>
      </c>
      <c r="H53" s="2463">
        <f t="array" aca="1" ref="H53:H60" ca="1">IF(C53:C60=0,"",G53:G60/C53:C60)</f>
        <v>0.9</v>
      </c>
      <c r="I53" s="2464">
        <f t="shared" ref="I53:I60" ca="1" si="3">IF($G$61=0,"",G53/$G$61)</f>
        <v>1</v>
      </c>
    </row>
    <row r="54" spans="1:16" s="61" customFormat="1" ht="14.25" customHeight="1">
      <c r="B54" s="2471" t="str">
        <v/>
      </c>
      <c r="C54" s="2465">
        <f ca="1"/>
        <v>0</v>
      </c>
      <c r="D54" s="2466">
        <f t="shared" ca="1" si="1"/>
        <v>0</v>
      </c>
      <c r="E54" s="2465">
        <f ca="1"/>
        <v>0</v>
      </c>
      <c r="F54" s="2466">
        <f t="shared" ca="1" si="2"/>
        <v>0</v>
      </c>
      <c r="G54" s="2465">
        <f ca="1"/>
        <v>0</v>
      </c>
      <c r="H54" s="2467" t="str">
        <f ca="1"/>
        <v/>
      </c>
      <c r="I54" s="2468">
        <f t="shared" ca="1" si="3"/>
        <v>0</v>
      </c>
    </row>
    <row r="55" spans="1:16" s="61" customFormat="1" ht="14.25" customHeight="1">
      <c r="B55" s="2471" t="str">
        <v/>
      </c>
      <c r="C55" s="2465">
        <f ca="1"/>
        <v>0</v>
      </c>
      <c r="D55" s="2466">
        <f t="shared" ca="1" si="1"/>
        <v>0</v>
      </c>
      <c r="E55" s="2465">
        <f ca="1"/>
        <v>0</v>
      </c>
      <c r="F55" s="2466">
        <f t="shared" ca="1" si="2"/>
        <v>0</v>
      </c>
      <c r="G55" s="2465">
        <f ca="1"/>
        <v>0</v>
      </c>
      <c r="H55" s="2467" t="str">
        <f ca="1"/>
        <v/>
      </c>
      <c r="I55" s="2468">
        <f t="shared" ca="1" si="3"/>
        <v>0</v>
      </c>
    </row>
    <row r="56" spans="1:16" s="61" customFormat="1" ht="14.25" customHeight="1">
      <c r="B56" s="2471" t="str">
        <v/>
      </c>
      <c r="C56" s="2465">
        <f ca="1"/>
        <v>0</v>
      </c>
      <c r="D56" s="2466">
        <f t="shared" ca="1" si="1"/>
        <v>0</v>
      </c>
      <c r="E56" s="2465">
        <f ca="1"/>
        <v>0</v>
      </c>
      <c r="F56" s="2466">
        <f t="shared" ca="1" si="2"/>
        <v>0</v>
      </c>
      <c r="G56" s="2465">
        <f ca="1"/>
        <v>0</v>
      </c>
      <c r="H56" s="2467" t="str">
        <f ca="1"/>
        <v/>
      </c>
      <c r="I56" s="2468">
        <f t="shared" ca="1" si="3"/>
        <v>0</v>
      </c>
    </row>
    <row r="57" spans="1:16" s="61" customFormat="1" ht="14.25" customHeight="1">
      <c r="B57" s="2471" t="str">
        <v/>
      </c>
      <c r="C57" s="2465">
        <f ca="1"/>
        <v>0</v>
      </c>
      <c r="D57" s="2466">
        <f t="shared" ca="1" si="1"/>
        <v>0</v>
      </c>
      <c r="E57" s="2465">
        <f ca="1"/>
        <v>0</v>
      </c>
      <c r="F57" s="2466">
        <f t="shared" ca="1" si="2"/>
        <v>0</v>
      </c>
      <c r="G57" s="2465">
        <f ca="1"/>
        <v>0</v>
      </c>
      <c r="H57" s="2467" t="str">
        <f ca="1"/>
        <v/>
      </c>
      <c r="I57" s="2468">
        <f t="shared" ca="1" si="3"/>
        <v>0</v>
      </c>
    </row>
    <row r="58" spans="1:16" s="61" customFormat="1" ht="14.25" customHeight="1">
      <c r="B58" s="2471" t="str">
        <v/>
      </c>
      <c r="C58" s="2465">
        <f ca="1"/>
        <v>0</v>
      </c>
      <c r="D58" s="2466">
        <f t="shared" ca="1" si="1"/>
        <v>0</v>
      </c>
      <c r="E58" s="2465">
        <f ca="1"/>
        <v>0</v>
      </c>
      <c r="F58" s="2466">
        <f t="shared" ca="1" si="2"/>
        <v>0</v>
      </c>
      <c r="G58" s="2465">
        <f ca="1"/>
        <v>0</v>
      </c>
      <c r="H58" s="2467" t="str">
        <f ca="1"/>
        <v/>
      </c>
      <c r="I58" s="2468">
        <f t="shared" ca="1" si="3"/>
        <v>0</v>
      </c>
    </row>
    <row r="59" spans="1:16" s="61" customFormat="1" ht="14.25" customHeight="1">
      <c r="B59" s="2471" t="str">
        <v/>
      </c>
      <c r="C59" s="2465">
        <f ca="1"/>
        <v>0</v>
      </c>
      <c r="D59" s="2466">
        <f t="shared" ca="1" si="1"/>
        <v>0</v>
      </c>
      <c r="E59" s="2465">
        <f ca="1"/>
        <v>0</v>
      </c>
      <c r="F59" s="2466">
        <f t="shared" ca="1" si="2"/>
        <v>0</v>
      </c>
      <c r="G59" s="2465">
        <f ca="1"/>
        <v>0</v>
      </c>
      <c r="H59" s="2467" t="str">
        <f ca="1"/>
        <v/>
      </c>
      <c r="I59" s="2468">
        <f t="shared" ca="1" si="3"/>
        <v>0</v>
      </c>
    </row>
    <row r="60" spans="1:16" s="61" customFormat="1" ht="14.25" customHeight="1" thickBot="1">
      <c r="B60" s="2471" t="str">
        <v/>
      </c>
      <c r="C60" s="2465">
        <f ca="1"/>
        <v>0</v>
      </c>
      <c r="D60" s="2466">
        <f t="shared" ca="1" si="1"/>
        <v>0</v>
      </c>
      <c r="E60" s="2465">
        <f ca="1"/>
        <v>0</v>
      </c>
      <c r="F60" s="2466">
        <f t="shared" ca="1" si="2"/>
        <v>0</v>
      </c>
      <c r="G60" s="2469">
        <f ca="1"/>
        <v>0</v>
      </c>
      <c r="H60" s="2467" t="str">
        <f ca="1"/>
        <v/>
      </c>
      <c r="I60" s="2468">
        <f t="shared" ca="1" si="3"/>
        <v>0</v>
      </c>
    </row>
    <row r="61" spans="1:16" s="842" customFormat="1" ht="17.25" customHeight="1" thickBot="1">
      <c r="B61" s="2783" t="str">
        <f>$B$48</f>
        <v>Yearly Total</v>
      </c>
      <c r="C61" s="1218">
        <f ca="1">SUM(C53:C60)</f>
        <v>12360</v>
      </c>
      <c r="D61" s="1219">
        <f ca="1">SUM(D53:D60)</f>
        <v>1</v>
      </c>
      <c r="E61" s="1220">
        <f ca="1">SUM(E53:E60)</f>
        <v>1236.0000000000002</v>
      </c>
      <c r="F61" s="1221">
        <f ca="1">SUM(F53:F60)</f>
        <v>1</v>
      </c>
      <c r="G61" s="1222">
        <f ca="1">C61-E61</f>
        <v>11124</v>
      </c>
      <c r="H61" s="1217">
        <f ca="1">IFERROR(G61/C61,0)</f>
        <v>0.9</v>
      </c>
      <c r="I61" s="1223">
        <f ca="1">SUM(I53:I60)</f>
        <v>1</v>
      </c>
    </row>
    <row r="63" spans="1:16" s="61" customFormat="1" ht="18.75" customHeight="1">
      <c r="B63" s="59"/>
      <c r="P63" s="230"/>
    </row>
    <row r="64" spans="1:16" s="61" customFormat="1" ht="23.25" thickBot="1">
      <c r="A64" s="60"/>
      <c r="B64" s="2458"/>
      <c r="C64" s="2735" t="str">
        <f>Parameters!D$77</f>
        <v>Year 2:   2028</v>
      </c>
      <c r="N64" s="230"/>
    </row>
    <row r="65" spans="1:14" s="61" customFormat="1" ht="16.5" customHeight="1" thickBot="1">
      <c r="B65" s="2474" t="str">
        <f t="array" ref="B65:I65">B$39:I$39</f>
        <v>Product Lines</v>
      </c>
      <c r="C65" s="2472" t="str">
        <v>Sales</v>
      </c>
      <c r="D65" s="2475" t="str">
        <v>% / Vtas</v>
      </c>
      <c r="E65" s="2472" t="str">
        <v>Cost</v>
      </c>
      <c r="F65" s="2476" t="str">
        <v>% / Ctes</v>
      </c>
      <c r="G65" s="2473" t="str">
        <v>Margin</v>
      </c>
      <c r="H65" s="2475" t="str">
        <v>margin %</v>
      </c>
      <c r="I65" s="433" t="str">
        <v>% contrib.</v>
      </c>
    </row>
    <row r="66" spans="1:14" s="61" customFormat="1" ht="18.75" customHeight="1">
      <c r="B66" s="2470" t="str">
        <f t="array" ref="B66:B73">productos</f>
        <v>product 1</v>
      </c>
      <c r="C66" s="2461">
        <f t="array" aca="1" ref="C66:C73" ca="1">'Sales Forecast 2'!N17:N24</f>
        <v>13367.339999999998</v>
      </c>
      <c r="D66" s="2462">
        <f t="shared" ref="D66:D73" ca="1" si="4">IF($C$74=0,"",C66/$C$74)</f>
        <v>1</v>
      </c>
      <c r="E66" s="2461">
        <f t="array" aca="1" ref="E66:E73" ca="1">'DC Distr 2'!$N20:N27</f>
        <v>1336.7340000000004</v>
      </c>
      <c r="F66" s="2462">
        <f t="shared" ref="F66:F73" ca="1" si="5">IF($E$74=0,"",E66/$E$74)</f>
        <v>1</v>
      </c>
      <c r="G66" s="2461">
        <f t="array" aca="1" ref="G66:G73" ca="1">C66:C73-E66:E73</f>
        <v>12030.605999999998</v>
      </c>
      <c r="H66" s="2463">
        <f t="array" aca="1" ref="H66:H73" ca="1">IF(C66:C73=0,"",G66:G73/C66:C73)</f>
        <v>0.89999999999999991</v>
      </c>
      <c r="I66" s="2464">
        <f t="shared" ref="I66:I73" ca="1" si="6">IF($G$74=0,"",G66/$G$74)</f>
        <v>1</v>
      </c>
    </row>
    <row r="67" spans="1:14" s="61" customFormat="1" ht="14.25" customHeight="1">
      <c r="B67" s="2471" t="str">
        <v/>
      </c>
      <c r="C67" s="2465">
        <f ca="1"/>
        <v>0</v>
      </c>
      <c r="D67" s="2466">
        <f t="shared" ca="1" si="4"/>
        <v>0</v>
      </c>
      <c r="E67" s="2465">
        <f ca="1"/>
        <v>0</v>
      </c>
      <c r="F67" s="2466">
        <f t="shared" ca="1" si="5"/>
        <v>0</v>
      </c>
      <c r="G67" s="2465">
        <f ca="1"/>
        <v>0</v>
      </c>
      <c r="H67" s="2467" t="str">
        <f ca="1"/>
        <v/>
      </c>
      <c r="I67" s="2468">
        <f t="shared" ca="1" si="6"/>
        <v>0</v>
      </c>
    </row>
    <row r="68" spans="1:14" s="61" customFormat="1" ht="14.25" customHeight="1">
      <c r="B68" s="2471" t="str">
        <v/>
      </c>
      <c r="C68" s="2465">
        <f ca="1"/>
        <v>0</v>
      </c>
      <c r="D68" s="2466">
        <f t="shared" ca="1" si="4"/>
        <v>0</v>
      </c>
      <c r="E68" s="2465">
        <f ca="1"/>
        <v>0</v>
      </c>
      <c r="F68" s="2466">
        <f t="shared" ca="1" si="5"/>
        <v>0</v>
      </c>
      <c r="G68" s="2465">
        <f ca="1"/>
        <v>0</v>
      </c>
      <c r="H68" s="2467" t="str">
        <f ca="1"/>
        <v/>
      </c>
      <c r="I68" s="2468">
        <f t="shared" ca="1" si="6"/>
        <v>0</v>
      </c>
    </row>
    <row r="69" spans="1:14" s="61" customFormat="1" ht="14.25" customHeight="1">
      <c r="B69" s="2471" t="str">
        <v/>
      </c>
      <c r="C69" s="2465">
        <f ca="1"/>
        <v>0</v>
      </c>
      <c r="D69" s="2466">
        <f t="shared" ca="1" si="4"/>
        <v>0</v>
      </c>
      <c r="E69" s="2465">
        <f ca="1"/>
        <v>0</v>
      </c>
      <c r="F69" s="2466">
        <f t="shared" ca="1" si="5"/>
        <v>0</v>
      </c>
      <c r="G69" s="2465">
        <f ca="1"/>
        <v>0</v>
      </c>
      <c r="H69" s="2467" t="str">
        <f ca="1"/>
        <v/>
      </c>
      <c r="I69" s="2468">
        <f t="shared" ca="1" si="6"/>
        <v>0</v>
      </c>
    </row>
    <row r="70" spans="1:14" s="61" customFormat="1" ht="14.25" customHeight="1">
      <c r="B70" s="2471" t="str">
        <v/>
      </c>
      <c r="C70" s="2465">
        <f ca="1"/>
        <v>0</v>
      </c>
      <c r="D70" s="2466">
        <f t="shared" ca="1" si="4"/>
        <v>0</v>
      </c>
      <c r="E70" s="2465">
        <f ca="1"/>
        <v>0</v>
      </c>
      <c r="F70" s="2466">
        <f t="shared" ca="1" si="5"/>
        <v>0</v>
      </c>
      <c r="G70" s="2465">
        <f ca="1"/>
        <v>0</v>
      </c>
      <c r="H70" s="2467" t="str">
        <f ca="1"/>
        <v/>
      </c>
      <c r="I70" s="2468">
        <f t="shared" ca="1" si="6"/>
        <v>0</v>
      </c>
    </row>
    <row r="71" spans="1:14" s="61" customFormat="1" ht="14.25" customHeight="1">
      <c r="B71" s="2471" t="str">
        <v/>
      </c>
      <c r="C71" s="2465">
        <f ca="1"/>
        <v>0</v>
      </c>
      <c r="D71" s="2466">
        <f t="shared" ca="1" si="4"/>
        <v>0</v>
      </c>
      <c r="E71" s="2465">
        <f ca="1"/>
        <v>0</v>
      </c>
      <c r="F71" s="2466">
        <f t="shared" ca="1" si="5"/>
        <v>0</v>
      </c>
      <c r="G71" s="2465">
        <f ca="1"/>
        <v>0</v>
      </c>
      <c r="H71" s="2467" t="str">
        <f ca="1"/>
        <v/>
      </c>
      <c r="I71" s="2468">
        <f t="shared" ca="1" si="6"/>
        <v>0</v>
      </c>
    </row>
    <row r="72" spans="1:14" s="61" customFormat="1" ht="14.25" customHeight="1">
      <c r="B72" s="2471" t="str">
        <v/>
      </c>
      <c r="C72" s="2465">
        <f ca="1"/>
        <v>0</v>
      </c>
      <c r="D72" s="2466">
        <f t="shared" ca="1" si="4"/>
        <v>0</v>
      </c>
      <c r="E72" s="2465">
        <f ca="1"/>
        <v>0</v>
      </c>
      <c r="F72" s="2466">
        <f t="shared" ca="1" si="5"/>
        <v>0</v>
      </c>
      <c r="G72" s="2465">
        <f ca="1"/>
        <v>0</v>
      </c>
      <c r="H72" s="2467" t="str">
        <f ca="1"/>
        <v/>
      </c>
      <c r="I72" s="2468">
        <f t="shared" ca="1" si="6"/>
        <v>0</v>
      </c>
    </row>
    <row r="73" spans="1:14" s="61" customFormat="1" ht="14.25" customHeight="1" thickBot="1">
      <c r="B73" s="2471" t="str">
        <v/>
      </c>
      <c r="C73" s="2465">
        <f ca="1"/>
        <v>0</v>
      </c>
      <c r="D73" s="2466">
        <f t="shared" ca="1" si="4"/>
        <v>0</v>
      </c>
      <c r="E73" s="2465">
        <f ca="1"/>
        <v>0</v>
      </c>
      <c r="F73" s="2466">
        <f t="shared" ca="1" si="5"/>
        <v>0</v>
      </c>
      <c r="G73" s="2469">
        <f ca="1"/>
        <v>0</v>
      </c>
      <c r="H73" s="2467" t="str">
        <f ca="1"/>
        <v/>
      </c>
      <c r="I73" s="2468">
        <f t="shared" ca="1" si="6"/>
        <v>0</v>
      </c>
    </row>
    <row r="74" spans="1:14" s="842" customFormat="1" ht="17.25" customHeight="1" thickBot="1">
      <c r="B74" s="2783" t="str">
        <f>$B$48</f>
        <v>Yearly Total</v>
      </c>
      <c r="C74" s="1218">
        <f ca="1">SUM(C66:C73)</f>
        <v>13367.339999999998</v>
      </c>
      <c r="D74" s="1219">
        <f ca="1">SUM(D66:D73)</f>
        <v>1</v>
      </c>
      <c r="E74" s="1220">
        <f ca="1">SUM(E66:E73)</f>
        <v>1336.7340000000004</v>
      </c>
      <c r="F74" s="1221">
        <f ca="1">SUM(F66:F73)</f>
        <v>1</v>
      </c>
      <c r="G74" s="1222">
        <f ca="1">C74-E74</f>
        <v>12030.605999999998</v>
      </c>
      <c r="H74" s="1217">
        <f ca="1">IFERROR(G74/C74,0)</f>
        <v>0.89999999999999991</v>
      </c>
      <c r="I74" s="1223">
        <f ca="1">SUM(I66:I73)</f>
        <v>1</v>
      </c>
    </row>
    <row r="77" spans="1:14" s="61" customFormat="1" ht="23.25" thickBot="1">
      <c r="A77" s="60"/>
      <c r="B77" s="2458"/>
      <c r="C77" s="2735" t="str">
        <f>Parameters!E$77</f>
        <v>Year 3:   2029</v>
      </c>
      <c r="N77" s="230"/>
    </row>
    <row r="78" spans="1:14" s="61" customFormat="1" ht="16.5" customHeight="1" thickBot="1">
      <c r="B78" s="2474" t="str">
        <f t="array" ref="B78:I78">B$39:I$39</f>
        <v>Product Lines</v>
      </c>
      <c r="C78" s="2472" t="str">
        <v>Sales</v>
      </c>
      <c r="D78" s="2475" t="str">
        <v>% / Vtas</v>
      </c>
      <c r="E78" s="2472" t="str">
        <v>Cost</v>
      </c>
      <c r="F78" s="2476" t="str">
        <v>% / Ctes</v>
      </c>
      <c r="G78" s="2473" t="str">
        <v>Margin</v>
      </c>
      <c r="H78" s="2475" t="str">
        <v>margin %</v>
      </c>
      <c r="I78" s="433" t="str">
        <v>% contrib.</v>
      </c>
    </row>
    <row r="79" spans="1:14" s="61" customFormat="1" ht="18.75" customHeight="1">
      <c r="B79" s="2470" t="str">
        <f t="array" ref="B79:B86">productos</f>
        <v>product 1</v>
      </c>
      <c r="C79" s="2461">
        <f t="array" aca="1" ref="C79:C86" ca="1">'Sales Forecast 3'!N17:N24</f>
        <v>14463.334572</v>
      </c>
      <c r="D79" s="2462">
        <f t="shared" ref="D79:D86" ca="1" si="7">IF($C$87=0,"",C79/$C$87)</f>
        <v>1</v>
      </c>
      <c r="E79" s="2461">
        <f t="array" aca="1" ref="E79:E86" ca="1">+'DC Distr 3'!$N20:N27</f>
        <v>1446.3334571999997</v>
      </c>
      <c r="F79" s="2462">
        <f t="shared" ref="F79:F86" ca="1" si="8">IF($E$87=0,"",E79/$E$87)</f>
        <v>1</v>
      </c>
      <c r="G79" s="2461">
        <f t="array" aca="1" ref="G79:G86" ca="1">C79:C86-E79:E86</f>
        <v>13017.001114799999</v>
      </c>
      <c r="H79" s="2463">
        <f t="array" aca="1" ref="H79:H86" ca="1">IF(C79:C86=0,"",G79:G86/C79:C86)</f>
        <v>0.9</v>
      </c>
      <c r="I79" s="2464">
        <f t="shared" ref="I79:I86" ca="1" si="9">IF($G$87=0,"",G79/$G$87)</f>
        <v>1</v>
      </c>
    </row>
    <row r="80" spans="1:14" s="61" customFormat="1" ht="14.25" customHeight="1">
      <c r="B80" s="2471" t="str">
        <v/>
      </c>
      <c r="C80" s="2465">
        <f ca="1"/>
        <v>0</v>
      </c>
      <c r="D80" s="2466">
        <f t="shared" ca="1" si="7"/>
        <v>0</v>
      </c>
      <c r="E80" s="2465">
        <f ca="1"/>
        <v>0</v>
      </c>
      <c r="F80" s="2466">
        <f t="shared" ca="1" si="8"/>
        <v>0</v>
      </c>
      <c r="G80" s="2465">
        <f ca="1"/>
        <v>0</v>
      </c>
      <c r="H80" s="2467" t="str">
        <f ca="1"/>
        <v/>
      </c>
      <c r="I80" s="2468">
        <f t="shared" ca="1" si="9"/>
        <v>0</v>
      </c>
    </row>
    <row r="81" spans="1:14" s="61" customFormat="1" ht="14.25" customHeight="1">
      <c r="B81" s="2471" t="str">
        <v/>
      </c>
      <c r="C81" s="2465">
        <f ca="1"/>
        <v>0</v>
      </c>
      <c r="D81" s="2466">
        <f t="shared" ca="1" si="7"/>
        <v>0</v>
      </c>
      <c r="E81" s="2465">
        <f ca="1"/>
        <v>0</v>
      </c>
      <c r="F81" s="2466">
        <f t="shared" ca="1" si="8"/>
        <v>0</v>
      </c>
      <c r="G81" s="2465">
        <f ca="1"/>
        <v>0</v>
      </c>
      <c r="H81" s="2467" t="str">
        <f ca="1"/>
        <v/>
      </c>
      <c r="I81" s="2468">
        <f t="shared" ca="1" si="9"/>
        <v>0</v>
      </c>
    </row>
    <row r="82" spans="1:14" s="61" customFormat="1" ht="14.25" customHeight="1">
      <c r="B82" s="2471" t="str">
        <v/>
      </c>
      <c r="C82" s="2465">
        <f ca="1"/>
        <v>0</v>
      </c>
      <c r="D82" s="2466">
        <f t="shared" ca="1" si="7"/>
        <v>0</v>
      </c>
      <c r="E82" s="2465">
        <f ca="1"/>
        <v>0</v>
      </c>
      <c r="F82" s="2466">
        <f t="shared" ca="1" si="8"/>
        <v>0</v>
      </c>
      <c r="G82" s="2465">
        <f ca="1"/>
        <v>0</v>
      </c>
      <c r="H82" s="2467" t="str">
        <f ca="1"/>
        <v/>
      </c>
      <c r="I82" s="2468">
        <f t="shared" ca="1" si="9"/>
        <v>0</v>
      </c>
    </row>
    <row r="83" spans="1:14" s="61" customFormat="1" ht="14.25" customHeight="1">
      <c r="B83" s="2471" t="str">
        <v/>
      </c>
      <c r="C83" s="2465">
        <f ca="1"/>
        <v>0</v>
      </c>
      <c r="D83" s="2466">
        <f t="shared" ca="1" si="7"/>
        <v>0</v>
      </c>
      <c r="E83" s="2465">
        <f ca="1"/>
        <v>0</v>
      </c>
      <c r="F83" s="2466">
        <f t="shared" ca="1" si="8"/>
        <v>0</v>
      </c>
      <c r="G83" s="2465">
        <f ca="1"/>
        <v>0</v>
      </c>
      <c r="H83" s="2467" t="str">
        <f ca="1"/>
        <v/>
      </c>
      <c r="I83" s="2468">
        <f t="shared" ca="1" si="9"/>
        <v>0</v>
      </c>
    </row>
    <row r="84" spans="1:14" s="61" customFormat="1" ht="14.25" customHeight="1">
      <c r="B84" s="2471" t="str">
        <v/>
      </c>
      <c r="C84" s="2465">
        <f ca="1"/>
        <v>0</v>
      </c>
      <c r="D84" s="2466">
        <f t="shared" ca="1" si="7"/>
        <v>0</v>
      </c>
      <c r="E84" s="2465">
        <f ca="1"/>
        <v>0</v>
      </c>
      <c r="F84" s="2466">
        <f t="shared" ca="1" si="8"/>
        <v>0</v>
      </c>
      <c r="G84" s="2465">
        <f ca="1"/>
        <v>0</v>
      </c>
      <c r="H84" s="2467" t="str">
        <f ca="1"/>
        <v/>
      </c>
      <c r="I84" s="2468">
        <f t="shared" ca="1" si="9"/>
        <v>0</v>
      </c>
    </row>
    <row r="85" spans="1:14" s="61" customFormat="1" ht="14.25" customHeight="1">
      <c r="B85" s="2471" t="str">
        <v/>
      </c>
      <c r="C85" s="2465">
        <f ca="1"/>
        <v>0</v>
      </c>
      <c r="D85" s="2466">
        <f t="shared" ca="1" si="7"/>
        <v>0</v>
      </c>
      <c r="E85" s="2465">
        <f ca="1"/>
        <v>0</v>
      </c>
      <c r="F85" s="2466">
        <f t="shared" ca="1" si="8"/>
        <v>0</v>
      </c>
      <c r="G85" s="2465">
        <f ca="1"/>
        <v>0</v>
      </c>
      <c r="H85" s="2467" t="str">
        <f ca="1"/>
        <v/>
      </c>
      <c r="I85" s="2468">
        <f t="shared" ca="1" si="9"/>
        <v>0</v>
      </c>
    </row>
    <row r="86" spans="1:14" s="61" customFormat="1" ht="14.25" customHeight="1" thickBot="1">
      <c r="B86" s="2471" t="str">
        <v/>
      </c>
      <c r="C86" s="2465">
        <f ca="1"/>
        <v>0</v>
      </c>
      <c r="D86" s="2466">
        <f t="shared" ca="1" si="7"/>
        <v>0</v>
      </c>
      <c r="E86" s="2465">
        <f ca="1"/>
        <v>0</v>
      </c>
      <c r="F86" s="2466">
        <f t="shared" ca="1" si="8"/>
        <v>0</v>
      </c>
      <c r="G86" s="2469">
        <f ca="1"/>
        <v>0</v>
      </c>
      <c r="H86" s="2467" t="str">
        <f ca="1"/>
        <v/>
      </c>
      <c r="I86" s="2468">
        <f t="shared" ca="1" si="9"/>
        <v>0</v>
      </c>
    </row>
    <row r="87" spans="1:14" s="842" customFormat="1" ht="17.25" customHeight="1" thickBot="1">
      <c r="B87" s="2783" t="str">
        <f>$B$48</f>
        <v>Yearly Total</v>
      </c>
      <c r="C87" s="1218">
        <f ca="1">SUM(C79:C86)</f>
        <v>14463.334572</v>
      </c>
      <c r="D87" s="1219">
        <f ca="1">SUM(D79:D86)</f>
        <v>1</v>
      </c>
      <c r="E87" s="1220">
        <f ca="1">SUM(E79:E86)</f>
        <v>1446.3334571999997</v>
      </c>
      <c r="F87" s="1221">
        <f ca="1">SUM(F79:F86)</f>
        <v>1</v>
      </c>
      <c r="G87" s="1222">
        <f ca="1">C87-E87</f>
        <v>13017.001114799999</v>
      </c>
      <c r="H87" s="1217">
        <f ca="1">IFERROR(G87/C87,0)</f>
        <v>0.9</v>
      </c>
      <c r="I87" s="1223">
        <f ca="1">SUM(I79:I86)</f>
        <v>1</v>
      </c>
    </row>
    <row r="90" spans="1:14" s="61" customFormat="1" ht="23.25" thickBot="1">
      <c r="A90" s="60"/>
      <c r="B90" s="2458"/>
      <c r="C90" s="2735" t="str">
        <f>Parameters!F$77</f>
        <v>Year 4:   2030</v>
      </c>
      <c r="N90" s="230"/>
    </row>
    <row r="91" spans="1:14" s="61" customFormat="1" ht="16.5" customHeight="1" thickBot="1">
      <c r="B91" s="2474" t="str">
        <f t="array" ref="B91:I91">B$39:I$39</f>
        <v>Product Lines</v>
      </c>
      <c r="C91" s="2472" t="str">
        <v>Sales</v>
      </c>
      <c r="D91" s="2475" t="str">
        <v>% / Vtas</v>
      </c>
      <c r="E91" s="2472" t="str">
        <v>Cost</v>
      </c>
      <c r="F91" s="2476" t="str">
        <v>% / Ctes</v>
      </c>
      <c r="G91" s="2473" t="str">
        <v>Margin</v>
      </c>
      <c r="H91" s="2475" t="str">
        <v>margin %</v>
      </c>
      <c r="I91" s="433" t="str">
        <v>% contrib.</v>
      </c>
    </row>
    <row r="92" spans="1:14" s="61" customFormat="1" ht="18.75" customHeight="1">
      <c r="B92" s="2470" t="str">
        <f t="array" ref="B92:B99">productos</f>
        <v>product 1</v>
      </c>
      <c r="C92" s="2461">
        <f t="array" aca="1" ref="C92:C99" ca="1">'Sales Forecast 4'!N17:N24</f>
        <v>15640.070423759998</v>
      </c>
      <c r="D92" s="2462">
        <f t="shared" ref="D92:D99" ca="1" si="10">IF($C$100=0,"",C92/$C$100)</f>
        <v>1</v>
      </c>
      <c r="E92" s="2461">
        <f t="array" aca="1" ref="E92:E99" ca="1">'DC Distr 4'!$N20:N27</f>
        <v>1564.0070423760001</v>
      </c>
      <c r="F92" s="2462">
        <f t="shared" ref="F92:F99" ca="1" si="11">IF($E$100=0,"",E92/$E$100)</f>
        <v>1</v>
      </c>
      <c r="G92" s="2461">
        <f t="array" aca="1" ref="G92:G99" ca="1">C92:C99-E92:E99</f>
        <v>14076.063381383998</v>
      </c>
      <c r="H92" s="2463">
        <f t="array" aca="1" ref="H92:H99" ca="1">IF(C92:C99=0,"",G92:G99/C92:C99)</f>
        <v>0.89999999999999991</v>
      </c>
      <c r="I92" s="2464">
        <f t="shared" ref="I92:I99" ca="1" si="12">IF($G$100=0,"",G92/$G$100)</f>
        <v>1</v>
      </c>
    </row>
    <row r="93" spans="1:14" s="61" customFormat="1" ht="14.25" customHeight="1">
      <c r="B93" s="2471" t="str">
        <v/>
      </c>
      <c r="C93" s="2465">
        <f ca="1"/>
        <v>0</v>
      </c>
      <c r="D93" s="2466">
        <f t="shared" ca="1" si="10"/>
        <v>0</v>
      </c>
      <c r="E93" s="2465">
        <f ca="1"/>
        <v>0</v>
      </c>
      <c r="F93" s="2466">
        <f t="shared" ca="1" si="11"/>
        <v>0</v>
      </c>
      <c r="G93" s="2465">
        <f ca="1"/>
        <v>0</v>
      </c>
      <c r="H93" s="2467" t="str">
        <f ca="1"/>
        <v/>
      </c>
      <c r="I93" s="2468">
        <f t="shared" ca="1" si="12"/>
        <v>0</v>
      </c>
    </row>
    <row r="94" spans="1:14" s="61" customFormat="1" ht="14.25" customHeight="1">
      <c r="B94" s="2471" t="str">
        <v/>
      </c>
      <c r="C94" s="2465">
        <f ca="1"/>
        <v>0</v>
      </c>
      <c r="D94" s="2466">
        <f t="shared" ca="1" si="10"/>
        <v>0</v>
      </c>
      <c r="E94" s="2465">
        <f ca="1"/>
        <v>0</v>
      </c>
      <c r="F94" s="2466">
        <f t="shared" ca="1" si="11"/>
        <v>0</v>
      </c>
      <c r="G94" s="2465">
        <f ca="1"/>
        <v>0</v>
      </c>
      <c r="H94" s="2467" t="str">
        <f ca="1"/>
        <v/>
      </c>
      <c r="I94" s="2468">
        <f t="shared" ca="1" si="12"/>
        <v>0</v>
      </c>
    </row>
    <row r="95" spans="1:14" s="61" customFormat="1" ht="14.25" customHeight="1">
      <c r="B95" s="2471" t="str">
        <v/>
      </c>
      <c r="C95" s="2465">
        <f ca="1"/>
        <v>0</v>
      </c>
      <c r="D95" s="2466">
        <f t="shared" ca="1" si="10"/>
        <v>0</v>
      </c>
      <c r="E95" s="2465">
        <f ca="1"/>
        <v>0</v>
      </c>
      <c r="F95" s="2466">
        <f t="shared" ca="1" si="11"/>
        <v>0</v>
      </c>
      <c r="G95" s="2465">
        <f ca="1"/>
        <v>0</v>
      </c>
      <c r="H95" s="2467" t="str">
        <f ca="1"/>
        <v/>
      </c>
      <c r="I95" s="2468">
        <f t="shared" ca="1" si="12"/>
        <v>0</v>
      </c>
    </row>
    <row r="96" spans="1:14" s="61" customFormat="1" ht="14.25" customHeight="1">
      <c r="B96" s="2471" t="str">
        <v/>
      </c>
      <c r="C96" s="2465">
        <f ca="1"/>
        <v>0</v>
      </c>
      <c r="D96" s="2466">
        <f t="shared" ca="1" si="10"/>
        <v>0</v>
      </c>
      <c r="E96" s="2465">
        <f ca="1"/>
        <v>0</v>
      </c>
      <c r="F96" s="2466">
        <f t="shared" ca="1" si="11"/>
        <v>0</v>
      </c>
      <c r="G96" s="2465">
        <f ca="1"/>
        <v>0</v>
      </c>
      <c r="H96" s="2467" t="str">
        <f ca="1"/>
        <v/>
      </c>
      <c r="I96" s="2468">
        <f t="shared" ca="1" si="12"/>
        <v>0</v>
      </c>
    </row>
    <row r="97" spans="2:9" s="61" customFormat="1" ht="14.25" customHeight="1">
      <c r="B97" s="2471" t="str">
        <v/>
      </c>
      <c r="C97" s="2465">
        <f ca="1"/>
        <v>0</v>
      </c>
      <c r="D97" s="2466">
        <f t="shared" ca="1" si="10"/>
        <v>0</v>
      </c>
      <c r="E97" s="2465">
        <f ca="1"/>
        <v>0</v>
      </c>
      <c r="F97" s="2466">
        <f t="shared" ca="1" si="11"/>
        <v>0</v>
      </c>
      <c r="G97" s="2465">
        <f ca="1"/>
        <v>0</v>
      </c>
      <c r="H97" s="2467" t="str">
        <f ca="1"/>
        <v/>
      </c>
      <c r="I97" s="2468">
        <f t="shared" ca="1" si="12"/>
        <v>0</v>
      </c>
    </row>
    <row r="98" spans="2:9" s="61" customFormat="1" ht="14.25" customHeight="1">
      <c r="B98" s="2471" t="str">
        <v/>
      </c>
      <c r="C98" s="2465">
        <f ca="1"/>
        <v>0</v>
      </c>
      <c r="D98" s="2466">
        <f t="shared" ca="1" si="10"/>
        <v>0</v>
      </c>
      <c r="E98" s="2465">
        <f ca="1"/>
        <v>0</v>
      </c>
      <c r="F98" s="2466">
        <f t="shared" ca="1" si="11"/>
        <v>0</v>
      </c>
      <c r="G98" s="2465">
        <f ca="1"/>
        <v>0</v>
      </c>
      <c r="H98" s="2467" t="str">
        <f ca="1"/>
        <v/>
      </c>
      <c r="I98" s="2468">
        <f t="shared" ca="1" si="12"/>
        <v>0</v>
      </c>
    </row>
    <row r="99" spans="2:9" s="61" customFormat="1" ht="14.25" customHeight="1" thickBot="1">
      <c r="B99" s="2471" t="str">
        <v/>
      </c>
      <c r="C99" s="2465">
        <f ca="1"/>
        <v>0</v>
      </c>
      <c r="D99" s="2466">
        <f t="shared" ca="1" si="10"/>
        <v>0</v>
      </c>
      <c r="E99" s="2465">
        <f ca="1"/>
        <v>0</v>
      </c>
      <c r="F99" s="2466">
        <f t="shared" ca="1" si="11"/>
        <v>0</v>
      </c>
      <c r="G99" s="2469">
        <f ca="1"/>
        <v>0</v>
      </c>
      <c r="H99" s="2467" t="str">
        <f ca="1"/>
        <v/>
      </c>
      <c r="I99" s="2468">
        <f t="shared" ca="1" si="12"/>
        <v>0</v>
      </c>
    </row>
    <row r="100" spans="2:9" s="842" customFormat="1" ht="17.25" customHeight="1" thickBot="1">
      <c r="B100" s="2783" t="str">
        <f>$B$48</f>
        <v>Yearly Total</v>
      </c>
      <c r="C100" s="1218">
        <f ca="1">SUM(C92:C99)</f>
        <v>15640.070423759998</v>
      </c>
      <c r="D100" s="1219">
        <f ca="1">SUM(D92:D99)</f>
        <v>1</v>
      </c>
      <c r="E100" s="1220">
        <f ca="1">SUM(E92:E99)</f>
        <v>1564.0070423760001</v>
      </c>
      <c r="F100" s="1221">
        <f ca="1">SUM(F92:F99)</f>
        <v>1</v>
      </c>
      <c r="G100" s="1222">
        <f ca="1">C100-E100</f>
        <v>14076.063381383998</v>
      </c>
      <c r="H100" s="1217">
        <f ca="1">IFERROR(G100/C100,0)</f>
        <v>0.89999999999999991</v>
      </c>
      <c r="I100" s="1223">
        <f ca="1">SUM(I92:I99)</f>
        <v>1</v>
      </c>
    </row>
  </sheetData>
  <sheetProtection sheet="1" objects="1" scenarios="1"/>
  <phoneticPr fontId="7" type="noConversion"/>
  <conditionalFormatting sqref="B35:H35">
    <cfRule type="expression" dxfId="5" priority="1" stopIfTrue="1">
      <formula>$I$35&gt;0</formula>
    </cfRule>
  </conditionalFormatting>
  <printOptions horizontalCentered="1"/>
  <pageMargins left="0.75" right="0.75" top="1" bottom="1" header="0" footer="0"/>
  <pageSetup paperSize="9" scale="75" fitToHeight="2" orientation="landscape" horizontalDpi="300" verticalDpi="300" r:id="rId1"/>
  <headerFooter alignWithMargins="0"/>
  <rowBreaks count="1" manualBreakCount="1">
    <brk id="33" min="1" max="8" man="1"/>
  </rowBreaks>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34">
    <pageSetUpPr fitToPage="1"/>
  </sheetPr>
  <dimension ref="A1:AU70"/>
  <sheetViews>
    <sheetView showGridLines="0" zoomScale="85" zoomScaleNormal="85" workbookViewId="0">
      <selection activeCell="C11" sqref="C11"/>
    </sheetView>
  </sheetViews>
  <sheetFormatPr baseColWidth="10" defaultColWidth="11" defaultRowHeight="15"/>
  <cols>
    <col min="1" max="1" width="41.625" style="35" customWidth="1"/>
    <col min="2" max="2" width="61.5" style="35" customWidth="1"/>
    <col min="3" max="3" width="13.75" style="35" customWidth="1"/>
    <col min="4" max="4" width="10.75" style="35" customWidth="1"/>
    <col min="5" max="7" width="11.125" style="35" customWidth="1"/>
    <col min="8" max="9" width="11" style="35"/>
    <col min="10" max="11" width="13" style="35" bestFit="1" customWidth="1"/>
    <col min="12" max="15" width="11" style="35"/>
    <col min="16" max="16" width="11.375" style="35" bestFit="1" customWidth="1"/>
    <col min="17" max="19" width="11.75" style="35" customWidth="1"/>
    <col min="20" max="20" width="11.5" style="35" bestFit="1" customWidth="1"/>
    <col min="21" max="21" width="11.375" style="35" bestFit="1" customWidth="1"/>
    <col min="22" max="22" width="11.5" style="35" bestFit="1" customWidth="1"/>
    <col min="23" max="39" width="11.375" style="35" bestFit="1" customWidth="1"/>
    <col min="40" max="46" width="11.125" style="35" bestFit="1" customWidth="1"/>
    <col min="47" max="16384" width="11" style="35"/>
  </cols>
  <sheetData>
    <row r="1" spans="1:7" ht="25.5">
      <c r="A1" s="552" t="s">
        <v>5</v>
      </c>
      <c r="B1" s="620"/>
      <c r="C1" s="621"/>
      <c r="D1" s="621"/>
      <c r="E1" s="211"/>
      <c r="F1" s="211"/>
      <c r="G1" s="211"/>
    </row>
    <row r="2" spans="1:7" ht="26.25" thickBot="1">
      <c r="A2" s="552" t="str">
        <f>'Base Data'!B9</f>
        <v>WWW, Ltd.</v>
      </c>
      <c r="B2" s="60"/>
      <c r="C2" s="622"/>
      <c r="D2" s="622"/>
      <c r="E2" s="623"/>
      <c r="F2" s="623"/>
      <c r="G2" s="623"/>
    </row>
    <row r="3" spans="1:7" ht="15.75" thickBot="1">
      <c r="A3" s="1389" t="s">
        <v>816</v>
      </c>
      <c r="B3" s="1390" t="s">
        <v>6</v>
      </c>
      <c r="C3" s="1390" t="str">
        <f>CONCATENATE(Parameters!D62,IF(mes0=1,"","  (*)"))</f>
        <v>Year 0</v>
      </c>
      <c r="D3" s="2736">
        <f t="array" ref="D3:G3">Parameters!F62:I62</f>
        <v>2</v>
      </c>
      <c r="E3" s="2737">
        <v>3</v>
      </c>
      <c r="F3" s="2736">
        <v>4</v>
      </c>
      <c r="G3" s="2738">
        <v>0</v>
      </c>
    </row>
    <row r="4" spans="1:7" ht="17.25" customHeight="1">
      <c r="A4" s="1239" t="s">
        <v>819</v>
      </c>
      <c r="B4" s="1226" t="s">
        <v>821</v>
      </c>
      <c r="C4" s="1656">
        <f ca="1">IF('Balance Sheet Statements (EU)'!F26=0,"N/A",'Corporate Income Tax'!B24/'Balance Sheet Statements (EU)'!F26)</f>
        <v>1.3363719654494852</v>
      </c>
      <c r="D4" s="1657">
        <f ca="1">'Corporate Income Tax'!D24/'Balance Sheet Statements (EU)'!H26</f>
        <v>0.43547371862328754</v>
      </c>
      <c r="E4" s="1658">
        <f ca="1">'Corporate Income Tax'!G24/'Balance Sheet Statements (EU)'!J26</f>
        <v>0.2927780430990426</v>
      </c>
      <c r="F4" s="1659">
        <f ca="1">'Corporate Income Tax'!J24/'Balance Sheet Statements (EU)'!L26</f>
        <v>0.21543114029586738</v>
      </c>
      <c r="G4" s="1660">
        <f ca="1">'Corporate Income Tax'!M24/'Balance Sheet Statements (EU)'!N26</f>
        <v>0.16608173922143707</v>
      </c>
    </row>
    <row r="5" spans="1:7">
      <c r="A5" s="1239" t="s">
        <v>818</v>
      </c>
      <c r="B5" s="1226"/>
      <c r="C5" s="1270"/>
      <c r="D5" s="1271"/>
      <c r="E5" s="1272"/>
      <c r="F5" s="1271"/>
      <c r="G5" s="1273"/>
    </row>
    <row r="6" spans="1:7" ht="17.25" customHeight="1">
      <c r="A6" s="1240" t="s">
        <v>1116</v>
      </c>
      <c r="B6" s="1227" t="s">
        <v>823</v>
      </c>
      <c r="C6" s="1661">
        <f ca="1">IF('Balance Sheet Statements (EU)'!F24=0,"N/A",'Yearly Income St'!B29/'Balance Sheet Statements (EU)'!F24)</f>
        <v>1.3729299241454413</v>
      </c>
      <c r="D6" s="1662">
        <f ca="1">'Yearly Income St'!D29/'Balance Sheet Statements (EU)'!H24</f>
        <v>0.44222723753304471</v>
      </c>
      <c r="E6" s="1663">
        <f ca="1">'Yearly Income St'!G29/'Balance Sheet Statements (EU)'!J24</f>
        <v>0.29623857927308139</v>
      </c>
      <c r="F6" s="1664">
        <f ca="1">'Yearly Income St'!J29/'Balance Sheet Statements (EU)'!L24</f>
        <v>0.21758901976436693</v>
      </c>
      <c r="G6" s="1665">
        <f ca="1">'Yearly Income St'!M29/'Balance Sheet Statements (EU)'!N24</f>
        <v>0.16758052528278333</v>
      </c>
    </row>
    <row r="7" spans="1:7">
      <c r="A7" s="1241" t="s">
        <v>1117</v>
      </c>
      <c r="B7" s="1228"/>
      <c r="C7" s="1274"/>
      <c r="D7" s="1275"/>
      <c r="E7" s="1276"/>
      <c r="F7" s="1275"/>
      <c r="G7" s="1277"/>
    </row>
    <row r="8" spans="1:7" ht="17.25" customHeight="1">
      <c r="A8" s="1239" t="s">
        <v>820</v>
      </c>
      <c r="B8" s="1226" t="s">
        <v>822</v>
      </c>
      <c r="C8" s="1666">
        <f ca="1">IF('Income St 0'!$N5=0,"N/A",'Corporate Income Tax'!B24/'Income St 0'!$N5)</f>
        <v>-1.2884333333333333</v>
      </c>
      <c r="D8" s="1662">
        <f ca="1">IF('Income St 1'!$N5=0,"N/A",'Corporate Income Tax'!D24/'Income St 1'!$N5)</f>
        <v>-0.4332378640776699</v>
      </c>
      <c r="E8" s="1663">
        <f ca="1">IF('Income St 2'!$N5=0,"N/A",'Corporate Income Tax'!G24/'Income St 2'!$N5)</f>
        <v>-0.3808208345115785</v>
      </c>
      <c r="F8" s="1664">
        <f ca="1">IF('Income St 3'!$N5=0,"N/A",'Corporate Income Tax'!J24/'Income St 4'!$N5)</f>
        <v>-0.30525718898479448</v>
      </c>
      <c r="G8" s="1665">
        <f ca="1">IF('Income St 4'!$N5=0,"N/A",'Corporate Income Tax'!M24/'Income St 4'!$N5)</f>
        <v>-0.28219922754613963</v>
      </c>
    </row>
    <row r="9" spans="1:7">
      <c r="A9" s="1239" t="s">
        <v>858</v>
      </c>
      <c r="B9" s="1226"/>
      <c r="C9" s="1274"/>
      <c r="D9" s="1275"/>
      <c r="E9" s="1276"/>
      <c r="F9" s="1275"/>
      <c r="G9" s="1277"/>
    </row>
    <row r="10" spans="1:7" ht="20.25" customHeight="1">
      <c r="A10" s="1235" t="s">
        <v>1205</v>
      </c>
      <c r="B10" s="1910" t="s">
        <v>1206</v>
      </c>
      <c r="C10" s="3053">
        <f ca="1">IF('Balance Sheet Statements'!F45=0,"N/A",'Yearly Income St'!B23/'Balance Sheet Statements'!F45)</f>
        <v>1.3238217617535712</v>
      </c>
      <c r="D10" s="3054">
        <f ca="1">IF('Balance Sheet Statements'!H45=0,"N/A",'Yearly Income St'!D23/'Balance Sheet Statements'!H45)</f>
        <v>0.42331127292718113</v>
      </c>
      <c r="E10" s="3054">
        <f ca="1">IF('Balance Sheet Statements'!J45=0,"N/A",'Yearly Income St'!G23/'Balance Sheet Statements'!J45)</f>
        <v>0.28347546823849962</v>
      </c>
      <c r="F10" s="3054">
        <f ca="1">IF('Balance Sheet Statements'!L45=0,"N/A",'Yearly Income St'!J23/'Balance Sheet Statements'!L45)</f>
        <v>0.20753422138969008</v>
      </c>
      <c r="G10" s="3055">
        <f ca="1">IF('Balance Sheet Statements'!N45=0,"N/A",'Yearly Income St'!M23/'Balance Sheet Statements'!N45)</f>
        <v>0.15896056790550631</v>
      </c>
    </row>
    <row r="11" spans="1:7" ht="20.25" customHeight="1">
      <c r="A11" s="1235" t="s">
        <v>1203</v>
      </c>
      <c r="B11" s="1910" t="s">
        <v>860</v>
      </c>
      <c r="C11" s="1905">
        <f t="array" aca="1" ref="C11:G11" ca="1">+'Break Even Point'!D20:H20</f>
        <v>0.9</v>
      </c>
      <c r="D11" s="1906">
        <f ca="1"/>
        <v>0.9</v>
      </c>
      <c r="E11" s="1907">
        <f ca="1"/>
        <v>0.89999999999999991</v>
      </c>
      <c r="F11" s="1908">
        <f ca="1"/>
        <v>0.9</v>
      </c>
      <c r="G11" s="1909">
        <f ca="1"/>
        <v>0.89999999999999991</v>
      </c>
    </row>
    <row r="12" spans="1:7" ht="33" customHeight="1" thickBot="1">
      <c r="A12" s="1235" t="s">
        <v>1204</v>
      </c>
      <c r="B12" s="1910" t="s">
        <v>97</v>
      </c>
      <c r="C12" s="2477">
        <f ca="1">1+'Yearly Income St'!B23/'Yearly Income St'!B18</f>
        <v>0.41353959258691986</v>
      </c>
      <c r="D12" s="1906">
        <f ca="1">1+'Yearly Income St'!D23/'Yearly Income St'!D18</f>
        <v>0.68123094831463327</v>
      </c>
      <c r="E12" s="1907">
        <f ca="1">1+'Yearly Income St'!G23/'Yearly Income St'!G18</f>
        <v>0.70937591274480361</v>
      </c>
      <c r="F12" s="1908">
        <f ca="1">1+'Yearly Income St'!J23/'Yearly Income St'!J18</f>
        <v>0.73892056850507615</v>
      </c>
      <c r="G12" s="1909">
        <f ca="1">1+'Yearly Income St'!M23/'Yearly Income St'!M18</f>
        <v>0.76916553640277563</v>
      </c>
    </row>
    <row r="13" spans="1:7" ht="15.75" thickBot="1">
      <c r="A13" s="1389" t="s">
        <v>815</v>
      </c>
      <c r="B13" s="1390" t="s">
        <v>6</v>
      </c>
      <c r="C13" s="1390" t="str">
        <f t="array" ref="C13:G13">C$3:G$3</f>
        <v>Year 0</v>
      </c>
      <c r="D13" s="2736">
        <v>2</v>
      </c>
      <c r="E13" s="2737">
        <v>3</v>
      </c>
      <c r="F13" s="2736">
        <v>4</v>
      </c>
      <c r="G13" s="2738">
        <v>0</v>
      </c>
    </row>
    <row r="14" spans="1:7" s="48" customFormat="1" ht="24.75" customHeight="1">
      <c r="A14" s="1236" t="s">
        <v>859</v>
      </c>
      <c r="B14" s="1224" t="s">
        <v>824</v>
      </c>
      <c r="C14" s="1255">
        <f ca="1">IF('Balance Sheet Statements (EU)'!F24=0,"N/A",'Income St 0'!$N$5/'Balance Sheet Statements (EU)'!F24)</f>
        <v>-1.0655808792167034</v>
      </c>
      <c r="D14" s="1256">
        <f ca="1">'Income St 1'!$N$5/'Balance Sheet Statements (EU)'!H24</f>
        <v>-1.0207492793237556</v>
      </c>
      <c r="E14" s="1257">
        <f ca="1">'Income St 2'!$N$5/'Balance Sheet Statements (EU)'!J24</f>
        <v>-0.77789488501337378</v>
      </c>
      <c r="F14" s="1258">
        <f ca="1">'Income St 3'!$N$5/'Balance Sheet Statements (EU)'!L24</f>
        <v>-0.65917511466878664</v>
      </c>
      <c r="G14" s="1259">
        <f ca="1">'Income St 4'!$N$5/'Balance Sheet Statements (EU)'!N24</f>
        <v>-0.59383764704098596</v>
      </c>
    </row>
    <row r="15" spans="1:7" s="48" customFormat="1" ht="24.75" customHeight="1">
      <c r="A15" s="1237" t="s">
        <v>862</v>
      </c>
      <c r="B15" s="1225" t="s">
        <v>863</v>
      </c>
      <c r="C15" s="1260">
        <f ca="1">'Income St 0'!$N$5/'Balance Sheet Statements (EU)'!F13</f>
        <v>-1.0655808792167034</v>
      </c>
      <c r="D15" s="1261">
        <f ca="1">'Income St 1'!$N$5/'Balance Sheet Statements (EU)'!H13</f>
        <v>-1.0207492793237556</v>
      </c>
      <c r="E15" s="1262">
        <f ca="1">'Income St 2'!$N$5/'Balance Sheet Statements (EU)'!J13</f>
        <v>-0.77789488501337378</v>
      </c>
      <c r="F15" s="1263">
        <f ca="1">'Income St 3'!$N$5/'Balance Sheet Statements (EU)'!L13</f>
        <v>-0.65917511466878664</v>
      </c>
      <c r="G15" s="1264">
        <f ca="1">'Income St 4'!$N$5/'Balance Sheet Statements (EU)'!N13</f>
        <v>-0.59383764704098596</v>
      </c>
    </row>
    <row r="16" spans="1:7" s="48" customFormat="1" ht="24.75" customHeight="1" thickBot="1">
      <c r="A16" s="1236" t="s">
        <v>864</v>
      </c>
      <c r="B16" s="1224" t="s">
        <v>861</v>
      </c>
      <c r="C16" s="1265" t="str">
        <f ca="1">IF('Balance Sheet Statements (EU)'!F15=0,"N/A",'Income St 0'!$N$5/'Balance Sheet Statements (EU)'!F15)</f>
        <v>N/A</v>
      </c>
      <c r="D16" s="1266" t="str">
        <f ca="1">IF('Balance Sheet Statements (EU)'!H15=0,"N/A",'Income St 1'!$N$5/'Balance Sheet Statements (EU)'!H15)</f>
        <v>N/A</v>
      </c>
      <c r="E16" s="1267" t="str">
        <f ca="1">IF('Balance Sheet Statements (EU)'!J15=0,"N/A",'Income St 2'!$N$5/'Balance Sheet Statements (EU)'!J15)</f>
        <v>N/A</v>
      </c>
      <c r="F16" s="1268" t="str">
        <f ca="1">IF('Balance Sheet Statements (EU)'!L15=0,"N/A",'Income St 3'!$N$5/'Balance Sheet Statements (EU)'!L15)</f>
        <v>N/A</v>
      </c>
      <c r="G16" s="1269" t="str">
        <f ca="1">IF('Balance Sheet Statements (EU)'!N15=0,"N/A",'Income St 4'!$N$5/'Balance Sheet Statements (EU)'!N15)</f>
        <v>N/A</v>
      </c>
    </row>
    <row r="17" spans="1:7" ht="15.75" thickBot="1">
      <c r="A17" s="1389" t="s">
        <v>817</v>
      </c>
      <c r="B17" s="1390" t="s">
        <v>6</v>
      </c>
      <c r="C17" s="1390" t="str">
        <f t="array" ref="C17:G17">C$3:G$3</f>
        <v>Year 0</v>
      </c>
      <c r="D17" s="2736">
        <v>2</v>
      </c>
      <c r="E17" s="2737">
        <v>3</v>
      </c>
      <c r="F17" s="2736">
        <v>4</v>
      </c>
      <c r="G17" s="2738">
        <v>0</v>
      </c>
    </row>
    <row r="18" spans="1:7" s="48" customFormat="1" ht="24.75" customHeight="1">
      <c r="A18" s="1236" t="s">
        <v>850</v>
      </c>
      <c r="B18" s="1224" t="s">
        <v>849</v>
      </c>
      <c r="C18" s="1243">
        <f ca="1">IF('Balance Sheet Statements (EU)'!F37&lt;&gt;0,('Balance Sheet Statements (EU)'!F13-'Balance Sheet Statements (EU)'!F21)/'Balance Sheet Statements (EU)'!F37,"N/A")</f>
        <v>-36.554884712348922</v>
      </c>
      <c r="D18" s="1244">
        <f ca="1">IF('Balance Sheet Statements (EU)'!H37&lt;&gt;0,('Balance Sheet Statements (EU)'!H13-'Balance Sheet Statements (EU)'!H21)/'Balance Sheet Statements (EU)'!H37,"N/A")</f>
        <v>-64.481009743546835</v>
      </c>
      <c r="E18" s="1245">
        <f ca="1">IF('Balance Sheet Statements (EU)'!J37&lt;&gt;0,('Balance Sheet Statements (EU)'!J13-'Balance Sheet Statements (EU)'!J21)/'Balance Sheet Statements (EU)'!J37,"N/A")</f>
        <v>-84.60482086431324</v>
      </c>
      <c r="F18" s="1244">
        <f ca="1">IF('Balance Sheet Statements (EU)'!L37&lt;&gt;0,('Balance Sheet Statements (EU)'!L13-'Balance Sheet Statements (EU)'!L21)/'Balance Sheet Statements (EU)'!L37,"N/A")</f>
        <v>-99.83464945132674</v>
      </c>
      <c r="G18" s="1246">
        <f ca="1">IF('Balance Sheet Statements (EU)'!N37&lt;&gt;0,('Balance Sheet Statements (EU)'!N13-'Balance Sheet Statements (EU)'!N21)/'Balance Sheet Statements (EU)'!N37,"N/A")</f>
        <v>-110.81083785383261</v>
      </c>
    </row>
    <row r="19" spans="1:7" s="48" customFormat="1" ht="24.75" customHeight="1">
      <c r="A19" s="1237" t="s">
        <v>825</v>
      </c>
      <c r="B19" s="1225" t="s">
        <v>842</v>
      </c>
      <c r="C19" s="1247">
        <f ca="1">IF('Balance Sheet Statements (EU)'!F37&lt;&gt;0,('Balance Sheet Statements (EU)'!F13)/'Balance Sheet Statements (EU)'!F37,"N/A")</f>
        <v>-36.554884712348922</v>
      </c>
      <c r="D19" s="1248">
        <f ca="1">IF('Balance Sheet Statements (EU)'!H37&lt;&gt;0,('Balance Sheet Statements (EU)'!H13)/'Balance Sheet Statements (EU)'!H37,"N/A")</f>
        <v>-64.481009743546835</v>
      </c>
      <c r="E19" s="1249">
        <f ca="1">IF('Balance Sheet Statements (EU)'!J37&lt;&gt;0,('Balance Sheet Statements (EU)'!J13-'Balance Sheet Statements (EU)'!J23)/'Balance Sheet Statements (EU)'!J37,"N/A")</f>
        <v>-84.60482086431324</v>
      </c>
      <c r="F19" s="1248">
        <f ca="1">IF('Balance Sheet Statements (EU)'!L37&lt;&gt;0,('Balance Sheet Statements (EU)'!L13-'Balance Sheet Statements (EU)'!L23)/'Balance Sheet Statements (EU)'!L37,"N/A")</f>
        <v>-99.83464945132674</v>
      </c>
      <c r="G19" s="1250">
        <f ca="1">IF('Balance Sheet Statements (EU)'!N37&lt;&gt;0,('Balance Sheet Statements (EU)'!N13-'Balance Sheet Statements (EU)'!N23)/'Balance Sheet Statements (EU)'!N37,"N/A")</f>
        <v>-110.81083785383261</v>
      </c>
    </row>
    <row r="20" spans="1:7" s="48" customFormat="1" ht="24.75" customHeight="1">
      <c r="A20" s="1237" t="s">
        <v>845</v>
      </c>
      <c r="B20" s="1225" t="s">
        <v>844</v>
      </c>
      <c r="C20" s="1247">
        <f ca="1">'Balance Sheet Statements (EU)'!F45/'Balance Sheet Statements (EU)'!F26</f>
        <v>-2.6627694577136502E-2</v>
      </c>
      <c r="D20" s="1248">
        <f ca="1">'Balance Sheet Statements (EU)'!H45/'Balance Sheet Statements (EU)'!H26</f>
        <v>-1.5271603231478121E-2</v>
      </c>
      <c r="E20" s="1249">
        <f ca="1">'Balance Sheet Statements (EU)'!J45/'Balance Sheet Statements (EU)'!J26</f>
        <v>-1.1681585101206355E-2</v>
      </c>
      <c r="F20" s="1248">
        <f ca="1">'Balance Sheet Statements (EU)'!L45/'Balance Sheet Statements (EU)'!L26</f>
        <v>-9.9172259282034169E-3</v>
      </c>
      <c r="G20" s="1250">
        <f ca="1">'Balance Sheet Statements (EU)'!N45/'Balance Sheet Statements (EU)'!N26</f>
        <v>-8.9436768312860203E-3</v>
      </c>
    </row>
    <row r="21" spans="1:7" s="48" customFormat="1" ht="24.75" customHeight="1">
      <c r="A21" s="1235" t="s">
        <v>843</v>
      </c>
      <c r="B21" s="1225" t="s">
        <v>846</v>
      </c>
      <c r="C21" s="1247">
        <f ca="1">'Yearly Income St'!B29/'Yearly Income St'!B23*'Balance Sheet Statements (EU)'!F24/'Balance Sheet Statements (EU)'!F26</f>
        <v>0.98260014942569684</v>
      </c>
      <c r="D21" s="1248">
        <f ca="1">'Yearly Income St'!D29/'Yearly Income St'!D23*'Balance Sheet Statements (EU)'!H24/'Balance Sheet Statements (EU)'!H26</f>
        <v>1.0130213018175482</v>
      </c>
      <c r="E21" s="1249">
        <f ca="1">'Yearly Income St'!G29/'Yearly Income St'!G23*'Balance Sheet Statements (EU)'!J24/'Balance Sheet Statements (EU)'!J26</f>
        <v>1.0207512250385202</v>
      </c>
      <c r="F21" s="1248">
        <f ca="1">'Yearly Income St'!J29/'Yearly Income St'!J23*'Balance Sheet Statements (EU)'!L24/'Balance Sheet Statements (EU)'!L26</f>
        <v>1.0277565770951875</v>
      </c>
      <c r="G21" s="1250">
        <f ca="1">'Yearly Income St'!M29/'Yearly Income St'!M23*'Balance Sheet Statements (EU)'!N24/'Balance Sheet Statements (EU)'!N26</f>
        <v>1.0354540121931786</v>
      </c>
    </row>
    <row r="22" spans="1:7" s="48" customFormat="1" ht="24.75" customHeight="1">
      <c r="A22" s="1237" t="s">
        <v>865</v>
      </c>
      <c r="B22" s="2478" t="s">
        <v>866</v>
      </c>
      <c r="C22" s="1251" t="str">
        <f ca="1">IFERROR('Balance Sheet Statements (EU)'!F44/'Balance Sheet Statements (EU)'!F5,"N/A")</f>
        <v>N/A</v>
      </c>
      <c r="D22" s="1252" t="str">
        <f ca="1">IFERROR('Balance Sheet Statements (EU)'!H44/'Balance Sheet Statements (EU)'!H5,"N/A")</f>
        <v>N/A</v>
      </c>
      <c r="E22" s="1253" t="str">
        <f ca="1">IFERROR('Balance Sheet Statements (EU)'!J44/'Balance Sheet Statements (EU)'!J5,"N/A")</f>
        <v>N/A</v>
      </c>
      <c r="F22" s="1252" t="str">
        <f ca="1">IFERROR('Balance Sheet Statements (EU)'!L44/'Balance Sheet Statements (EU)'!L5,"N/A")</f>
        <v>N/A</v>
      </c>
      <c r="G22" s="1254" t="str">
        <f ca="1">IFERROR('Balance Sheet Statements (EU)'!N44/'Balance Sheet Statements (EU)'!N5,"N/A")</f>
        <v>N/A</v>
      </c>
    </row>
    <row r="23" spans="1:7" s="48" customFormat="1" ht="24.75" customHeight="1">
      <c r="A23" s="1236" t="s">
        <v>852</v>
      </c>
      <c r="B23" s="1224" t="s">
        <v>826</v>
      </c>
      <c r="C23" s="1247">
        <f ca="1">IFERROR(('Balance Sheet Statements (EU)'!D16+'Balance Sheet Statements (EU)'!F16)/2/('Yearly Income St'!B5+'VAT 0'!O19)*365,"N/A")</f>
        <v>0</v>
      </c>
      <c r="D23" s="1248">
        <f ca="1">IFERROR(('Balance Sheet Statements (EU)'!F16+'Balance Sheet Statements (EU)'!H16)/2/('Yearly Income St'!D5+'VAT 1'!O19)*365,"N/A")</f>
        <v>0</v>
      </c>
      <c r="E23" s="1249">
        <f ca="1">IFERROR(('Balance Sheet Statements (EU)'!H16+'Balance Sheet Statements (EU)'!J16)/2/('Yearly Income St'!G5+'VAT 2'!O19)*365,"N/A")</f>
        <v>0</v>
      </c>
      <c r="F23" s="1248">
        <f ca="1">IFERROR(('Balance Sheet Statements (EU)'!J16+'Balance Sheet Statements (EU)'!L16)/2/('Yearly Income St'!J5+'VAT 3'!O19)*365,"N/A")</f>
        <v>0</v>
      </c>
      <c r="G23" s="1250">
        <f ca="1">IFERROR(('Balance Sheet Statements (EU)'!L16+'Balance Sheet Statements (EU)'!N16)/2/('Yearly Income St'!M5+'VAT 4'!O19)*365,"N/A")</f>
        <v>0</v>
      </c>
    </row>
    <row r="24" spans="1:7" s="48" customFormat="1" ht="24.75" customHeight="1">
      <c r="A24" s="1235" t="s">
        <v>851</v>
      </c>
      <c r="B24" s="1225" t="s">
        <v>853</v>
      </c>
      <c r="C24" s="1247">
        <f ca="1">IF('Yearly Income St'!B9=0,"N/A",('Balance Sheet Statements (EU)'!D40+'Balance Sheet Statements (EU)'!F40)/2/('Yearly Income St'!B9+'VAT 0'!O5)*365)</f>
        <v>0</v>
      </c>
      <c r="D24" s="1248">
        <f ca="1">IF('Yearly Income St'!D9=0,"N/A",('Balance Sheet Statements (EU)'!F40+'Balance Sheet Statements (EU)'!H40)/2/('Yearly Income St'!D9+'VAT 1'!O5)*365)</f>
        <v>0</v>
      </c>
      <c r="E24" s="1249">
        <f ca="1">IF('Yearly Income St'!G9=0,"N/A",('Balance Sheet Statements (EU)'!H40+'Balance Sheet Statements (EU)'!J40)/2/('Yearly Income St'!G9+'VAT 2'!O5)*365)</f>
        <v>0</v>
      </c>
      <c r="F24" s="1248">
        <f ca="1">IF('Yearly Income St'!J9=0,"N/A",('Balance Sheet Statements (EU)'!J40+'Balance Sheet Statements (EU)'!L40)/2/('Yearly Income St'!J9+'VAT 3'!O5)*365)</f>
        <v>0</v>
      </c>
      <c r="G24" s="1250">
        <f ca="1">IF('Yearly Income St'!M9=0,"N/A",('Balance Sheet Statements (EU)'!L40+'Balance Sheet Statements (EU)'!N40)/2/('Yearly Income St'!M9+'VAT 4'!O5)*365)</f>
        <v>0</v>
      </c>
    </row>
    <row r="25" spans="1:7" ht="35.25" customHeight="1">
      <c r="A25" s="2581" t="s">
        <v>847</v>
      </c>
      <c r="B25" s="2582" t="s">
        <v>848</v>
      </c>
      <c r="C25" s="2583">
        <f ca="1">IFERROR((C8*'Yearly Income St'!B5/'Balance Sheet Statements (EU)'!F24)*(1+'Balance Sheet Statements (EU)'!F45/'Balance Sheet Statements (EU)'!F26)*Parameters!C42,"N/A")</f>
        <v>1.3363719654494852</v>
      </c>
      <c r="D25" s="2584">
        <f ca="1">IFERROR((D8*'Yearly Income St'!D5/'Balance Sheet Statements (EU)'!H24)*(1+'Balance Sheet Statements (EU)'!H45/'Balance Sheet Statements (EU)'!H26)*Parameters!D42,"N/A")</f>
        <v>0.43547371862328743</v>
      </c>
      <c r="E25" s="2585">
        <f ca="1">IFERROR((E8*'Yearly Income St'!G5/'Balance Sheet Statements (EU)'!J24)*(1+'Balance Sheet Statements (EU)'!J45/'Balance Sheet Statements (EU)'!J26)*Parameters!E42,"N/A")</f>
        <v>0.29277804309904243</v>
      </c>
      <c r="F25" s="2584">
        <f ca="1">IFERROR((F8*'Yearly Income St'!J5/'Balance Sheet Statements (EU)'!L24)*(1+'Balance Sheet Statements (EU)'!L45/'Balance Sheet Statements (EU)'!L26)*Parameters!F42,"N/A")</f>
        <v>0.19922241875542177</v>
      </c>
      <c r="G25" s="2586">
        <f ca="1">IFERROR((G8*'Yearly Income St'!M5/'Balance Sheet Statements (EU)'!N24)*(1+'Balance Sheet Statements (EU)'!N45/'Balance Sheet Statements (EU)'!N26)*Parameters!G42,"N/A")</f>
        <v>0.16608173922143696</v>
      </c>
    </row>
    <row r="26" spans="1:7" ht="35.25" customHeight="1">
      <c r="A26" s="1237" t="s">
        <v>1056</v>
      </c>
      <c r="B26" s="2859" t="s">
        <v>1057</v>
      </c>
      <c r="C26" s="2860">
        <f ca="1">IF(OR('Balance Sheet Statements (EU)'!F33+'Balance Sheet Statements (EU)'!F38=0,('Yearly Income St'!B33+'Yearly Income St'!B22)&lt;=0),0,
('Yearly Income St'!B33+'Yearly Income St'!B22)/('Balance Sheet Statements (EU)'!F33+'Balance Sheet Statements (EU)'!F38))</f>
        <v>0</v>
      </c>
      <c r="D26" s="2861">
        <f ca="1">IF(OR('Balance Sheet Statements (EU)'!H33+'Balance Sheet Statements (EU)'!H38=0,('Yearly Income St'!D33+'Yearly Income St'!D22)&lt;=0),0,
('Yearly Income St'!D33+'Yearly Income St'!D22)/('Balance Sheet Statements (EU)'!H33+'Balance Sheet Statements (EU)'!H38))</f>
        <v>0</v>
      </c>
      <c r="E26" s="2862">
        <f ca="1">IF(OR('Balance Sheet Statements (EU)'!J33+'Balance Sheet Statements (EU)'!J38=0,('Yearly Income St'!G33+'Yearly Income St'!G22)&lt;=0),0,
('Yearly Income St'!G33+'Yearly Income St'!G22)/('Balance Sheet Statements (EU)'!J33+'Balance Sheet Statements (EU)'!J38))</f>
        <v>0</v>
      </c>
      <c r="F26" s="2863">
        <f ca="1">IF(OR('Balance Sheet Statements (EU)'!L33+'Balance Sheet Statements (EU)'!L38=0,('Yearly Income St'!J33+'Yearly Income St'!J22)&lt;=0),0,
('Yearly Income St'!J33+'Yearly Income St'!J22)/('Balance Sheet Statements (EU)'!L33+'Balance Sheet Statements (EU)'!L38))</f>
        <v>0</v>
      </c>
      <c r="G26" s="2864">
        <f ca="1">IF(OR('Balance Sheet Statements (EU)'!N33+'Balance Sheet Statements (EU)'!N38=0,('Yearly Income St'!M33+'Yearly Income St'!M22)&lt;=0),0,
('Yearly Income St'!M33+'Yearly Income St'!M22)/('Balance Sheet Statements (EU)'!N33+'Balance Sheet Statements (EU)'!N38))</f>
        <v>0</v>
      </c>
    </row>
    <row r="27" spans="1:7" ht="35.25" customHeight="1" thickBot="1">
      <c r="A27" s="1238" t="s">
        <v>1122</v>
      </c>
      <c r="B27" s="2587" t="s">
        <v>1121</v>
      </c>
      <c r="C27" s="2865">
        <f ca="1">IFERROR(SUM('Financial Expenses'!$O19-'Financial Expenses'!$O15-'Financial Expenses'!O$18)
/('Financial Expenses'!$O7+'Financial Expenses'!$O9+('Balance Sheet Statements'!F33+'Balance Sheet Statements'!D33+'Balance Sheet Statements'!B33+'Balance Sheet Statements'!B38+'Balance Sheet Statements'!D38+'Balance Sheet Statements'!F38)/2),0)</f>
        <v>0</v>
      </c>
      <c r="D27" s="2866">
        <f ca="1">IFERROR(  SUM('Financial Expenses'!$O34-'Financial Expenses'!O30-'Financial Expenses'!$O33)
/('Financial Expenses'!$O22+'Financial Expenses'!$O24+('Balance Sheet Statements'!H33+'Balance Sheet Statements'!F33+'Balance Sheet Statements'!H38+'Balance Sheet Statements'!F38)/2),0)</f>
        <v>0</v>
      </c>
      <c r="E27" s="2867">
        <f ca="1">IFERROR(    SUM('Financial Expenses'!$O49-'Financial Expenses'!$O45-'Financial Expenses'!$O48)
/('Financial Expenses'!$O37+'Financial Expenses'!$O39+('Balance Sheet Statements'!H33+'Balance Sheet Statements'!J33+'Balance Sheet Statements'!H38+'Balance Sheet Statements'!J38)/2),0)</f>
        <v>0</v>
      </c>
      <c r="F27" s="2868">
        <f ca="1">IFERROR(     SUM('Financial Expenses'!$O64-'Financial Expenses'!O60-'Financial Expenses'!$O63)
/('Financial Expenses'!$O52+'Financial Expenses'!$O54+('Balance Sheet Statements'!L33+'Balance Sheet Statements'!J33+'Balance Sheet Statements'!L38+'Balance Sheet Statements'!J38)/2),0)</f>
        <v>0</v>
      </c>
      <c r="G27" s="2869">
        <f ca="1">IFERROR(     SUM('Financial Expenses'!$O79-'Financial Expenses'!$O75-'Financial Expenses'!$O78)
/('Financial Expenses'!$O67+'Financial Expenses'!$O69+('Balance Sheet Statements'!L33+'Balance Sheet Statements'!N33+'Balance Sheet Statements'!L38+'Balance Sheet Statements'!N38)/2),0)</f>
        <v>0</v>
      </c>
    </row>
    <row r="28" spans="1:7" ht="15.75" thickBot="1">
      <c r="A28" s="230"/>
      <c r="B28" s="60"/>
      <c r="C28" s="624"/>
      <c r="D28" s="624"/>
      <c r="E28" s="61"/>
      <c r="F28" s="61"/>
      <c r="G28" s="61"/>
    </row>
    <row r="29" spans="1:7" ht="15.75" thickBot="1">
      <c r="A29" s="1389" t="s">
        <v>21</v>
      </c>
      <c r="B29" s="1390" t="s">
        <v>6</v>
      </c>
      <c r="C29" s="1390" t="str">
        <f t="array" ref="C29:G29">C$3:G$3</f>
        <v>Year 0</v>
      </c>
      <c r="D29" s="2736">
        <v>2</v>
      </c>
      <c r="E29" s="2737">
        <v>3</v>
      </c>
      <c r="F29" s="2736">
        <v>4</v>
      </c>
      <c r="G29" s="2738">
        <v>0</v>
      </c>
    </row>
    <row r="30" spans="1:7">
      <c r="A30" s="1232" t="s">
        <v>274</v>
      </c>
      <c r="B30" s="1229" t="s">
        <v>827</v>
      </c>
      <c r="C30" s="1446"/>
      <c r="D30" s="1447"/>
      <c r="E30" s="1448"/>
      <c r="F30" s="1447"/>
      <c r="G30" s="1449"/>
    </row>
    <row r="31" spans="1:7">
      <c r="A31" s="1233"/>
      <c r="B31" s="1230" t="s">
        <v>828</v>
      </c>
      <c r="C31" s="1450">
        <f ca="1">'Balance Sheet Statements (EU)'!F13-'Balance Sheet Statements (EU)'!F37</f>
        <v>-6941.7199999999984</v>
      </c>
      <c r="D31" s="1451">
        <f ca="1">'Balance Sheet Statements (EU)'!H13-'Balance Sheet Statements (EU)'!H37</f>
        <v>-12296.540000000003</v>
      </c>
      <c r="E31" s="1452">
        <f ca="1">'Balance Sheet Statements (EU)'!J13-'Balance Sheet Statements (EU)'!J37</f>
        <v>-17387.101574000008</v>
      </c>
      <c r="F31" s="1451">
        <f ca="1">'Balance Sheet Statements (EU)'!L13-'Balance Sheet Statements (EU)'!L37</f>
        <v>-22161.345507081202</v>
      </c>
      <c r="G31" s="1453">
        <f ca="1">'Balance Sheet Statements (EU)'!N13-'Balance Sheet Statements (EU)'!N37</f>
        <v>-26574.961299433511</v>
      </c>
    </row>
    <row r="32" spans="1:7" s="48" customFormat="1" ht="21.75" customHeight="1">
      <c r="A32" s="1234" t="s">
        <v>829</v>
      </c>
      <c r="B32" s="1225" t="s">
        <v>830</v>
      </c>
      <c r="C32" s="1440">
        <f>'Detailed Staff'!O17</f>
        <v>1</v>
      </c>
      <c r="D32" s="1248">
        <f>'Detailed Staff'!O36</f>
        <v>1</v>
      </c>
      <c r="E32" s="1441">
        <f>'Detailed Staff'!O55</f>
        <v>1</v>
      </c>
      <c r="F32" s="1248">
        <f>'Detailed Staff'!O74</f>
        <v>1</v>
      </c>
      <c r="G32" s="1250">
        <f>'Detailed Staff'!O93</f>
        <v>1</v>
      </c>
    </row>
    <row r="33" spans="1:47" s="48" customFormat="1" ht="21.75" customHeight="1">
      <c r="A33" s="1234" t="s">
        <v>831</v>
      </c>
      <c r="B33" s="1225" t="s">
        <v>832</v>
      </c>
      <c r="C33" s="2616">
        <f ca="1">IFERROR('Yearly Income St'!B18/'Yearly Income St'!C13,"N/A")</f>
        <v>17410.666666666664</v>
      </c>
      <c r="D33" s="2617">
        <f ca="1">IFERROR('Yearly Income St'!D18/'Yearly Income St'!E13,"N/A")</f>
        <v>18143.626666666667</v>
      </c>
      <c r="E33" s="2618">
        <f ca="1">IFERROR('Yearly Income St'!G18/'Yearly Income St'!H13,"N/A")</f>
        <v>18843.803066666671</v>
      </c>
      <c r="F33" s="2617">
        <f ca="1">IFERROR('Yearly Income St'!J18/'Yearly Income St'!K13,"N/A")</f>
        <v>19573.59855506667</v>
      </c>
      <c r="G33" s="2619">
        <f ca="1">IFERROR('Yearly Income St'!M18/'Yearly Income St'!N13,"N/A")</f>
        <v>20333.815912898666</v>
      </c>
    </row>
    <row r="34" spans="1:47" s="48" customFormat="1" ht="21.75" customHeight="1">
      <c r="A34" s="1234" t="s">
        <v>927</v>
      </c>
      <c r="B34" s="1225" t="s">
        <v>833</v>
      </c>
      <c r="C34" s="2612">
        <f ca="1">'Break Even Point'!D31</f>
        <v>0.4135395925869198</v>
      </c>
      <c r="D34" s="2613">
        <f ca="1">'Break Even Point'!E31</f>
        <v>0.68123094831463316</v>
      </c>
      <c r="E34" s="2614">
        <f ca="1">'Break Even Point'!F31</f>
        <v>0.70937591274480361</v>
      </c>
      <c r="F34" s="2613">
        <f ca="1">'Break Even Point'!G31</f>
        <v>0.73892056850507604</v>
      </c>
      <c r="G34" s="2615">
        <f ca="1">'Break Even Point'!H31</f>
        <v>0.76916553640277563</v>
      </c>
    </row>
    <row r="35" spans="1:47" s="48" customFormat="1" ht="21.75" customHeight="1">
      <c r="A35" s="1234" t="s">
        <v>834</v>
      </c>
      <c r="B35" s="1225" t="s">
        <v>834</v>
      </c>
      <c r="C35" s="1442">
        <f ca="1">'Yearly Income St'!B5</f>
        <v>7199.9999999999991</v>
      </c>
      <c r="D35" s="1443">
        <f ca="1">'Yearly Income St'!D5</f>
        <v>12360</v>
      </c>
      <c r="E35" s="1444">
        <f ca="1">'Yearly Income St'!G5</f>
        <v>13367.339999999998</v>
      </c>
      <c r="F35" s="1443">
        <f ca="1">'Yearly Income St'!J5</f>
        <v>14463.334572</v>
      </c>
      <c r="G35" s="1445">
        <f ca="1">'Yearly Income St'!M5</f>
        <v>15640.070423759998</v>
      </c>
    </row>
    <row r="36" spans="1:47" s="48" customFormat="1" ht="21.75" customHeight="1">
      <c r="A36" s="1235" t="s">
        <v>836</v>
      </c>
      <c r="B36" s="1231" t="s">
        <v>835</v>
      </c>
      <c r="C36" s="2616">
        <f ca="1">IFERROR((C35-C33)*'Yearly Income St'!C13+'Yearly Income St'!B27,"N/A")</f>
        <v>-9276.7199999999993</v>
      </c>
      <c r="D36" s="2617">
        <f ca="1">IFERROR((D35-D33)*'Yearly Income St'!E13+'Yearly Income St'!D27,"N/A")</f>
        <v>-5354.82</v>
      </c>
      <c r="E36" s="2618">
        <f ca="1">IFERROR((E35-E33)*'Yearly Income St'!H13+'Yearly Income St'!G27,"N/A")</f>
        <v>-5090.5615740000048</v>
      </c>
      <c r="F36" s="2617">
        <f ca="1">IFERROR((F35-F33)*'Yearly Income St'!K13+'Yearly Income St'!J27,"N/A")</f>
        <v>-4774.2439330812031</v>
      </c>
      <c r="G36" s="2619">
        <f ca="1">IFERROR((G35-G33)*'Yearly Income St'!N13+'Yearly Income St'!M27,"N/A")</f>
        <v>-4413.6157923522969</v>
      </c>
    </row>
    <row r="37" spans="1:47" s="48" customFormat="1" ht="21.75" customHeight="1" thickBot="1">
      <c r="A37" s="1419" t="s">
        <v>837</v>
      </c>
      <c r="B37" s="1828" t="s">
        <v>838</v>
      </c>
      <c r="C37" s="1829">
        <f ca="1">'Cash Flow 0'!$C$40</f>
        <v>-8958.5279999999984</v>
      </c>
      <c r="D37" s="1830">
        <f ca="1">'Cash Flow 1'!$C$40</f>
        <v>-5351.874120000004</v>
      </c>
      <c r="E37" s="1831">
        <f ca="1">'Cash Flow 2'!$C$40</f>
        <v>-5075.2405473000053</v>
      </c>
      <c r="F37" s="1830">
        <f ca="1">'Cash Flow 3'!$C$40</f>
        <v>-4757.5737695144926</v>
      </c>
      <c r="G37" s="1832">
        <f ca="1">'Cash Flow 4'!$C$40</f>
        <v>-4395.7169969529459</v>
      </c>
      <c r="AU37" s="625"/>
    </row>
    <row r="38" spans="1:47" ht="15.75" thickBot="1"/>
    <row r="39" spans="1:47" s="48" customFormat="1" ht="21.75" customHeight="1" thickBot="1">
      <c r="A39" s="2620" t="s">
        <v>839</v>
      </c>
      <c r="B39" s="2622" t="s">
        <v>840</v>
      </c>
      <c r="C39" s="2621" t="str">
        <f>Amortizations!D21</f>
        <v>N/A</v>
      </c>
      <c r="D39" s="1461" t="str">
        <f>Amortizations!E21</f>
        <v>N/A</v>
      </c>
      <c r="E39" s="1461" t="str">
        <f>Amortizations!F21</f>
        <v>N/A</v>
      </c>
      <c r="F39" s="1461" t="str">
        <f>Amortizations!G21</f>
        <v>N/A</v>
      </c>
      <c r="G39" s="1462" t="str">
        <f>Amortizations!H21</f>
        <v>N/A</v>
      </c>
    </row>
    <row r="40" spans="1:47" ht="15.75" thickBot="1"/>
    <row r="41" spans="1:47" ht="17.25" customHeight="1" thickBot="1">
      <c r="A41" s="2484" t="s">
        <v>841</v>
      </c>
      <c r="B41" s="2622" t="s">
        <v>857</v>
      </c>
      <c r="C41" s="2623">
        <f ca="1">+'Corporate Income Tax'!B32/SUM('Balance Sheet Statements (EU)'!F27:F34)</f>
        <v>0</v>
      </c>
      <c r="D41" s="2624">
        <f ca="1">+'Corporate Income Tax'!D32/SUM('Balance Sheet Statements (EU)'!H27:H34)</f>
        <v>0</v>
      </c>
      <c r="E41" s="2624">
        <f ca="1">+'Corporate Income Tax'!G32/SUM('Balance Sheet Statements (EU)'!J27:J34)</f>
        <v>0</v>
      </c>
      <c r="F41" s="2624">
        <f ca="1">+'Corporate Income Tax'!J32/SUM('Balance Sheet Statements (EU)'!L27:L34)</f>
        <v>0</v>
      </c>
      <c r="G41" s="2625">
        <f ca="1">+'Corporate Income Tax'!M32/SUM('Balance Sheet Statements (EU)'!N27:N34)</f>
        <v>0</v>
      </c>
    </row>
    <row r="42" spans="1:47" ht="17.25" customHeight="1" thickBot="1">
      <c r="A42" s="2481" t="s">
        <v>854</v>
      </c>
      <c r="B42" s="2622" t="s">
        <v>855</v>
      </c>
      <c r="C42" s="2626">
        <f ca="1">IF(('Balance Sheet Statements (EU)'!D45+'Balance Sheet Statements (EU)'!F45)&lt;&gt;0,'Yearly Income St'!B26/(('Balance Sheet Statements (EU)'!D45+'Balance Sheet Statements (EU)'!F45)/2),"N/A")</f>
        <v>0.94264290583308985</v>
      </c>
      <c r="D42" s="2627">
        <f ca="1">IF(('Balance Sheet Statements (EU)'!F45+'Balance Sheet Statements (EU)'!H45)&lt;&gt;0,'Yearly Income St'!D26/(('Balance Sheet Statements (EU)'!F45+'Balance Sheet Statements (EU)'!H45)/2),"N/A")</f>
        <v>0.80270535470746451</v>
      </c>
      <c r="E42" s="2627">
        <f ca="1">IF(('Balance Sheet Statements (EU)'!H45+'Balance Sheet Statements (EU)'!J45)&lt;&gt;0,'Yearly Income St'!G26/(('Balance Sheet Statements (EU)'!H45+'Balance Sheet Statements (EU)'!J45)/2),"N/A")</f>
        <v>0.8275576546201372</v>
      </c>
      <c r="F42" s="2627">
        <f ca="1">IF(('Balance Sheet Statements (EU)'!J45+'Balance Sheet Statements (EU)'!L45)&lt;&gt;0,'Yearly Income St'!J26/(('Balance Sheet Statements (EU)'!J45+'Balance Sheet Statements (EU)'!L45)/2),"N/A")</f>
        <v>0.82767237591614362</v>
      </c>
      <c r="G42" s="2628">
        <f ca="1">IF(('Balance Sheet Statements (EU)'!L45+'Balance Sheet Statements (EU)'!N45)&lt;&gt;0,'Yearly Income St'!M26/(('Balance Sheet Statements (EU)'!L45+'Balance Sheet Statements (EU)'!N45)/2),"N/A")</f>
        <v>0.82737778034394049</v>
      </c>
    </row>
    <row r="43" spans="1:47" ht="17.25" customHeight="1" thickBot="1">
      <c r="A43" s="2481" t="s">
        <v>856</v>
      </c>
      <c r="B43" s="2622"/>
      <c r="C43" s="2626">
        <f ca="1">(+'Corporate Income Tax'!B32 +'Yearly Income St'!B26 ) /
( SUM('Balance Sheet Statements (EU)'!F27:F34) + ('Balance Sheet Statements (EU)'!D45+'Balance Sheet Statements (EU)'!F45)/2 )</f>
        <v>-1.2719549840063925E-2</v>
      </c>
      <c r="D43" s="2627">
        <f ca="1">( +'Corporate Income Tax'!D32 +'Yearly Income St'!D26 ) /
( SUM('Balance Sheet Statements (EU)'!H27:H34) +('Balance Sheet Statements (EU)'!F45+'Balance Sheet Statements (EU)'!H45)/2 )</f>
        <v>-1.2349564046830354E-2</v>
      </c>
      <c r="E43" s="2627">
        <f ca="1">( +'Corporate Income Tax'!G32 +'Yearly Income St'!G26 ) /
( SUM('Balance Sheet Statements (EU)'!J27:J34) + ('Balance Sheet Statements (EU)'!H45+'Balance Sheet Statements (EU)'!J45)/2 )</f>
        <v>-9.408333933937852E-3</v>
      </c>
      <c r="F43" s="2627">
        <f ca="1">( +'Corporate Income Tax'!J32 +'Yearly Income St'!J26 ) /
( SUM('Balance Sheet Statements (EU)'!L27:L34) + ('Balance Sheet Statements (EU)'!J45+'Balance Sheet Statements (EU)'!L45)/2 )</f>
        <v>-7.9729901372413668E-3</v>
      </c>
      <c r="G43" s="2628">
        <f ca="1">( +'Corporate Income Tax'!M32 +'Yearly Income St'!M26 ) /
(  SUM('Balance Sheet Statements (EU)'!N27:N34) + ('Balance Sheet Statements (EU)'!L45+'Balance Sheet Statements (EU)'!N45)/2 )</f>
        <v>-7.1829947506372874E-3</v>
      </c>
    </row>
    <row r="44" spans="1:47">
      <c r="J44" s="48"/>
      <c r="K44" s="48"/>
      <c r="L44" s="48"/>
      <c r="M44" s="48"/>
    </row>
    <row r="45" spans="1:47">
      <c r="A45" s="1242" t="str">
        <f>IF(mes0=1,"",CONCATENATE("(*)  Only ",12-mes0+1," months of activity a year ",Parameters!D65," ( from ",LEFT('Base Data'!F21,LEN('Base Data'!F21)-8)," till ",Parameters!$B$72," )"))</f>
        <v/>
      </c>
      <c r="B45" s="847"/>
      <c r="C45" s="627"/>
      <c r="L45" s="48"/>
      <c r="M45" s="48"/>
    </row>
    <row r="46" spans="1:47">
      <c r="A46" s="1242" t="str">
        <f>IF(finTemporada-inicioTemporada&lt;11,"Seasonal Business. "&amp;finTemporada-inicioTemporada+1&amp;" months /year from "&amp;Parameters!B15&amp;" to "&amp;Parameters!C15,"")</f>
        <v/>
      </c>
    </row>
    <row r="51" spans="1:46" s="48" customFormat="1" ht="21.75" customHeight="1"/>
    <row r="52" spans="1:46" ht="23.25" customHeight="1">
      <c r="J52" s="48"/>
      <c r="K52" s="48"/>
      <c r="L52" s="48"/>
      <c r="M52" s="48"/>
      <c r="N52" s="48"/>
    </row>
    <row r="53" spans="1:46" ht="23.25" customHeight="1">
      <c r="J53" s="48"/>
      <c r="K53" s="48"/>
      <c r="L53" s="48"/>
      <c r="M53" s="48"/>
      <c r="N53" s="48"/>
    </row>
    <row r="54" spans="1:46" ht="23.25" customHeight="1">
      <c r="J54" s="48"/>
      <c r="K54" s="48"/>
      <c r="L54" s="48"/>
      <c r="M54" s="48"/>
      <c r="N54" s="48"/>
      <c r="O54" s="48"/>
      <c r="P54" s="48"/>
    </row>
    <row r="59" spans="1:46" ht="15.75" thickBot="1">
      <c r="G59" s="2500"/>
      <c r="Q59" s="48"/>
      <c r="R59" s="48"/>
      <c r="S59" s="48"/>
      <c r="T59" s="48"/>
      <c r="U59" s="48"/>
      <c r="V59" s="48"/>
      <c r="W59" s="1438"/>
      <c r="X59" s="48"/>
      <c r="Y59" s="48"/>
      <c r="Z59" s="48"/>
      <c r="AA59" s="48"/>
      <c r="AB59" s="48"/>
      <c r="AC59" s="48"/>
      <c r="AD59" s="48"/>
      <c r="AE59" s="48"/>
      <c r="AF59" s="48"/>
      <c r="AG59" s="48"/>
      <c r="AH59" s="48"/>
      <c r="AI59" s="48"/>
      <c r="AJ59" s="48"/>
      <c r="AK59" s="48"/>
      <c r="AL59" s="48"/>
      <c r="AM59" s="48"/>
      <c r="AN59" s="48"/>
      <c r="AO59" s="48"/>
      <c r="AP59" s="48"/>
      <c r="AQ59" s="48"/>
      <c r="AR59" s="48"/>
      <c r="AS59" s="48"/>
      <c r="AT59" s="48"/>
    </row>
    <row r="60" spans="1:46" ht="15.75" thickBot="1">
      <c r="A60" s="2501" t="s">
        <v>867</v>
      </c>
      <c r="B60" s="2502" t="s">
        <v>871</v>
      </c>
      <c r="C60" s="2503" t="str">
        <f ca="1">IF('Corporate Income Tax'!B24+'Corporate Income Tax'!D24+'Corporate Income Tax'!G24+'Corporate Income Tax'!J24+'Corporate Income Tax'!M24&lt;0,"N/A",
IF(SUM(inv_propia)&lt;'Corporate Income Tax'!B24,SUM(inv_propia)/'Corporate Income Tax'!B24,
IF(SUM(inv_propia)&lt;('Corporate Income Tax'!B24+'Corporate Income Tax'!D24),1+(SUM(inv_propia)-'Corporate Income Tax'!B24)/'Corporate Income Tax'!D24,
IF(SUM(inv_propia)&lt;('Corporate Income Tax'!B24+'Corporate Income Tax'!D24+'Corporate Income Tax'!G24),2+(SUM(inv_propia)-'Corporate Income Tax'!B24-'Corporate Income Tax'!D24)/'Corporate Income Tax'!G24,
IF(SUM(inv_propia)&lt;('Corporate Income Tax'!B24+'Corporate Income Tax'!D24+'Corporate Income Tax'!G24+'Corporate Income Tax'!J24),3+(SUM(inv_propia)-'Corporate Income Tax'!B24-'Corporate Income Tax'!D24-'Corporate Income Tax'!G24)/'Corporate Income Tax'!J24,
4+(SUM(inv_propia)-'Corporate Income Tax'!B24-'Corporate Income Tax'!D24-'Corporate Income Tax'!G24-'Corporate Income Tax'!J24)/'Corporate Income Tax'!M24)))))</f>
        <v>N/A</v>
      </c>
      <c r="D60" s="2504" t="str">
        <f ca="1">IF('Corporate Income Tax'!B24+'Corporate Income Tax'!D24+'Corporate Income Tax'!G24+'Corporate Income Tax'!J24+'Corporate Income Tax'!M24&lt;0,"N/A",
IF(SUM('Initial Funding'!H7:H13)&lt;'Corporate Income Tax'!B24,SUM('Initial Funding'!H7:H13)/'Corporate Income Tax'!B24,
IF(SUM('Initial Funding'!H7:H13)&lt;('Corporate Income Tax'!B24+'Corporate Income Tax'!D24),1+(SUM('Initial Funding'!H7:H13)-'Corporate Income Tax'!B24)/'Corporate Income Tax'!D24,
IF(SUM('Initial Funding'!H7:H13)&lt;('Corporate Income Tax'!B24+'Corporate Income Tax'!D24+'Corporate Income Tax'!G24),2+(SUM('Initial Funding'!H7:H13)-'Corporate Income Tax'!B24-'Corporate Income Tax'!D24)/'Corporate Income Tax'!G24,
IF(SUM('Initial Funding'!H7:H13)&lt;('Corporate Income Tax'!B24+'Corporate Income Tax'!D24+'Corporate Income Tax'!G24+'Corporate Income Tax'!J24),3+(SUM('Initial Funding'!H7:H13)-'Corporate Income Tax'!B24-'Corporate Income Tax'!D24-'Corporate Income Tax'!G24)/'Corporate Income Tax'!J24,
4+(SUM('Initial Funding'!H7:H13)-'Corporate Income Tax'!B24-'Corporate Income Tax'!D24-'Corporate Income Tax'!G24-'Corporate Income Tax'!J24)/'Corporate Income Tax'!M24)))))</f>
        <v>N/A</v>
      </c>
      <c r="E60" s="2505" t="e">
        <f>ROUNDUP(C39,0)</f>
        <v>#VALUE!</v>
      </c>
      <c r="F60" s="2500"/>
      <c r="Q60" s="48"/>
      <c r="R60" s="48"/>
      <c r="S60" s="48"/>
      <c r="T60" s="48" t="s">
        <v>1113</v>
      </c>
      <c r="U60" s="48"/>
      <c r="V60" s="48"/>
      <c r="W60" s="48"/>
      <c r="X60" s="48"/>
      <c r="Y60" s="48"/>
      <c r="Z60" s="48"/>
      <c r="AA60" s="48"/>
      <c r="AB60" s="48"/>
      <c r="AC60" s="48"/>
      <c r="AD60" s="48"/>
      <c r="AE60" s="48"/>
      <c r="AF60" s="48"/>
      <c r="AG60" s="48"/>
      <c r="AH60" s="48"/>
      <c r="AI60" s="48"/>
      <c r="AJ60" s="48"/>
      <c r="AK60" s="48"/>
      <c r="AL60" s="48"/>
      <c r="AM60" s="48"/>
      <c r="AN60" s="48"/>
      <c r="AO60" s="48"/>
      <c r="AP60" s="48"/>
      <c r="AQ60" s="48"/>
      <c r="AR60" s="48"/>
      <c r="AS60" s="48"/>
      <c r="AT60" s="48"/>
    </row>
    <row r="61" spans="1:46" ht="15.75" thickBot="1">
      <c r="A61" s="2501" t="s">
        <v>868</v>
      </c>
      <c r="B61" s="2506" t="s">
        <v>872</v>
      </c>
      <c r="C61" s="2507" t="str">
        <f ca="1">IF(ISERR(NPV(Parameters!$C$11,OFFSET(R62,0,0,1,E60+0))),"N/A",NPV(Parameters!$C$11,OFFSET(R62,0,0,1,E60+0))+Q62)</f>
        <v>N/A</v>
      </c>
      <c r="F61" s="2508"/>
      <c r="Q61" s="1502"/>
      <c r="R61" s="1502">
        <v>1</v>
      </c>
      <c r="S61" s="1502">
        <v>2</v>
      </c>
      <c r="T61" s="1502">
        <v>3</v>
      </c>
      <c r="U61" s="1502">
        <v>4</v>
      </c>
      <c r="V61" s="1502">
        <v>5</v>
      </c>
      <c r="W61" s="1502">
        <v>6</v>
      </c>
      <c r="X61" s="1502">
        <v>7</v>
      </c>
      <c r="Y61" s="1502">
        <v>8</v>
      </c>
      <c r="Z61" s="1502">
        <v>9</v>
      </c>
      <c r="AA61" s="1502">
        <v>10</v>
      </c>
      <c r="AB61" s="1502">
        <v>11</v>
      </c>
      <c r="AC61" s="1502">
        <v>12</v>
      </c>
      <c r="AD61" s="1502">
        <v>13</v>
      </c>
      <c r="AE61" s="1502">
        <v>14</v>
      </c>
      <c r="AF61" s="1502">
        <v>15</v>
      </c>
      <c r="AG61" s="1502">
        <v>16</v>
      </c>
      <c r="AH61" s="1502">
        <v>17</v>
      </c>
      <c r="AI61" s="1502">
        <v>18</v>
      </c>
      <c r="AJ61" s="1502">
        <v>19</v>
      </c>
      <c r="AK61" s="1502">
        <v>20</v>
      </c>
      <c r="AL61" s="1502">
        <v>21</v>
      </c>
      <c r="AM61" s="1502">
        <v>22</v>
      </c>
      <c r="AN61" s="1502">
        <v>23</v>
      </c>
      <c r="AO61" s="1502">
        <v>24</v>
      </c>
      <c r="AP61" s="1502">
        <v>25</v>
      </c>
      <c r="AQ61" s="1502">
        <v>26</v>
      </c>
      <c r="AR61" s="1502">
        <v>27</v>
      </c>
      <c r="AS61" s="1502">
        <v>28</v>
      </c>
      <c r="AT61" s="1502">
        <v>29</v>
      </c>
    </row>
    <row r="62" spans="1:46" ht="15.75" thickBot="1">
      <c r="A62" s="2501" t="s">
        <v>869</v>
      </c>
      <c r="B62" s="2506" t="s">
        <v>873</v>
      </c>
      <c r="C62" s="2509" t="str">
        <f ca="1">IF(ISERR(IRR(OFFSET(Q62,0,0,1,E60+1))),"N/A",IRR(OFFSET(Q62,0,0,1,E60+1)))</f>
        <v>N/A</v>
      </c>
      <c r="Q62" s="1654">
        <f>-SUM('Initial Funding'!$H$7:$H$13)*0
-SUM(Funding!C14:D17)
-SUM(Funding!E14:E17)/(1+inflacion)
-SUM(Funding!F14:F17)/POWER(1+inflacion,2)
-SUM(Funding!G14:G17)/POWER(1+inflacion,3)
-SUM(Funding!H14:H17)/POWER(1+inflacion,4)</f>
        <v>-3000</v>
      </c>
      <c r="R62" s="1654">
        <f ca="1">C37-Funding!E14-Funding!E17</f>
        <v>-8958.5279999999984</v>
      </c>
      <c r="S62" s="1654">
        <f ca="1">D37-Funding!F14-Funding!F17</f>
        <v>-5351.874120000004</v>
      </c>
      <c r="T62" s="1654">
        <f ca="1">E37-Funding!G14-Funding!G17</f>
        <v>-5075.2405473000053</v>
      </c>
      <c r="U62" s="1654">
        <f ca="1">F37-Funding!H14-Funding!H17</f>
        <v>-4757.5737695144926</v>
      </c>
      <c r="V62" s="1654">
        <f ca="1">G37</f>
        <v>-4395.7169969529459</v>
      </c>
      <c r="W62" s="1654">
        <f t="shared" ref="W62:AT62" ca="1" si="0">V62*(1+($R$66+($R$67-$R$66)*RAND()))</f>
        <v>-3932.2112655505525</v>
      </c>
      <c r="X62" s="1654">
        <f t="shared" ca="1" si="0"/>
        <v>-3867.0334286032535</v>
      </c>
      <c r="Y62" s="1654">
        <f t="shared" ca="1" si="0"/>
        <v>-3740.9167766072997</v>
      </c>
      <c r="Z62" s="1654">
        <f t="shared" ca="1" si="0"/>
        <v>-3833.0439255116412</v>
      </c>
      <c r="AA62" s="1654">
        <f t="shared" ca="1" si="0"/>
        <v>-3593.9554408794888</v>
      </c>
      <c r="AB62" s="1654">
        <f t="shared" ca="1" si="0"/>
        <v>-3724.3316175061232</v>
      </c>
      <c r="AC62" s="1654">
        <f t="shared" ca="1" si="0"/>
        <v>-3727.164644045009</v>
      </c>
      <c r="AD62" s="1654">
        <f t="shared" ca="1" si="0"/>
        <v>-3956.7760216697025</v>
      </c>
      <c r="AE62" s="1654">
        <f t="shared" ca="1" si="0"/>
        <v>-3768.8276513555588</v>
      </c>
      <c r="AF62" s="1654">
        <f t="shared" ca="1" si="0"/>
        <v>-3652.1327183341864</v>
      </c>
      <c r="AG62" s="1654">
        <f t="shared" ca="1" si="0"/>
        <v>-3114.8346614947072</v>
      </c>
      <c r="AH62" s="1654">
        <f t="shared" ca="1" si="0"/>
        <v>-3080.1274824250468</v>
      </c>
      <c r="AI62" s="1654">
        <f t="shared" ca="1" si="0"/>
        <v>-2764.8312100765038</v>
      </c>
      <c r="AJ62" s="1654">
        <f t="shared" ca="1" si="0"/>
        <v>-2935.1739610934083</v>
      </c>
      <c r="AK62" s="1654">
        <f t="shared" ca="1" si="0"/>
        <v>-3215.3466008014943</v>
      </c>
      <c r="AL62" s="1654">
        <f t="shared" ca="1" si="0"/>
        <v>-2957.5903277884249</v>
      </c>
      <c r="AM62" s="1654">
        <f t="shared" ca="1" si="0"/>
        <v>-3098.2643135833691</v>
      </c>
      <c r="AN62" s="1654">
        <f t="shared" ca="1" si="0"/>
        <v>-3224.6245787762864</v>
      </c>
      <c r="AO62" s="1654">
        <f t="shared" ca="1" si="0"/>
        <v>-3478.7456481992335</v>
      </c>
      <c r="AP62" s="1654">
        <f t="shared" ca="1" si="0"/>
        <v>-3809.3746070251564</v>
      </c>
      <c r="AQ62" s="1654">
        <f t="shared" ca="1" si="0"/>
        <v>-3607.855294734883</v>
      </c>
      <c r="AR62" s="1654">
        <f t="shared" ca="1" si="0"/>
        <v>-3486.4285103495067</v>
      </c>
      <c r="AS62" s="1654">
        <f t="shared" ca="1" si="0"/>
        <v>-3454.1105054776399</v>
      </c>
      <c r="AT62" s="1654">
        <f t="shared" ca="1" si="0"/>
        <v>-3155.8203600624711</v>
      </c>
    </row>
    <row r="63" spans="1:46" ht="15.75" thickBot="1">
      <c r="A63" s="2501" t="s">
        <v>870</v>
      </c>
      <c r="B63" s="2506" t="s">
        <v>874</v>
      </c>
      <c r="C63" s="2510" t="str">
        <f ca="1">IF(ISERR(MIRR(OFFSET(Q62,0,0,1,E60+1),Parameters!$C$6,Parameters!$C$7)),"N/A",MIRR(OFFSET(Q62,0,0,1,E60+1),Parameters!$C$6,Parameters!$C$7))</f>
        <v>N/A</v>
      </c>
      <c r="S63" s="1653">
        <f ca="1">(S62-R62)/R62</f>
        <v>-0.40259447534237713</v>
      </c>
      <c r="T63" s="1653">
        <f t="shared" ref="T63:AS63" ca="1" si="1">(T62-S62)/S62</f>
        <v>-5.1689103012758919E-2</v>
      </c>
      <c r="U63" s="1653">
        <f t="shared" ca="1" si="1"/>
        <v>-6.2591472231697351E-2</v>
      </c>
      <c r="V63" s="1653">
        <f t="shared" ca="1" si="1"/>
        <v>-7.6059098627171459E-2</v>
      </c>
      <c r="W63" s="1653">
        <f t="shared" ca="1" si="1"/>
        <v>-0.10544485273362447</v>
      </c>
      <c r="X63" s="1653">
        <f t="shared" ca="1" si="1"/>
        <v>-1.6575364990765177E-2</v>
      </c>
      <c r="Y63" s="1653">
        <f t="shared" ca="1" si="1"/>
        <v>-3.2613282073826369E-2</v>
      </c>
      <c r="Z63" s="1653">
        <f t="shared" ca="1" si="1"/>
        <v>2.4626890787956313E-2</v>
      </c>
      <c r="AA63" s="1653">
        <f t="shared" ca="1" si="1"/>
        <v>-6.2375618249727836E-2</v>
      </c>
      <c r="AB63" s="1653">
        <f t="shared" ca="1" si="1"/>
        <v>3.6276514489764947E-2</v>
      </c>
      <c r="AC63" s="1653">
        <f t="shared" ca="1" si="1"/>
        <v>7.6068052736477426E-4</v>
      </c>
      <c r="AD63" s="1653">
        <f t="shared" ca="1" si="1"/>
        <v>6.1604838946825086E-2</v>
      </c>
      <c r="AE63" s="1653">
        <f t="shared" ca="1" si="1"/>
        <v>-4.7500381443080046E-2</v>
      </c>
      <c r="AF63" s="1653">
        <f t="shared" ca="1" si="1"/>
        <v>-3.0963191691559578E-2</v>
      </c>
      <c r="AG63" s="1653">
        <f t="shared" ca="1" si="1"/>
        <v>-0.14711898451613553</v>
      </c>
      <c r="AH63" s="1653">
        <f t="shared" ca="1" si="1"/>
        <v>-1.1142542973053225E-2</v>
      </c>
      <c r="AI63" s="1653">
        <f t="shared" ca="1" si="1"/>
        <v>-0.10236468267875193</v>
      </c>
      <c r="AJ63" s="1653">
        <f t="shared" ca="1" si="1"/>
        <v>6.1610542587947355E-2</v>
      </c>
      <c r="AK63" s="1653">
        <f t="shared" ca="1" si="1"/>
        <v>9.5453504092723837E-2</v>
      </c>
      <c r="AL63" s="1653">
        <f t="shared" ca="1" si="1"/>
        <v>-8.0164381951487937E-2</v>
      </c>
      <c r="AM63" s="1653">
        <f t="shared" ca="1" si="1"/>
        <v>4.7563715797020116E-2</v>
      </c>
      <c r="AN63" s="1653">
        <f t="shared" ca="1" si="1"/>
        <v>4.0784210901223077E-2</v>
      </c>
      <c r="AO63" s="1653">
        <f t="shared" ca="1" si="1"/>
        <v>7.8806404657308537E-2</v>
      </c>
      <c r="AP63" s="1653">
        <f t="shared" ca="1" si="1"/>
        <v>9.5042579211582295E-2</v>
      </c>
      <c r="AQ63" s="1653">
        <f t="shared" ca="1" si="1"/>
        <v>-5.2900891374304926E-2</v>
      </c>
      <c r="AR63" s="1653">
        <f t="shared" ca="1" si="1"/>
        <v>-3.3656223563783248E-2</v>
      </c>
      <c r="AS63" s="1653">
        <f t="shared" ca="1" si="1"/>
        <v>-9.2696594167729039E-3</v>
      </c>
      <c r="AT63" s="1653">
        <f ca="1">(AT62-AS62)/AS62</f>
        <v>-8.6358020376629721E-2</v>
      </c>
    </row>
    <row r="64" spans="1:46">
      <c r="Q64" s="48"/>
      <c r="R64" s="48"/>
      <c r="S64" s="48"/>
      <c r="T64" s="48"/>
      <c r="U64" s="48"/>
      <c r="V64" s="48"/>
      <c r="W64" s="48"/>
      <c r="X64" s="48"/>
      <c r="Y64" s="48"/>
      <c r="Z64" s="48"/>
      <c r="AA64" s="48"/>
      <c r="AB64" s="48"/>
      <c r="AC64" s="48"/>
      <c r="AD64" s="48"/>
      <c r="AE64" s="48"/>
      <c r="AF64" s="48"/>
      <c r="AG64" s="48"/>
      <c r="AH64" s="48"/>
      <c r="AI64" s="48"/>
      <c r="AJ64" s="48"/>
      <c r="AK64" s="48"/>
      <c r="AL64" s="48"/>
      <c r="AM64" s="48"/>
      <c r="AN64" s="48"/>
      <c r="AO64" s="48"/>
      <c r="AP64" s="48"/>
      <c r="AQ64" s="48"/>
      <c r="AR64" s="48"/>
      <c r="AS64" s="48"/>
      <c r="AT64" s="48"/>
    </row>
    <row r="65" spans="17:46">
      <c r="Q65" s="48" t="s">
        <v>46</v>
      </c>
      <c r="R65" s="48"/>
      <c r="S65" s="48"/>
      <c r="T65" s="48"/>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row>
    <row r="66" spans="17:46">
      <c r="Q66" s="1460" t="s">
        <v>44</v>
      </c>
      <c r="R66" s="1655">
        <v>-0.15</v>
      </c>
      <c r="S66" s="48"/>
      <c r="T66" s="48"/>
      <c r="U66" s="48"/>
      <c r="V66" s="48"/>
      <c r="W66" s="48"/>
      <c r="X66" s="48"/>
      <c r="Y66" s="48"/>
      <c r="Z66" s="48"/>
      <c r="AA66" s="48"/>
      <c r="AB66" s="48"/>
      <c r="AC66" s="48"/>
      <c r="AD66" s="48"/>
      <c r="AE66" s="48"/>
      <c r="AF66" s="48"/>
      <c r="AG66" s="48"/>
      <c r="AH66" s="48"/>
      <c r="AI66" s="48"/>
      <c r="AJ66" s="48"/>
      <c r="AK66" s="48"/>
      <c r="AL66" s="48"/>
      <c r="AM66" s="48"/>
    </row>
    <row r="67" spans="17:46">
      <c r="Q67" s="1460" t="s">
        <v>45</v>
      </c>
      <c r="R67" s="1655">
        <v>0.2</v>
      </c>
      <c r="S67" s="48"/>
      <c r="T67" s="48"/>
      <c r="U67" s="48"/>
      <c r="V67" s="48"/>
      <c r="W67" s="48"/>
      <c r="X67" s="48"/>
      <c r="Y67" s="48"/>
      <c r="Z67" s="48"/>
      <c r="AA67" s="48"/>
      <c r="AB67" s="48"/>
      <c r="AC67" s="48"/>
      <c r="AD67" s="48"/>
      <c r="AE67" s="48"/>
      <c r="AF67" s="48"/>
      <c r="AG67" s="48"/>
      <c r="AH67" s="48"/>
      <c r="AI67" s="48"/>
      <c r="AJ67" s="48"/>
      <c r="AK67" s="48"/>
      <c r="AL67" s="48"/>
      <c r="AM67" s="48"/>
    </row>
    <row r="68" spans="17:46">
      <c r="Q68" s="1460" t="s">
        <v>47</v>
      </c>
      <c r="R68" s="1655">
        <f ca="1">AVERAGE(S63:AT63)</f>
        <v>-3.103044090170683E-2</v>
      </c>
      <c r="S68" s="48"/>
      <c r="T68" s="48"/>
      <c r="U68" s="48"/>
      <c r="V68" s="48"/>
      <c r="W68" s="48"/>
      <c r="X68" s="48"/>
      <c r="Y68" s="48"/>
      <c r="Z68" s="48"/>
      <c r="AA68" s="48"/>
      <c r="AB68" s="48"/>
      <c r="AC68" s="48"/>
      <c r="AD68" s="48"/>
      <c r="AE68" s="48"/>
      <c r="AF68" s="48"/>
      <c r="AG68" s="48"/>
      <c r="AH68" s="48"/>
      <c r="AI68" s="48"/>
      <c r="AJ68" s="48"/>
      <c r="AK68" s="48"/>
      <c r="AL68" s="48"/>
      <c r="AM68" s="48"/>
    </row>
    <row r="69" spans="17:46">
      <c r="R69" s="1439"/>
      <c r="S69" s="48"/>
      <c r="T69" s="48"/>
      <c r="U69" s="48"/>
      <c r="V69" s="48"/>
      <c r="W69" s="48"/>
      <c r="X69" s="48"/>
      <c r="Y69" s="48"/>
      <c r="Z69" s="48"/>
      <c r="AA69" s="48"/>
      <c r="AB69" s="48"/>
      <c r="AC69" s="48"/>
      <c r="AD69" s="48"/>
      <c r="AE69" s="48"/>
      <c r="AF69" s="48"/>
      <c r="AG69" s="48"/>
      <c r="AH69" s="48"/>
      <c r="AI69" s="48"/>
      <c r="AJ69" s="48"/>
      <c r="AK69" s="48"/>
      <c r="AL69" s="48"/>
      <c r="AM69" s="48"/>
    </row>
    <row r="70" spans="17:46">
      <c r="R70" s="48"/>
      <c r="S70" s="48"/>
      <c r="T70" s="48"/>
      <c r="U70" s="48"/>
      <c r="V70" s="48"/>
      <c r="W70" s="48"/>
      <c r="X70" s="48"/>
      <c r="Y70" s="48"/>
      <c r="Z70" s="48"/>
      <c r="AA70" s="48"/>
      <c r="AB70" s="48"/>
      <c r="AC70" s="48"/>
      <c r="AD70" s="48"/>
      <c r="AE70" s="48"/>
      <c r="AF70" s="48"/>
      <c r="AG70" s="48"/>
      <c r="AH70" s="48"/>
      <c r="AI70" s="48"/>
      <c r="AJ70" s="48"/>
      <c r="AK70" s="48"/>
      <c r="AL70" s="48"/>
    </row>
  </sheetData>
  <sheetProtection sheet="1" objects="1" scenarios="1"/>
  <phoneticPr fontId="7" type="noConversion"/>
  <printOptions horizontalCentered="1"/>
  <pageMargins left="0.75" right="0.75" top="0.43" bottom="0.53" header="0.44" footer="0.31496062992125984"/>
  <pageSetup paperSize="9" scale="63" orientation="landscape" horizontalDpi="360" verticalDpi="300" r:id="rId1"/>
  <headerFooter alignWithMargins="0">
    <oddFooter>&amp;C&amp;"Tahoma,Normal"&amp;10&amp;A</oddFooter>
  </headerFooter>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5C22F-2AC3-4F77-B586-875FB9618023}">
  <sheetPr>
    <tabColor rgb="FF00B050"/>
  </sheetPr>
  <dimension ref="A1:J64"/>
  <sheetViews>
    <sheetView topLeftCell="A3" zoomScaleNormal="100" workbookViewId="0">
      <selection activeCell="B73" sqref="B73"/>
    </sheetView>
  </sheetViews>
  <sheetFormatPr baseColWidth="10" defaultRowHeight="15.75"/>
  <cols>
    <col min="1" max="1" width="11.875" bestFit="1" customWidth="1"/>
    <col min="2" max="2" width="46.375" customWidth="1"/>
    <col min="3" max="3" width="15.375" customWidth="1"/>
    <col min="4" max="8" width="9" customWidth="1"/>
  </cols>
  <sheetData>
    <row r="1" spans="1:9" ht="25.5">
      <c r="A1" s="552" t="s">
        <v>1227</v>
      </c>
      <c r="B1" s="35"/>
      <c r="C1" s="35"/>
      <c r="D1" s="1502"/>
      <c r="E1" s="1502"/>
      <c r="F1" s="1502"/>
      <c r="G1" s="1502"/>
      <c r="H1" s="1502"/>
      <c r="I1" s="35"/>
    </row>
    <row r="2" spans="1:9" ht="25.5">
      <c r="A2" s="552" t="str">
        <f>'Base Data'!B9</f>
        <v>WWW, Ltd.</v>
      </c>
      <c r="B2" s="35"/>
      <c r="C2" s="35"/>
      <c r="D2" s="1502"/>
      <c r="E2" s="1502"/>
      <c r="F2" s="1502"/>
      <c r="G2" s="1502"/>
      <c r="H2" s="1502"/>
      <c r="I2" s="35"/>
    </row>
    <row r="4" spans="1:9" ht="16.5" thickBot="1">
      <c r="A4" s="35"/>
      <c r="B4" s="35"/>
      <c r="C4" s="35"/>
      <c r="D4" s="1502"/>
      <c r="E4" s="1502"/>
      <c r="F4" s="1502"/>
      <c r="G4" s="1502"/>
      <c r="H4" s="1502"/>
      <c r="I4" s="35"/>
    </row>
    <row r="5" spans="1:9" ht="36.75" customHeight="1" thickBot="1">
      <c r="A5" s="3201" t="s">
        <v>1228</v>
      </c>
      <c r="B5" s="35"/>
      <c r="C5" s="3202" t="s">
        <v>1223</v>
      </c>
      <c r="D5" s="3203" t="str">
        <f t="array" ref="D5:H5">anni</f>
        <v>Year 0:   2026</v>
      </c>
      <c r="E5" s="3204" t="str">
        <v>Year 1:   2027</v>
      </c>
      <c r="F5" s="3204" t="str">
        <v>Year 2:   2028</v>
      </c>
      <c r="G5" s="3204" t="str">
        <v>Year 3:   2029</v>
      </c>
      <c r="H5" s="3205" t="str">
        <v>Year 4:   2030</v>
      </c>
      <c r="I5" s="35"/>
    </row>
    <row r="6" spans="1:9" ht="26.25" customHeight="1">
      <c r="A6" s="35"/>
      <c r="B6" s="69" t="s">
        <v>1236</v>
      </c>
      <c r="C6" s="3206">
        <v>1.47</v>
      </c>
      <c r="D6" s="3207">
        <f ca="1">'Balance Sheet Statements (EU)'!F13/'Balance Sheet Statements (EU)'!F37</f>
        <v>-36.554884712348922</v>
      </c>
      <c r="E6" s="3208">
        <f ca="1">'Balance Sheet Statements (EU)'!H13/'Balance Sheet Statements (EU)'!H37</f>
        <v>-64.481009743546835</v>
      </c>
      <c r="F6" s="3208">
        <f ca="1">'Balance Sheet Statements (EU)'!J13/'Balance Sheet Statements (EU)'!J37</f>
        <v>-84.60482086431324</v>
      </c>
      <c r="G6" s="3208">
        <f ca="1">'Balance Sheet Statements (EU)'!L13/'Balance Sheet Statements (EU)'!L37</f>
        <v>-99.83464945132674</v>
      </c>
      <c r="H6" s="3209">
        <f ca="1">'Balance Sheet Statements (EU)'!N13/'Balance Sheet Statements (EU)'!N37</f>
        <v>-110.81083785383261</v>
      </c>
      <c r="I6" s="35"/>
    </row>
    <row r="7" spans="1:9" ht="26.25" customHeight="1">
      <c r="A7" s="35"/>
      <c r="B7" s="1326" t="s">
        <v>1234</v>
      </c>
      <c r="C7" s="3210">
        <v>0.4</v>
      </c>
      <c r="D7" s="3211">
        <f ca="1">'Balance Sheet Statements (EU)'!F26/('Balance Sheet Statements (EU)'!F32+'Balance Sheet Statements (EU)'!F37)</f>
        <v>-37.554884712348922</v>
      </c>
      <c r="E7" s="3212">
        <f ca="1">'Balance Sheet Statements (EU)'!H26/('Balance Sheet Statements (EU)'!H32+'Balance Sheet Statements (EU)'!H37)</f>
        <v>-65.481009743546821</v>
      </c>
      <c r="F7" s="3212">
        <f ca="1">'Balance Sheet Statements (EU)'!J26/('Balance Sheet Statements (EU)'!J32+'Balance Sheet Statements (EU)'!J37)</f>
        <v>-85.604820864313197</v>
      </c>
      <c r="G7" s="3212">
        <f ca="1">'Balance Sheet Statements (EU)'!L26/('Balance Sheet Statements (EU)'!L32+'Balance Sheet Statements (EU)'!L37)</f>
        <v>-100.83464945132674</v>
      </c>
      <c r="H7" s="3213">
        <f ca="1">'Balance Sheet Statements (EU)'!N26/('Balance Sheet Statements (EU)'!N32+'Balance Sheet Statements (EU)'!N37)</f>
        <v>-111.81083785383254</v>
      </c>
      <c r="I7" s="35"/>
    </row>
    <row r="8" spans="1:9" ht="26.25" customHeight="1">
      <c r="A8" s="35"/>
      <c r="B8" s="1326" t="s">
        <v>1233</v>
      </c>
      <c r="C8" s="3210">
        <v>0.03</v>
      </c>
      <c r="D8" s="3211">
        <f ca="1">+'Yearly Income St'!B33/'Balance Sheet Statements (EU)'!F24</f>
        <v>1.3729299241454413</v>
      </c>
      <c r="E8" s="3212">
        <f ca="1">+'Yearly Income St'!D33/'Balance Sheet Statements (EU)'!H24</f>
        <v>0.44222723753304471</v>
      </c>
      <c r="F8" s="3212">
        <f ca="1">+'Yearly Income St'!G33/'Balance Sheet Statements (EU)'!J24</f>
        <v>0.29623857927308139</v>
      </c>
      <c r="G8" s="3212">
        <f ca="1">+'Yearly Income St'!J33/'Balance Sheet Statements (EU)'!L24</f>
        <v>0.21758901976436693</v>
      </c>
      <c r="H8" s="3213">
        <f ca="1">+'Yearly Income St'!M33/'Balance Sheet Statements (EU)'!N24</f>
        <v>0.16758052528278333</v>
      </c>
      <c r="I8" s="35"/>
    </row>
    <row r="9" spans="1:9" ht="26.25" customHeight="1">
      <c r="A9" s="35"/>
      <c r="B9" s="1326" t="s">
        <v>1232</v>
      </c>
      <c r="C9" s="3210">
        <v>0.02</v>
      </c>
      <c r="D9" s="3211">
        <f ca="1">+'Yearly Income St'!B33/'Yearly Income St'!B5</f>
        <v>-1.2884333333333333</v>
      </c>
      <c r="E9" s="3212">
        <f ca="1">+'Yearly Income St'!D33/'Yearly Income St'!D5</f>
        <v>-0.4332378640776699</v>
      </c>
      <c r="F9" s="3212">
        <f ca="1">+'Yearly Income St'!G33/'Yearly Income St'!G5</f>
        <v>-0.3808208345115785</v>
      </c>
      <c r="G9" s="3212">
        <f ca="1">+'Yearly Income St'!J33/'Yearly Income St'!J5</f>
        <v>-0.3300928917404567</v>
      </c>
      <c r="H9" s="3213">
        <f ca="1">+'Yearly Income St'!M33/'Yearly Income St'!M5</f>
        <v>-0.28219922754613963</v>
      </c>
      <c r="I9" s="1502"/>
    </row>
    <row r="10" spans="1:9" ht="26.25" customHeight="1" thickBot="1">
      <c r="A10" s="35"/>
      <c r="B10" s="70" t="s">
        <v>1235</v>
      </c>
      <c r="C10" s="3214">
        <v>0.06</v>
      </c>
      <c r="D10" s="3215">
        <f ca="1">+'Yearly Income St'!B33/'Balance Sheet Statements (EU)'!F26</f>
        <v>1.3363719654494852</v>
      </c>
      <c r="E10" s="3216">
        <f ca="1">+'Yearly Income St'!D33/'Balance Sheet Statements (EU)'!H26</f>
        <v>0.43547371862328754</v>
      </c>
      <c r="F10" s="3216">
        <f ca="1">+'Yearly Income St'!G33/'Balance Sheet Statements (EU)'!J26</f>
        <v>0.2927780430990426</v>
      </c>
      <c r="G10" s="3216">
        <f ca="1">+'Yearly Income St'!J33/'Balance Sheet Statements (EU)'!L26</f>
        <v>0.21543114029586738</v>
      </c>
      <c r="H10" s="3217">
        <f ca="1">+'Yearly Income St'!M33/'Balance Sheet Statements (EU)'!N26</f>
        <v>0.16608173922143707</v>
      </c>
      <c r="I10" s="1439"/>
    </row>
    <row r="15" spans="1:9">
      <c r="A15" s="3201" t="s">
        <v>1229</v>
      </c>
      <c r="B15" s="35"/>
      <c r="C15" s="35"/>
      <c r="D15" s="1502"/>
      <c r="E15" s="1502"/>
      <c r="F15" s="1502"/>
      <c r="G15" s="1502"/>
      <c r="H15" s="1502"/>
      <c r="I15" s="35"/>
    </row>
    <row r="17" spans="2:8">
      <c r="B17" s="35" t="s">
        <v>1230</v>
      </c>
      <c r="C17" s="35"/>
      <c r="D17" s="1502"/>
      <c r="E17" s="1502"/>
      <c r="F17" s="1502"/>
      <c r="G17" s="1502"/>
      <c r="H17" s="1502"/>
    </row>
    <row r="18" spans="2:8">
      <c r="B18" s="35" t="s">
        <v>1224</v>
      </c>
      <c r="C18" s="35"/>
      <c r="D18" s="1502"/>
      <c r="E18" s="1502"/>
      <c r="F18" s="1502"/>
      <c r="G18" s="1502"/>
      <c r="H18" s="1502"/>
    </row>
    <row r="19" spans="2:8" ht="16.5" thickBot="1">
      <c r="B19" s="35"/>
      <c r="C19" s="35"/>
      <c r="D19" s="1502"/>
      <c r="E19" s="1502"/>
      <c r="F19" s="1502"/>
      <c r="G19" s="1502"/>
      <c r="H19" s="1502"/>
    </row>
    <row r="20" spans="2:8" ht="30.75" thickBot="1">
      <c r="B20" s="3218" t="s">
        <v>1237</v>
      </c>
      <c r="C20" s="3202" t="s">
        <v>1231</v>
      </c>
      <c r="D20" s="3203" t="str">
        <f t="array" ref="D20:H20">anni</f>
        <v>Year 0:   2026</v>
      </c>
      <c r="E20" s="3204" t="str">
        <v>Year 1:   2027</v>
      </c>
      <c r="F20" s="3204" t="str">
        <v>Year 2:   2028</v>
      </c>
      <c r="G20" s="3204" t="str">
        <v>Year 3:   2029</v>
      </c>
      <c r="H20" s="3205" t="str">
        <v>Year 4:   2030</v>
      </c>
    </row>
    <row r="21" spans="2:8" s="48" customFormat="1" ht="20.25" customHeight="1">
      <c r="B21" s="1352" t="s">
        <v>1238</v>
      </c>
      <c r="C21" s="3206">
        <v>1.2</v>
      </c>
      <c r="D21" s="3207">
        <f ca="1">+'Balance Sheet Statements (EU)'!F13/'Balance Sheet Statements (EU)'!F24</f>
        <v>1</v>
      </c>
      <c r="E21" s="3208">
        <f ca="1">+'Balance Sheet Statements (EU)'!H13/'Balance Sheet Statements (EU)'!H24</f>
        <v>1</v>
      </c>
      <c r="F21" s="3208">
        <f ca="1">+'Balance Sheet Statements (EU)'!J13/'Balance Sheet Statements (EU)'!J24</f>
        <v>1</v>
      </c>
      <c r="G21" s="3208">
        <f ca="1">+'Balance Sheet Statements (EU)'!L13/'Balance Sheet Statements (EU)'!L24</f>
        <v>1</v>
      </c>
      <c r="H21" s="3209">
        <f ca="1">+'Balance Sheet Statements (EU)'!N13/'Balance Sheet Statements (EU)'!N24</f>
        <v>1</v>
      </c>
    </row>
    <row r="22" spans="2:8" s="48" customFormat="1" ht="20.25" customHeight="1">
      <c r="B22" s="1326" t="s">
        <v>1241</v>
      </c>
      <c r="C22" s="3210">
        <v>1.4</v>
      </c>
      <c r="D22" s="3211">
        <f ca="1">[2]Imp.Sociedades!B31/'Balance Sheet Statements (EU)'!F24</f>
        <v>-0.52545569122307678</v>
      </c>
      <c r="E22" s="3212">
        <f ca="1">[2]Imp.Sociedades!D31/'Balance Sheet Statements (EU)'!H24</f>
        <v>-1.1232336218639181</v>
      </c>
      <c r="F22" s="3212">
        <f ca="1">[2]Imp.Sociedades!G31/'Balance Sheet Statements (EU)'!J24</f>
        <v>-0.90490566450778398</v>
      </c>
      <c r="G22" s="3212">
        <f ca="1">[2]Imp.Sociedades!J31/'Balance Sheet Statements (EU)'!L24</f>
        <v>-0.84263937524005383</v>
      </c>
      <c r="H22" s="3213">
        <f ca="1">[2]Imp.Sociedades!M31/'Balance Sheet Statements (EU)'!N24</f>
        <v>-0.8404637494264432</v>
      </c>
    </row>
    <row r="23" spans="2:8" s="48" customFormat="1" ht="20.25" customHeight="1">
      <c r="B23" s="1326" t="s">
        <v>1239</v>
      </c>
      <c r="C23" s="3210">
        <v>3.3</v>
      </c>
      <c r="D23" s="3211">
        <f ca="1">'Yearly Income St'!B20/'Balance Sheet Statements (EU)'!F24</f>
        <v>1.3600363955069192</v>
      </c>
      <c r="E23" s="3212">
        <f ca="1">'Yearly Income St'!D20/'Balance Sheet Statements (EU)'!H24</f>
        <v>0.42987617125322719</v>
      </c>
      <c r="F23" s="3212">
        <f ca="1">'Yearly Income St'!G20/'Balance Sheet Statements (EU)'!J24</f>
        <v>0.28682605116441962</v>
      </c>
      <c r="G23" s="3212">
        <f ca="1">'Yearly Income St'!J20/'Balance Sheet Statements (EU)'!L24</f>
        <v>0.20961300087687473</v>
      </c>
      <c r="H23" s="3213">
        <f ca="1">'Yearly Income St'!M20/'Balance Sheet Statements (EU)'!N24</f>
        <v>0.16039508975358741</v>
      </c>
    </row>
    <row r="24" spans="2:8" s="48" customFormat="1" ht="20.25" customHeight="1">
      <c r="B24" s="1326" t="s">
        <v>1242</v>
      </c>
      <c r="C24" s="3210">
        <v>0.6</v>
      </c>
      <c r="D24" s="3211">
        <v>0</v>
      </c>
      <c r="E24" s="3212">
        <v>0</v>
      </c>
      <c r="F24" s="3212">
        <v>0</v>
      </c>
      <c r="G24" s="3212">
        <v>0</v>
      </c>
      <c r="H24" s="3213">
        <v>0</v>
      </c>
    </row>
    <row r="25" spans="2:8" s="48" customFormat="1" ht="20.25" customHeight="1" thickBot="1">
      <c r="B25" s="70" t="s">
        <v>1240</v>
      </c>
      <c r="C25" s="3219">
        <v>1</v>
      </c>
      <c r="D25" s="3215">
        <f ca="1">'Yearly Income St'!B5/'Balance Sheet Statements (EU)'!F24</f>
        <v>-1.0655808792167034</v>
      </c>
      <c r="E25" s="3216">
        <f ca="1">'Yearly Income St'!D5/'Balance Sheet Statements (EU)'!H24</f>
        <v>-1.0207492793237556</v>
      </c>
      <c r="F25" s="3216">
        <f ca="1">'Yearly Income St'!G5/'Balance Sheet Statements (EU)'!J24</f>
        <v>-0.77789488501337378</v>
      </c>
      <c r="G25" s="3216">
        <f ca="1">'Yearly Income St'!J5/'Balance Sheet Statements (EU)'!L24</f>
        <v>-0.65917511466878664</v>
      </c>
      <c r="H25" s="3217">
        <f ca="1">'Yearly Income St'!M5/'Balance Sheet Statements (EU)'!N24</f>
        <v>-0.59383764704098596</v>
      </c>
    </row>
    <row r="28" spans="2:8">
      <c r="B28" s="3220" t="s">
        <v>1225</v>
      </c>
      <c r="C28" s="978"/>
      <c r="D28" s="3221">
        <f ca="1">SUMPRODUCT($C$21:$C$25,D21:D25)</f>
        <v>3.8869012582438227</v>
      </c>
      <c r="E28" s="3221">
        <f t="shared" ref="E28:G28" ca="1" si="0">SUMPRODUCT($C$21:$C$25,E21:E25)</f>
        <v>2.5315015202408864E-2</v>
      </c>
      <c r="F28" s="3221">
        <f t="shared" ca="1" si="0"/>
        <v>0.10176315351831344</v>
      </c>
      <c r="G28" s="3221">
        <f t="shared" ca="1" si="0"/>
        <v>5.285266288882462E-2</v>
      </c>
      <c r="H28" s="3221">
        <f ca="1">SUMPRODUCT($C$21:$C$25,H21:H25)</f>
        <v>-4.1183100051167987E-2</v>
      </c>
    </row>
    <row r="30" spans="2:8" ht="43.5" customHeight="1">
      <c r="B30" s="35"/>
      <c r="C30" s="35"/>
      <c r="D30" s="3222" t="str">
        <f t="shared" ref="D30:H30" ca="1" si="1">IF(D28&gt;=3,"Risk free",IF(D28&gt;=1.8,"Doubtful risk","High Risk"))</f>
        <v>Risk free</v>
      </c>
      <c r="E30" s="3222" t="str">
        <f t="shared" ca="1" si="1"/>
        <v>High Risk</v>
      </c>
      <c r="F30" s="3222" t="str">
        <f t="shared" ca="1" si="1"/>
        <v>High Risk</v>
      </c>
      <c r="G30" s="3222" t="str">
        <f t="shared" ca="1" si="1"/>
        <v>High Risk</v>
      </c>
      <c r="H30" s="3222" t="str">
        <f t="shared" ca="1" si="1"/>
        <v>High Risk</v>
      </c>
    </row>
    <row r="35" spans="1:10" hidden="1">
      <c r="A35" s="3201" t="s">
        <v>1244</v>
      </c>
      <c r="B35" s="35"/>
      <c r="C35" s="35"/>
      <c r="D35" s="1502"/>
      <c r="E35" s="1502"/>
      <c r="F35" s="1502"/>
      <c r="G35" s="1502"/>
      <c r="H35" s="1502"/>
      <c r="I35" s="35"/>
      <c r="J35" s="35"/>
    </row>
    <row r="36" spans="1:10" hidden="1">
      <c r="A36" s="3201"/>
      <c r="B36" s="35"/>
      <c r="C36" s="35"/>
      <c r="D36" s="1502"/>
      <c r="E36" s="1502"/>
      <c r="F36" s="1502"/>
      <c r="G36" s="1502"/>
      <c r="H36" s="1502"/>
      <c r="I36" s="35"/>
      <c r="J36" s="35"/>
    </row>
    <row r="37" spans="1:10" hidden="1">
      <c r="A37" s="35"/>
      <c r="B37" s="35" t="s">
        <v>1243</v>
      </c>
      <c r="C37" s="35"/>
      <c r="D37" s="1502"/>
      <c r="E37" s="1502"/>
      <c r="F37" s="1502"/>
      <c r="G37" s="1502"/>
      <c r="H37" s="1502"/>
      <c r="I37" s="35"/>
      <c r="J37" s="35"/>
    </row>
    <row r="38" spans="1:10" hidden="1">
      <c r="A38" s="35"/>
      <c r="B38" s="35"/>
      <c r="C38" s="35"/>
      <c r="D38" s="1502"/>
      <c r="E38" s="1502"/>
      <c r="F38" s="1502"/>
      <c r="G38" s="1502"/>
      <c r="H38" s="1502"/>
      <c r="I38" s="35"/>
      <c r="J38" s="35"/>
    </row>
    <row r="39" spans="1:10" ht="16.5" hidden="1" thickBot="1">
      <c r="A39" s="35"/>
      <c r="B39" s="35"/>
      <c r="C39" s="35"/>
      <c r="D39" s="1502"/>
      <c r="E39" s="1502"/>
      <c r="F39" s="1502"/>
      <c r="G39" s="1502"/>
      <c r="H39" s="1502"/>
      <c r="I39" s="35"/>
      <c r="J39" s="35"/>
    </row>
    <row r="40" spans="1:10" ht="30.75" hidden="1" thickBot="1">
      <c r="A40" s="35"/>
      <c r="B40" s="3218" t="s">
        <v>1237</v>
      </c>
      <c r="C40" s="3202" t="s">
        <v>1245</v>
      </c>
      <c r="D40" s="3203" t="str">
        <f t="array" ref="D40:H40">anni</f>
        <v>Year 0:   2026</v>
      </c>
      <c r="E40" s="3204" t="str">
        <v>Year 1:   2027</v>
      </c>
      <c r="F40" s="3204" t="str">
        <v>Year 2:   2028</v>
      </c>
      <c r="G40" s="3204" t="str">
        <v>Year 3:   2029</v>
      </c>
      <c r="H40" s="3205" t="str">
        <v>Year 4:   2030</v>
      </c>
      <c r="I40" s="35"/>
      <c r="J40" s="35"/>
    </row>
    <row r="41" spans="1:10" ht="22.5" hidden="1" customHeight="1">
      <c r="A41" s="35"/>
      <c r="B41" s="3223" t="s">
        <v>1249</v>
      </c>
      <c r="C41" s="3206">
        <v>1.2</v>
      </c>
      <c r="D41" s="3207">
        <f ca="1">('Balance Sheet Statements (EU)'!F13+'Balance Sheet Statements (EU)'!F37)/'Balance Sheet Statements (EU)'!F24</f>
        <v>0.97264387487830928</v>
      </c>
      <c r="E41" s="3208">
        <f ca="1">('Balance Sheet Statements (EU)'!H13+'Balance Sheet Statements (EU)'!H37)/'Balance Sheet Statements (EU)'!H24</f>
        <v>0.9844915579954906</v>
      </c>
      <c r="F41" s="3208">
        <f ca="1">('Balance Sheet Statements (EU)'!J13+'Balance Sheet Statements (EU)'!J37)/'Balance Sheet Statements (EU)'!J24</f>
        <v>0.98818034256459486</v>
      </c>
      <c r="G41" s="3208">
        <f ca="1">('Balance Sheet Statements (EU)'!L13+'Balance Sheet Statements (EU)'!L37)/'Balance Sheet Statements (EU)'!L24</f>
        <v>0.98998343755904561</v>
      </c>
      <c r="H41" s="3209">
        <f ca="1">('Balance Sheet Statements (EU)'!N13+'Balance Sheet Statements (EU)'!N37)/'Balance Sheet Statements (EU)'!N24</f>
        <v>0.9909756119584705</v>
      </c>
      <c r="I41" s="35"/>
      <c r="J41" s="35">
        <f t="shared" ref="J41:J44" ca="1" si="2">D41*C41</f>
        <v>1.1671726498539712</v>
      </c>
    </row>
    <row r="42" spans="1:10" ht="22.5" hidden="1" customHeight="1">
      <c r="A42" s="35"/>
      <c r="B42" s="3224" t="s">
        <v>1250</v>
      </c>
      <c r="C42" s="3210">
        <v>1.4</v>
      </c>
      <c r="D42" s="3211">
        <f ca="1">('Balance Sheet Statements (EU)'!F26+'Balance Sheet Statements (EU)'!F32)/'Balance Sheet Statements (EU)'!F46</f>
        <v>1.0273561251216907</v>
      </c>
      <c r="E42" s="3212">
        <f ca="1">('Balance Sheet Statements (EU)'!H26+'Balance Sheet Statements (EU)'!H32)/'Balance Sheet Statements (EU)'!H46</f>
        <v>1.0155084420045093</v>
      </c>
      <c r="F42" s="3212">
        <f ca="1">('Balance Sheet Statements (EU)'!J26+'Balance Sheet Statements (EU)'!J32)/'Balance Sheet Statements (EU)'!J46</f>
        <v>1.011819657435405</v>
      </c>
      <c r="G42" s="3212">
        <f ca="1">('Balance Sheet Statements (EU)'!L26+'Balance Sheet Statements (EU)'!L32)/'Balance Sheet Statements (EU)'!L46</f>
        <v>1.0100165624409543</v>
      </c>
      <c r="H42" s="3213">
        <f ca="1">('Balance Sheet Statements (EU)'!N26+'Balance Sheet Statements (EU)'!N32)/'Balance Sheet Statements (EU)'!N46</f>
        <v>1.0090243880415295</v>
      </c>
      <c r="I42" s="35"/>
      <c r="J42" s="35">
        <f t="shared" ca="1" si="2"/>
        <v>1.438298575170367</v>
      </c>
    </row>
    <row r="43" spans="1:10" ht="22.5" hidden="1" customHeight="1">
      <c r="A43" s="35"/>
      <c r="B43" s="3224" t="s">
        <v>1251</v>
      </c>
      <c r="C43" s="3210">
        <v>3.3</v>
      </c>
      <c r="D43" s="3211">
        <f ca="1">'Yearly Income St'!B26/'Yearly Income St'!B5</f>
        <v>1.21E-2</v>
      </c>
      <c r="E43" s="3212">
        <f ca="1">'Yearly Income St'!D26/'Yearly Income St'!D5</f>
        <v>1.2099999999999996E-2</v>
      </c>
      <c r="F43" s="3212">
        <f ca="1">'Yearly Income St'!G26/'Yearly Income St'!G5</f>
        <v>1.2100000000000001E-2</v>
      </c>
      <c r="G43" s="3212">
        <f ca="1">'Yearly Income St'!J26/'Yearly Income St'!J5</f>
        <v>1.21E-2</v>
      </c>
      <c r="H43" s="3213">
        <f ca="1">'Yearly Income St'!M26/'Yearly Income St'!M5</f>
        <v>1.2100000000000005E-2</v>
      </c>
      <c r="I43" s="35"/>
      <c r="J43" s="35">
        <f t="shared" ca="1" si="2"/>
        <v>3.9929999999999993E-2</v>
      </c>
    </row>
    <row r="44" spans="1:10" ht="22.5" hidden="1" customHeight="1">
      <c r="A44" s="35"/>
      <c r="B44" s="3224" t="s">
        <v>1252</v>
      </c>
      <c r="C44" s="3210">
        <v>0.6</v>
      </c>
      <c r="D44" s="3211">
        <f ca="1">('Yearly Income St'!B15+'Yearly Income St'!B16)/('Yearly Income St'!B13-'Yearly Income St'!B17)</f>
        <v>2.4721261053440986</v>
      </c>
      <c r="E44" s="3212">
        <f ca="1">('Yearly Income St'!D15+'Yearly Income St'!D16)/('Yearly Income St'!D13-'Yearly Income St'!D17)</f>
        <v>1.4850798677742141</v>
      </c>
      <c r="F44" s="3212">
        <f ca="1">('Yearly Income St'!G15+'Yearly Income St'!G16)/('Yearly Income St'!G13-'Yearly Income St'!G17)</f>
        <v>1.424670166864721</v>
      </c>
      <c r="G44" s="3212">
        <f ca="1">('Yearly Income St'!J15+'Yearly Income St'!J16)/('Yearly Income St'!J13-'Yearly Income St'!J17)</f>
        <v>1.3662162081022102</v>
      </c>
      <c r="H44" s="3213">
        <f ca="1">('Yearly Income St'!M15+'Yearly Income St'!M16)/('Yearly Income St'!M13-'Yearly Income St'!M17)</f>
        <v>1.3110364999566249</v>
      </c>
      <c r="I44" s="35"/>
      <c r="J44" s="35">
        <f t="shared" ca="1" si="2"/>
        <v>1.4832756632064592</v>
      </c>
    </row>
    <row r="45" spans="1:10" ht="22.5" hidden="1" customHeight="1" thickBot="1">
      <c r="A45" s="35"/>
      <c r="B45" s="3225" t="s">
        <v>1253</v>
      </c>
      <c r="C45" s="3214">
        <v>1</v>
      </c>
      <c r="D45" s="3215">
        <f ca="1">('Yearly Income St'!B20-'Yearly Income St'!B10)/('Balance Sheet Statements (EU)'!F32+'Balance Sheet Statements (EU)'!F37)</f>
        <v>-49.715973642354015</v>
      </c>
      <c r="E45" s="3216">
        <f ca="1">('Yearly Income St'!D20-'Yearly Income St'!D10)/('Balance Sheet Statements (EU)'!H32+'Balance Sheet Statements (EU)'!H37)</f>
        <v>-27.718849587097953</v>
      </c>
      <c r="F45" s="3216">
        <f ca="1">('Yearly Income St'!G20-'Yearly Income St'!G10)/('Balance Sheet Statements (EU)'!J32+'Balance Sheet Statements (EU)'!J37)</f>
        <v>-24.266866677984062</v>
      </c>
      <c r="G45" s="3216">
        <f ca="1">('Yearly Income St'!J20-'Yearly Income St'!J10)/('Balance Sheet Statements (EU)'!L32+'Balance Sheet Statements (EU)'!L37)</f>
        <v>-20.926640462983435</v>
      </c>
      <c r="H45" s="3217">
        <f ca="1">('Yearly Income St'!M20-'Yearly Income St'!M10)/('Balance Sheet Statements (EU)'!N32+'Balance Sheet Statements (EU)'!N37)</f>
        <v>-17.773514283235702</v>
      </c>
      <c r="I45" s="35"/>
      <c r="J45" s="35">
        <f ca="1">D45*C45</f>
        <v>-49.715973642354015</v>
      </c>
    </row>
    <row r="46" spans="1:10" hidden="1">
      <c r="A46" s="35"/>
      <c r="B46" s="35"/>
      <c r="C46" s="35"/>
      <c r="D46" s="1502"/>
      <c r="E46" s="1502"/>
      <c r="F46" s="1502"/>
      <c r="G46" s="1502"/>
      <c r="H46" s="1502"/>
      <c r="I46" s="35"/>
      <c r="J46" s="35"/>
    </row>
    <row r="47" spans="1:10" hidden="1">
      <c r="A47" s="35"/>
      <c r="B47" s="35"/>
      <c r="C47" s="3226" t="s">
        <v>1226</v>
      </c>
      <c r="D47" s="3212">
        <f t="shared" ref="D47:H47" ca="1" si="3">SUMPRODUCT($C$41:$C$45,D41:D45)</f>
        <v>-45.587296754123216</v>
      </c>
      <c r="E47" s="3212">
        <f t="shared" ca="1" si="3"/>
        <v>-24.184769978032524</v>
      </c>
      <c r="F47" s="3212">
        <f t="shared" ca="1" si="3"/>
        <v>-20.769770646378149</v>
      </c>
      <c r="G47" s="3212">
        <f ca="1">SUMPRODUCT($C$41:$C$45,G41:G45)</f>
        <v>-17.464977425633919</v>
      </c>
      <c r="H47" s="3212">
        <f t="shared" ca="1" si="3"/>
        <v>-14.345157505653422</v>
      </c>
      <c r="I47" s="35"/>
      <c r="J47" s="35"/>
    </row>
    <row r="48" spans="1:10" hidden="1">
      <c r="A48" s="35"/>
      <c r="B48" s="35"/>
      <c r="C48" s="35"/>
      <c r="D48" s="1502"/>
      <c r="E48" s="1502"/>
      <c r="F48" s="1502"/>
      <c r="G48" s="1502"/>
      <c r="H48" s="1502"/>
      <c r="I48" s="35"/>
      <c r="J48" s="35"/>
    </row>
    <row r="49" spans="3:8" hidden="1">
      <c r="C49" s="1131" t="s">
        <v>1248</v>
      </c>
      <c r="D49" s="3227" t="e">
        <f ca="1">VLOOKUP(D47,$C$52:$D$61,2)</f>
        <v>#N/A</v>
      </c>
      <c r="E49" s="3227" t="e">
        <f t="shared" ref="E49:H49" ca="1" si="4">VLOOKUP(E47,$C$52:$D$61,2)</f>
        <v>#N/A</v>
      </c>
      <c r="F49" s="3227" t="e">
        <f ca="1">VLOOKUP(F47,$C$52:$D$61,2)</f>
        <v>#N/A</v>
      </c>
      <c r="G49" s="3227" t="e">
        <f t="shared" ca="1" si="4"/>
        <v>#N/A</v>
      </c>
      <c r="H49" s="3227" t="e">
        <f t="shared" ca="1" si="4"/>
        <v>#N/A</v>
      </c>
    </row>
    <row r="50" spans="3:8" hidden="1">
      <c r="C50" s="35"/>
      <c r="D50" s="1502"/>
      <c r="E50" s="1502"/>
      <c r="F50" s="1502"/>
      <c r="G50" s="1502"/>
      <c r="H50" s="1502"/>
    </row>
    <row r="51" spans="3:8" hidden="1">
      <c r="C51" s="3226" t="s">
        <v>1226</v>
      </c>
      <c r="D51" s="3228" t="s">
        <v>1246</v>
      </c>
      <c r="E51" s="1502"/>
      <c r="F51" s="1534" t="s">
        <v>1247</v>
      </c>
      <c r="G51" s="1502"/>
      <c r="H51" s="1502"/>
    </row>
    <row r="52" spans="3:8" hidden="1">
      <c r="C52" s="3229">
        <v>0.21</v>
      </c>
      <c r="D52" s="3227">
        <v>1</v>
      </c>
      <c r="E52" s="1502"/>
      <c r="F52" s="1502"/>
      <c r="G52" s="1502"/>
      <c r="H52" s="1502"/>
    </row>
    <row r="53" spans="3:8" hidden="1">
      <c r="C53" s="3229">
        <v>4.8000000000000001E-2</v>
      </c>
      <c r="D53" s="3227">
        <v>0.9</v>
      </c>
      <c r="E53" s="1502"/>
      <c r="F53" s="1502"/>
      <c r="G53" s="1502"/>
      <c r="H53" s="1502"/>
    </row>
    <row r="54" spans="3:8" hidden="1">
      <c r="C54" s="3229">
        <v>-2E-3</v>
      </c>
      <c r="D54" s="3227">
        <v>0.8</v>
      </c>
      <c r="E54" s="1502"/>
      <c r="F54" s="1502"/>
      <c r="G54" s="1502"/>
      <c r="H54" s="1502"/>
    </row>
    <row r="55" spans="3:8" hidden="1">
      <c r="C55" s="3229">
        <v>-2.5999999999999999E-2</v>
      </c>
      <c r="D55" s="3227">
        <v>0.7</v>
      </c>
      <c r="E55" s="1502"/>
      <c r="F55" s="1502"/>
      <c r="G55" s="1502"/>
      <c r="H55" s="1502"/>
    </row>
    <row r="56" spans="3:8" hidden="1">
      <c r="C56" s="3229">
        <v>-6.8000000000000005E-2</v>
      </c>
      <c r="D56" s="3227">
        <v>0.5</v>
      </c>
      <c r="E56" s="1502"/>
      <c r="F56" s="1502"/>
      <c r="G56" s="1502"/>
      <c r="H56" s="1502"/>
    </row>
    <row r="57" spans="3:8" hidden="1">
      <c r="C57" s="3229">
        <v>-8.6999999999999994E-2</v>
      </c>
      <c r="D57" s="3227">
        <v>0.4</v>
      </c>
      <c r="E57" s="1502"/>
      <c r="F57" s="1502"/>
      <c r="G57" s="1502"/>
      <c r="H57" s="1502"/>
    </row>
    <row r="58" spans="3:8" hidden="1">
      <c r="C58" s="3229">
        <v>-0.107</v>
      </c>
      <c r="D58" s="3227">
        <v>0.3</v>
      </c>
      <c r="E58" s="1502"/>
      <c r="F58" s="1502"/>
      <c r="G58" s="1502"/>
      <c r="H58" s="1502"/>
    </row>
    <row r="59" spans="3:8" hidden="1">
      <c r="C59" s="3229">
        <v>-0.13100000000000001</v>
      </c>
      <c r="D59" s="3227">
        <v>0.2</v>
      </c>
      <c r="E59" s="1502"/>
      <c r="F59" s="1502"/>
      <c r="G59" s="1502"/>
      <c r="H59" s="1502"/>
    </row>
    <row r="60" spans="3:8" hidden="1">
      <c r="C60" s="3229">
        <v>-0.16400000000000001</v>
      </c>
      <c r="D60" s="3227">
        <v>0.1</v>
      </c>
      <c r="E60" s="1502"/>
      <c r="F60" s="1502"/>
      <c r="G60" s="1502"/>
      <c r="H60" s="1502"/>
    </row>
    <row r="61" spans="3:8" hidden="1">
      <c r="C61" s="3229">
        <v>-1</v>
      </c>
      <c r="D61" s="3227">
        <v>0</v>
      </c>
      <c r="E61" s="1502"/>
      <c r="F61" s="1502"/>
      <c r="G61" s="1502"/>
      <c r="H61" s="1502"/>
    </row>
    <row r="62" spans="3:8" hidden="1">
      <c r="C62" s="35"/>
      <c r="D62" s="1502"/>
      <c r="E62" s="1502"/>
      <c r="F62" s="1502"/>
      <c r="G62" s="1502"/>
      <c r="H62" s="1502"/>
    </row>
    <row r="63" spans="3:8">
      <c r="C63" s="35"/>
      <c r="D63" s="1502"/>
      <c r="E63" s="1502"/>
      <c r="F63" s="1502"/>
      <c r="G63" s="1502"/>
      <c r="H63" s="1502"/>
    </row>
    <row r="64" spans="3:8">
      <c r="C64" s="35"/>
      <c r="D64" s="1502"/>
      <c r="E64" s="1502"/>
      <c r="F64" s="1502"/>
      <c r="G64" s="1502"/>
      <c r="H64" s="1502"/>
    </row>
  </sheetData>
  <sheetProtection sheet="1" objects="1" scenarios="1"/>
  <conditionalFormatting sqref="D6:H10">
    <cfRule type="expression" dxfId="4" priority="1" stopIfTrue="1">
      <formula>D6&lt;$C6</formula>
    </cfRule>
    <cfRule type="expression" dxfId="3" priority="2">
      <formula>D6&gt;=$C6</formula>
    </cfRule>
  </conditionalFormatting>
  <conditionalFormatting sqref="D28:H28 D30:H30">
    <cfRule type="expression" dxfId="2" priority="3" stopIfTrue="1">
      <formula>D$28&gt;=3</formula>
    </cfRule>
    <cfRule type="expression" dxfId="1" priority="4">
      <formula>D$28&gt;=1.8</formula>
    </cfRule>
  </conditionalFormatting>
  <printOptions horizontalCentered="1"/>
  <pageMargins left="0.64" right="0.82" top="0.74803149606299213" bottom="0.74803149606299213" header="0.31496062992125984" footer="0.31496062992125984"/>
  <pageSetup paperSize="9" scale="59" orientation="portrait" horizontalDpi="300" verticalDpi="300"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indexed="61"/>
    <outlinePr summaryBelow="0"/>
    <pageSetUpPr fitToPage="1"/>
  </sheetPr>
  <dimension ref="A1:O699"/>
  <sheetViews>
    <sheetView zoomScale="90" zoomScaleNormal="90" zoomScaleSheetLayoutView="75" workbookViewId="0">
      <pane xSplit="1" topLeftCell="B1" activePane="topRight" state="frozen"/>
      <selection activeCell="E23" sqref="E23"/>
      <selection pane="topRight" activeCell="E11" sqref="E11"/>
    </sheetView>
  </sheetViews>
  <sheetFormatPr baseColWidth="10" defaultColWidth="8" defaultRowHeight="12.75"/>
  <cols>
    <col min="1" max="1" width="35.5" style="1802" customWidth="1"/>
    <col min="2" max="7" width="15.125" style="1802" customWidth="1"/>
    <col min="8" max="8" width="8" style="1802" customWidth="1"/>
    <col min="9" max="9" width="11.875" style="1802" customWidth="1"/>
    <col min="10" max="11" width="8" style="1802" customWidth="1"/>
    <col min="12" max="12" width="11.625" style="1802" customWidth="1"/>
    <col min="13" max="13" width="11.25" style="1802" bestFit="1" customWidth="1"/>
    <col min="14" max="14" width="8" style="1802" customWidth="1"/>
    <col min="15" max="15" width="9.875" style="1802" bestFit="1" customWidth="1"/>
    <col min="16" max="16384" width="8" style="1802"/>
  </cols>
  <sheetData>
    <row r="1" spans="1:15" ht="27" customHeight="1">
      <c r="A1" s="1808" t="s">
        <v>875</v>
      </c>
      <c r="B1" s="1801"/>
      <c r="C1" s="1801"/>
      <c r="D1" s="1801"/>
      <c r="E1" s="1801"/>
      <c r="F1" s="1801"/>
      <c r="G1" s="1801"/>
      <c r="H1" s="1801"/>
    </row>
    <row r="2" spans="1:15" ht="22.5">
      <c r="A2" s="1808" t="str">
        <f>'Base Data'!B9</f>
        <v>WWW, Ltd.</v>
      </c>
      <c r="B2" s="1803"/>
      <c r="C2" s="1801"/>
      <c r="D2" s="1801"/>
      <c r="E2" s="1801"/>
      <c r="F2" s="1801"/>
      <c r="G2" s="1801"/>
      <c r="H2" s="1801"/>
    </row>
    <row r="3" spans="1:15" ht="22.5">
      <c r="A3" s="1808"/>
      <c r="B3" s="1803"/>
      <c r="C3" s="1801"/>
      <c r="D3" s="1801"/>
      <c r="E3" s="1801"/>
      <c r="F3" s="1801"/>
      <c r="G3" s="1801"/>
      <c r="H3" s="1801"/>
    </row>
    <row r="4" spans="1:15" ht="13.5" thickBot="1">
      <c r="A4" s="1805"/>
      <c r="H4" s="1801"/>
    </row>
    <row r="5" spans="1:15" ht="37.5" customHeight="1">
      <c r="A5" s="1875" t="s">
        <v>876</v>
      </c>
      <c r="B5" s="1821" t="str">
        <f>"Initial : 
"&amp;'Balance Sheet Statements (EU)'!D3</f>
        <v>Initial : 
  January  2026 (*)</v>
      </c>
      <c r="C5" s="1822" t="str">
        <f t="array" ref="C5:G5">anni</f>
        <v>Year 0:   2026</v>
      </c>
      <c r="D5" s="1821" t="str">
        <v>Year 1:   2027</v>
      </c>
      <c r="E5" s="1822" t="str">
        <v>Year 2:   2028</v>
      </c>
      <c r="F5" s="1821" t="str">
        <v>Year 3:   2029</v>
      </c>
      <c r="G5" s="1866" t="str">
        <v>Year 4:   2030</v>
      </c>
      <c r="H5" s="1804"/>
    </row>
    <row r="6" spans="1:15" ht="17.25" customHeight="1">
      <c r="A6" s="1813"/>
      <c r="B6" s="1823" t="s">
        <v>59</v>
      </c>
      <c r="C6" s="1824" t="s">
        <v>60</v>
      </c>
      <c r="D6" s="1823" t="s">
        <v>61</v>
      </c>
      <c r="E6" s="1824" t="s">
        <v>62</v>
      </c>
      <c r="F6" s="1823" t="s">
        <v>63</v>
      </c>
      <c r="G6" s="1867" t="s">
        <v>64</v>
      </c>
      <c r="H6" s="1806"/>
    </row>
    <row r="7" spans="1:15" ht="17.25" customHeight="1">
      <c r="A7" s="1819" t="s">
        <v>660</v>
      </c>
      <c r="B7" s="1817">
        <f>'Balance Sheet Statements (EU)'!D30</f>
        <v>0</v>
      </c>
      <c r="C7" s="1816">
        <f ca="1">+'Balance Sheet Statements (EU)'!F30</f>
        <v>-9276.7199999999993</v>
      </c>
      <c r="D7" s="1817">
        <f ca="1">+'Balance Sheet Statements (EU)'!H30</f>
        <v>-5354.82</v>
      </c>
      <c r="E7" s="1816">
        <f ca="1">+'Balance Sheet Statements (EU)'!J30</f>
        <v>-5090.561574000003</v>
      </c>
      <c r="F7" s="1817">
        <f ca="1">+'Balance Sheet Statements (EU)'!L30</f>
        <v>-4774.2439330812003</v>
      </c>
      <c r="G7" s="1868">
        <f ca="1">+'Balance Sheet Statements (EU)'!N30</f>
        <v>-4413.615792352296</v>
      </c>
      <c r="H7" s="1806"/>
    </row>
    <row r="8" spans="1:15" ht="17.25" customHeight="1">
      <c r="A8" s="1820" t="s">
        <v>633</v>
      </c>
      <c r="B8" s="1817">
        <v>0</v>
      </c>
      <c r="C8" s="1816">
        <f ca="1">-'Yearly Income St'!B27</f>
        <v>87.11999999999999</v>
      </c>
      <c r="D8" s="1817">
        <f ca="1">-'Yearly Income St'!D27</f>
        <v>149.55599999999995</v>
      </c>
      <c r="E8" s="1816">
        <f ca="1">-'Yearly Income St'!G27</f>
        <v>161.74481399999999</v>
      </c>
      <c r="F8" s="1817">
        <f ca="1">-'Yearly Income St'!J27</f>
        <v>175.00634832119999</v>
      </c>
      <c r="G8" s="1868">
        <f ca="1">-'Yearly Income St'!M27</f>
        <v>189.24485212749605</v>
      </c>
      <c r="H8" s="1806"/>
      <c r="J8" s="1802" t="s">
        <v>878</v>
      </c>
    </row>
    <row r="9" spans="1:15" ht="17.25" customHeight="1">
      <c r="A9" s="1820" t="s">
        <v>877</v>
      </c>
      <c r="B9" s="1817">
        <v>0</v>
      </c>
      <c r="C9" s="1816">
        <f>'Yearly Income St'!B22</f>
        <v>0</v>
      </c>
      <c r="D9" s="1817">
        <f>'Yearly Income St'!D22</f>
        <v>0</v>
      </c>
      <c r="E9" s="1816">
        <f>'Yearly Income St'!G22</f>
        <v>0</v>
      </c>
      <c r="F9" s="1817">
        <f>'Yearly Income St'!J22</f>
        <v>0</v>
      </c>
      <c r="G9" s="1868">
        <f>+'Yearly Income St'!M22</f>
        <v>0</v>
      </c>
      <c r="H9" s="1806"/>
      <c r="L9" s="2479" t="s">
        <v>879</v>
      </c>
      <c r="M9" s="2479" t="s">
        <v>880</v>
      </c>
    </row>
    <row r="10" spans="1:15" ht="17.25" customHeight="1">
      <c r="A10" s="1820" t="s">
        <v>892</v>
      </c>
      <c r="B10" s="1817">
        <f>-Amortizations!D6</f>
        <v>0</v>
      </c>
      <c r="C10" s="1816">
        <f>-Amortizations!D6*0</f>
        <v>0</v>
      </c>
      <c r="D10" s="1817">
        <f t="array" ref="D10:G10">-Amortizations!E6:H6</f>
        <v>0</v>
      </c>
      <c r="E10" s="1816">
        <v>0</v>
      </c>
      <c r="F10" s="1817">
        <v>0</v>
      </c>
      <c r="G10" s="1868">
        <v>0</v>
      </c>
      <c r="H10" s="1806"/>
      <c r="J10" s="1802">
        <v>0</v>
      </c>
      <c r="K10" s="1802" t="s">
        <v>71</v>
      </c>
      <c r="L10" s="2287">
        <f>B14</f>
        <v>0</v>
      </c>
      <c r="M10" s="2287">
        <f>L10/(1+$B$27)^J10</f>
        <v>0</v>
      </c>
    </row>
    <row r="11" spans="1:15" ht="17.25" customHeight="1">
      <c r="A11" s="1820" t="s">
        <v>891</v>
      </c>
      <c r="B11" s="1817">
        <f>-Amortizations!D17</f>
        <v>0</v>
      </c>
      <c r="C11" s="1816">
        <f>-Amortizations!D17*0</f>
        <v>0</v>
      </c>
      <c r="D11" s="1817">
        <f t="array" ref="D11:G11">-Amortizations!E17:H17</f>
        <v>0</v>
      </c>
      <c r="E11" s="1816">
        <v>0</v>
      </c>
      <c r="F11" s="1817">
        <v>0</v>
      </c>
      <c r="G11" s="1868">
        <v>0</v>
      </c>
      <c r="H11" s="1806"/>
      <c r="J11" s="1802">
        <v>1</v>
      </c>
      <c r="K11" s="1802" t="s">
        <v>72</v>
      </c>
      <c r="L11" s="2287">
        <f ca="1">C14</f>
        <v>-9189.5999999999985</v>
      </c>
      <c r="M11" s="2287">
        <f t="shared" ref="M11:M35" ca="1" si="0">L11/(1+$B$27)^J11</f>
        <v>-8132.3893805309726</v>
      </c>
      <c r="N11" s="1802" t="s">
        <v>881</v>
      </c>
      <c r="O11" s="2287">
        <f ca="1">SUM(M10:M15)</f>
        <v>-20738.409718505536</v>
      </c>
    </row>
    <row r="12" spans="1:15" ht="17.25" customHeight="1">
      <c r="A12" s="1820" t="s">
        <v>893</v>
      </c>
      <c r="B12" s="1817">
        <f>-SUM('Current Asset Invest.'!H12:H15)-'Current Asset Invest.'!G24+'Initial Funding'!B27</f>
        <v>0</v>
      </c>
      <c r="C12" s="1816">
        <f t="array" aca="1" ref="C12:G12" ca="1">-'Executive Summary'!B45:F45</f>
        <v>0</v>
      </c>
      <c r="D12" s="1817">
        <f ca="1"/>
        <v>0</v>
      </c>
      <c r="E12" s="1816">
        <f ca="1"/>
        <v>0</v>
      </c>
      <c r="F12" s="1817">
        <f ca="1"/>
        <v>0</v>
      </c>
      <c r="G12" s="1868">
        <f ca="1"/>
        <v>0</v>
      </c>
      <c r="H12" s="1807"/>
      <c r="J12" s="1802">
        <v>2</v>
      </c>
      <c r="K12" s="1802" t="s">
        <v>73</v>
      </c>
      <c r="L12" s="2287">
        <f ca="1">D14</f>
        <v>-5205.2640000000001</v>
      </c>
      <c r="M12" s="2287">
        <f t="shared" ca="1" si="0"/>
        <v>-4076.4852376850195</v>
      </c>
      <c r="N12" s="1802" t="s">
        <v>882</v>
      </c>
      <c r="O12" s="2287">
        <f>SUMIF(J16:J35,"&lt;="&amp;TEXT(B29,"##0"),M16:M35)</f>
        <v>0</v>
      </c>
    </row>
    <row r="13" spans="1:15" ht="17.25" customHeight="1" thickBot="1">
      <c r="A13" s="1814"/>
      <c r="B13" s="1818"/>
      <c r="C13" s="1815"/>
      <c r="D13" s="1818"/>
      <c r="E13" s="1815"/>
      <c r="F13" s="1818"/>
      <c r="G13" s="1869"/>
      <c r="H13" s="1806"/>
      <c r="J13" s="1802">
        <v>3</v>
      </c>
      <c r="K13" s="1802" t="s">
        <v>74</v>
      </c>
      <c r="L13" s="2287">
        <f ca="1">E14</f>
        <v>-4928.8167600000033</v>
      </c>
      <c r="M13" s="2287">
        <f t="shared" ca="1" si="0"/>
        <v>-3415.9172553550288</v>
      </c>
    </row>
    <row r="14" spans="1:15" ht="17.25" customHeight="1" thickBot="1">
      <c r="A14" s="1849" t="s">
        <v>895</v>
      </c>
      <c r="B14" s="1872">
        <f t="shared" ref="B14:G14" si="1">SUM(B7:B13)</f>
        <v>0</v>
      </c>
      <c r="C14" s="1864">
        <f t="shared" ca="1" si="1"/>
        <v>-9189.5999999999985</v>
      </c>
      <c r="D14" s="1872">
        <f t="shared" ca="1" si="1"/>
        <v>-5205.2640000000001</v>
      </c>
      <c r="E14" s="1864">
        <f t="shared" ca="1" si="1"/>
        <v>-4928.8167600000033</v>
      </c>
      <c r="F14" s="1872">
        <f t="shared" ca="1" si="1"/>
        <v>-4599.2375847600006</v>
      </c>
      <c r="G14" s="1870">
        <f t="shared" ca="1" si="1"/>
        <v>-4224.3709402247996</v>
      </c>
      <c r="H14" s="1806"/>
      <c r="J14" s="1802">
        <v>4</v>
      </c>
      <c r="K14" s="1802" t="s">
        <v>75</v>
      </c>
      <c r="L14" s="2287">
        <f ca="1">F14</f>
        <v>-4599.2375847600006</v>
      </c>
      <c r="M14" s="2287">
        <f t="shared" ca="1" si="0"/>
        <v>-2820.7985437801735</v>
      </c>
    </row>
    <row r="15" spans="1:15" ht="13.5" thickBot="1">
      <c r="A15" s="1863"/>
      <c r="B15" s="1873"/>
      <c r="C15" s="1865"/>
      <c r="D15" s="1873"/>
      <c r="E15" s="1865"/>
      <c r="F15" s="1873"/>
      <c r="G15" s="1871"/>
      <c r="H15" s="1806"/>
      <c r="J15" s="1802">
        <v>5</v>
      </c>
      <c r="K15" s="1802" t="s">
        <v>76</v>
      </c>
      <c r="L15" s="2287">
        <f ca="1">G14</f>
        <v>-4224.3709402247996</v>
      </c>
      <c r="M15" s="2287">
        <f t="shared" ca="1" si="0"/>
        <v>-2292.8193011543426</v>
      </c>
    </row>
    <row r="16" spans="1:15" ht="18" customHeight="1" thickBot="1">
      <c r="A16" s="1849" t="s">
        <v>894</v>
      </c>
      <c r="B16" s="1872">
        <f>B14</f>
        <v>0</v>
      </c>
      <c r="C16" s="1864">
        <f ca="1">C14+B16</f>
        <v>-9189.5999999999985</v>
      </c>
      <c r="D16" s="1872">
        <f ca="1">D14+C16</f>
        <v>-14394.863999999998</v>
      </c>
      <c r="E16" s="1864">
        <f ca="1">E14+D16</f>
        <v>-19323.680760000003</v>
      </c>
      <c r="F16" s="1872">
        <f ca="1">F14+E16</f>
        <v>-23922.918344760004</v>
      </c>
      <c r="G16" s="1870">
        <f ca="1">G14+F16</f>
        <v>-28147.289284984803</v>
      </c>
      <c r="H16" s="1806"/>
      <c r="J16" s="1802">
        <v>6</v>
      </c>
      <c r="K16" s="1802" t="s">
        <v>77</v>
      </c>
      <c r="L16" s="2287">
        <f ca="1">L15*(1+$B$32)</f>
        <v>-4351.1020684315436</v>
      </c>
      <c r="M16" s="2287">
        <f t="shared" ca="1" si="0"/>
        <v>-2089.9149382203304</v>
      </c>
    </row>
    <row r="17" spans="1:13">
      <c r="A17" s="1810"/>
      <c r="H17" s="1806"/>
      <c r="J17" s="1802">
        <v>7</v>
      </c>
      <c r="K17" s="1802" t="s">
        <v>78</v>
      </c>
      <c r="L17" s="2287">
        <f t="shared" ref="L17:L35" ca="1" si="2">L16*(1+$B$32)</f>
        <v>-4481.6351304844902</v>
      </c>
      <c r="M17" s="2287">
        <f t="shared" ca="1" si="0"/>
        <v>-1904.9667135990626</v>
      </c>
    </row>
    <row r="18" spans="1:13" ht="15.75" thickBot="1">
      <c r="A18" s="1827"/>
      <c r="B18" s="1825"/>
      <c r="C18" s="1826"/>
      <c r="D18" s="1826"/>
      <c r="H18" s="1806"/>
      <c r="J18" s="1802">
        <v>8</v>
      </c>
      <c r="K18" s="1802" t="s">
        <v>79</v>
      </c>
      <c r="L18" s="2287">
        <f t="shared" ca="1" si="2"/>
        <v>-4616.0841843990247</v>
      </c>
      <c r="M18" s="2287">
        <f t="shared" ca="1" si="0"/>
        <v>-1736.3855885018004</v>
      </c>
    </row>
    <row r="19" spans="1:13" ht="17.25" customHeight="1" thickBot="1">
      <c r="A19" s="1860" t="s">
        <v>888</v>
      </c>
      <c r="B19" s="1861"/>
      <c r="C19" s="1862"/>
      <c r="D19" s="1826"/>
      <c r="E19" s="1876"/>
      <c r="F19" s="1894" t="s">
        <v>68</v>
      </c>
      <c r="G19" s="2480" t="str">
        <f ca="1">IF(G16&lt;0,"N/A",
IF(B16&gt;0,"N/A ( 0 )",
IF(C16&gt;0,0-B16/C14,
IF(D16&gt;0,1-C16/D14,
IF(E16&gt;0,2-D16/E14,
IF(F16&gt;0,3-E16/F14,
              4-F16/G14   ))))))</f>
        <v>N/A</v>
      </c>
      <c r="H19" s="1806"/>
      <c r="J19" s="1802">
        <v>9</v>
      </c>
      <c r="K19" s="1802" t="s">
        <v>80</v>
      </c>
      <c r="L19" s="2287">
        <f t="shared" ca="1" si="2"/>
        <v>-4754.5667099309958</v>
      </c>
      <c r="M19" s="2287">
        <f t="shared" ca="1" si="0"/>
        <v>-1582.7231470414642</v>
      </c>
    </row>
    <row r="20" spans="1:13" ht="21.75" customHeight="1" thickBot="1">
      <c r="A20" s="1835" t="s">
        <v>896</v>
      </c>
      <c r="B20" s="1836">
        <v>0.03</v>
      </c>
      <c r="C20" s="1837" t="s">
        <v>889</v>
      </c>
      <c r="D20" s="1801"/>
      <c r="E20" s="1806"/>
      <c r="F20" s="1806"/>
      <c r="G20" s="1806"/>
      <c r="H20" s="1806"/>
      <c r="J20" s="1802">
        <v>10</v>
      </c>
      <c r="K20" s="1802" t="s">
        <v>81</v>
      </c>
      <c r="L20" s="2287">
        <f t="shared" ca="1" si="2"/>
        <v>-4897.2037112289254</v>
      </c>
      <c r="M20" s="2287">
        <f t="shared" ca="1" si="0"/>
        <v>-1442.6591517280606</v>
      </c>
    </row>
    <row r="21" spans="1:13" ht="21" customHeight="1" thickBot="1">
      <c r="A21" s="1838" t="s">
        <v>897</v>
      </c>
      <c r="B21" s="1839"/>
      <c r="C21" s="1840"/>
      <c r="D21" s="1811"/>
      <c r="E21" s="1874"/>
      <c r="F21" s="1893" t="s">
        <v>886</v>
      </c>
      <c r="G21" s="1852" t="str">
        <f ca="1">IF(ISERR(IRR(OFFSET(L10,0,0,IF($B$29="perpetuity",50,$B$29),1))),"N/A",IRR(OFFSET(L10,0,0,IF($B$29="perpetuity",50,$B$29),1)))</f>
        <v>N/A</v>
      </c>
      <c r="H21" s="1806"/>
      <c r="J21" s="1802">
        <v>11</v>
      </c>
      <c r="K21" s="1802" t="s">
        <v>82</v>
      </c>
      <c r="L21" s="2287">
        <f t="shared" ca="1" si="2"/>
        <v>-5044.1198225657936</v>
      </c>
      <c r="M21" s="2287">
        <f t="shared" ca="1" si="0"/>
        <v>-1314.9902002477015</v>
      </c>
    </row>
    <row r="22" spans="1:13" ht="17.25" customHeight="1" thickBot="1">
      <c r="A22" s="1841" t="s">
        <v>900</v>
      </c>
      <c r="B22" s="1834">
        <v>0.06</v>
      </c>
      <c r="C22" s="1842" t="s">
        <v>65</v>
      </c>
      <c r="D22" s="1811"/>
      <c r="H22" s="1806"/>
      <c r="J22" s="1802">
        <v>12</v>
      </c>
      <c r="K22" s="1802" t="s">
        <v>83</v>
      </c>
      <c r="L22" s="2287">
        <f t="shared" ca="1" si="2"/>
        <v>-5195.4434172427673</v>
      </c>
      <c r="M22" s="2287">
        <f t="shared" ca="1" si="0"/>
        <v>-1198.6193860664891</v>
      </c>
    </row>
    <row r="23" spans="1:13" ht="17.25" customHeight="1" thickBot="1">
      <c r="A23" s="1841" t="s">
        <v>898</v>
      </c>
      <c r="B23" s="1834">
        <f>50%*B22</f>
        <v>0.03</v>
      </c>
      <c r="C23" s="1842" t="s">
        <v>67</v>
      </c>
      <c r="D23" s="1811"/>
      <c r="E23" s="1874" t="s">
        <v>885</v>
      </c>
      <c r="F23" s="1855"/>
      <c r="G23" s="1852">
        <f ca="1">IF(ISERR(MIRR(OFFSET(L10,0,0,IF($B$29="perpetuity",50,$B$29),1),G25,G26)),"N/A",MIRR(OFFSET(L10,0,0,IF($B$29="perpetuity",50,$B$29),1),G25,G26))</f>
        <v>-1</v>
      </c>
      <c r="H23" s="1806"/>
      <c r="J23" s="1802">
        <v>13</v>
      </c>
      <c r="K23" s="1802" t="s">
        <v>84</v>
      </c>
      <c r="L23" s="2287">
        <f t="shared" ca="1" si="2"/>
        <v>-5351.3067197600503</v>
      </c>
      <c r="M23" s="2287">
        <f t="shared" ca="1" si="0"/>
        <v>-1092.546874025207</v>
      </c>
    </row>
    <row r="24" spans="1:13" ht="17.25" customHeight="1" thickBot="1">
      <c r="A24" s="1843" t="s">
        <v>899</v>
      </c>
      <c r="B24" s="1844">
        <v>0.01</v>
      </c>
      <c r="C24" s="1845" t="s">
        <v>66</v>
      </c>
      <c r="D24" s="1811"/>
      <c r="E24" s="1882" t="s">
        <v>903</v>
      </c>
      <c r="F24" s="1856"/>
      <c r="G24" s="1854"/>
      <c r="H24" s="1806"/>
      <c r="J24" s="1802">
        <v>14</v>
      </c>
      <c r="K24" s="1802" t="s">
        <v>85</v>
      </c>
      <c r="L24" s="2287">
        <f t="shared" ca="1" si="2"/>
        <v>-5511.8459213528522</v>
      </c>
      <c r="M24" s="2287">
        <f t="shared" ca="1" si="0"/>
        <v>-995.86130995218014</v>
      </c>
    </row>
    <row r="25" spans="1:13" ht="18.75" customHeight="1" thickBot="1">
      <c r="A25" s="1846" t="s">
        <v>1086</v>
      </c>
      <c r="B25" s="1847">
        <f>SUM(B22:B24)</f>
        <v>9.9999999999999992E-2</v>
      </c>
      <c r="C25" s="1848"/>
      <c r="D25" s="1811"/>
      <c r="E25" s="1841" t="s">
        <v>904</v>
      </c>
      <c r="F25" s="1833"/>
      <c r="G25" s="1889">
        <f ca="1">IF(ISERR(MAX('Basic Ratios'!C42:G43,B27,0)),"N/A",MAX('Basic Ratios'!C42:G43,B27,0))</f>
        <v>0.94264290583308985</v>
      </c>
      <c r="H25" s="1806"/>
      <c r="J25" s="1802">
        <v>15</v>
      </c>
      <c r="K25" s="1802" t="s">
        <v>86</v>
      </c>
      <c r="L25" s="2287">
        <f t="shared" ca="1" si="2"/>
        <v>-5677.2012989934383</v>
      </c>
      <c r="M25" s="2287">
        <f t="shared" ca="1" si="0"/>
        <v>-907.73199048738547</v>
      </c>
    </row>
    <row r="26" spans="1:13" ht="19.5" customHeight="1" thickBot="1">
      <c r="A26" s="1814"/>
      <c r="B26" s="1858"/>
      <c r="C26" s="1859"/>
      <c r="D26" s="1811"/>
      <c r="E26" s="1843" t="s">
        <v>887</v>
      </c>
      <c r="F26" s="1857"/>
      <c r="G26" s="1853">
        <v>0</v>
      </c>
      <c r="H26" s="1806"/>
      <c r="J26" s="1802">
        <v>16</v>
      </c>
      <c r="K26" s="1802" t="s">
        <v>87</v>
      </c>
      <c r="L26" s="2287">
        <f t="shared" ca="1" si="2"/>
        <v>-5847.5173379632415</v>
      </c>
      <c r="M26" s="2287">
        <f t="shared" ca="1" si="0"/>
        <v>-827.40172584248421</v>
      </c>
    </row>
    <row r="27" spans="1:13" ht="19.5" customHeight="1" thickBot="1">
      <c r="A27" s="1849" t="s">
        <v>1087</v>
      </c>
      <c r="B27" s="1851">
        <f>+B20+B25</f>
        <v>0.13</v>
      </c>
      <c r="C27" s="1850"/>
      <c r="D27" s="1811"/>
      <c r="H27" s="1806"/>
      <c r="J27" s="1802">
        <v>17</v>
      </c>
      <c r="K27" s="1802" t="s">
        <v>88</v>
      </c>
      <c r="L27" s="2287">
        <f t="shared" ca="1" si="2"/>
        <v>-6022.9428581021393</v>
      </c>
      <c r="M27" s="2287">
        <f t="shared" ca="1" si="0"/>
        <v>-754.18033417500783</v>
      </c>
    </row>
    <row r="28" spans="1:13" ht="20.25" customHeight="1" thickBot="1">
      <c r="D28" s="1811"/>
      <c r="E28" s="1879" t="s">
        <v>69</v>
      </c>
      <c r="F28" s="1881"/>
      <c r="G28" s="1880"/>
      <c r="H28" s="1806"/>
      <c r="J28" s="1802">
        <v>18</v>
      </c>
      <c r="K28" s="1802" t="s">
        <v>89</v>
      </c>
      <c r="L28" s="2287">
        <f t="shared" ca="1" si="2"/>
        <v>-6203.631143845204</v>
      </c>
      <c r="M28" s="2287">
        <f t="shared" ca="1" si="0"/>
        <v>-687.43871168164446</v>
      </c>
    </row>
    <row r="29" spans="1:13" ht="19.5" customHeight="1" thickBot="1">
      <c r="A29" s="1863" t="s">
        <v>1088</v>
      </c>
      <c r="B29" s="1899" t="s">
        <v>901</v>
      </c>
      <c r="C29" s="1895" t="str">
        <f>IF(B29="perpetuity","","years")</f>
        <v/>
      </c>
      <c r="D29" s="1812"/>
      <c r="E29" s="1883" t="s">
        <v>902</v>
      </c>
      <c r="F29" s="1833"/>
      <c r="G29" s="1877">
        <f ca="1">NPV($B$27,C14:G14) + B14</f>
        <v>-20738.409718505536</v>
      </c>
      <c r="H29" s="1806"/>
      <c r="J29" s="1802">
        <v>19</v>
      </c>
      <c r="K29" s="1802" t="s">
        <v>90</v>
      </c>
      <c r="L29" s="2287">
        <f t="shared" ca="1" si="2"/>
        <v>-6389.7400781605602</v>
      </c>
      <c r="M29" s="2287">
        <f t="shared" ca="1" si="0"/>
        <v>-626.60342746203003</v>
      </c>
    </row>
    <row r="30" spans="1:13" ht="18.75" customHeight="1" thickBot="1">
      <c r="D30" s="1806"/>
      <c r="E30" s="1883" t="str">
        <f>"Residual value "&amp; IF(B29=5,"","( CF5 to "&amp;B29&amp;" "&amp;C29&amp;")")</f>
        <v>Residual value ( CF5 to perpetuity )</v>
      </c>
      <c r="F30" s="1833"/>
      <c r="G30" s="1877">
        <f ca="1">G14* (  (1+B32 ) / (1+ B27) ^ 5 ) /  ( B27 -B32 )  - IF(B29="perpetuity",0, G14 * (1+B32)^(B29-4) / (1+B27 )^B29 /  ( B27 -B32 )  )</f>
        <v>-23616.038801889728</v>
      </c>
      <c r="H30" s="1806"/>
      <c r="J30" s="1802">
        <v>20</v>
      </c>
      <c r="K30" s="1802" t="s">
        <v>91</v>
      </c>
      <c r="L30" s="2287">
        <f t="shared" ca="1" si="2"/>
        <v>-6581.4322805053771</v>
      </c>
      <c r="M30" s="2287">
        <f t="shared" ca="1" si="0"/>
        <v>-571.15179671317787</v>
      </c>
    </row>
    <row r="31" spans="1:13" ht="21" customHeight="1" thickBot="1">
      <c r="A31" s="1886" t="s">
        <v>1089</v>
      </c>
      <c r="B31" s="1892">
        <f>+inflacion</f>
        <v>0.04</v>
      </c>
      <c r="C31" s="1837" t="s">
        <v>890</v>
      </c>
      <c r="D31" s="1806"/>
      <c r="E31" s="1890" t="s">
        <v>884</v>
      </c>
      <c r="F31" s="1891"/>
      <c r="G31" s="1878">
        <f ca="1">SUM(G29:G30)</f>
        <v>-44354.448520395264</v>
      </c>
      <c r="H31" s="1806"/>
      <c r="J31" s="1802">
        <v>21</v>
      </c>
      <c r="K31" s="1802" t="s">
        <v>92</v>
      </c>
      <c r="L31" s="2287">
        <f t="shared" ca="1" si="2"/>
        <v>-6778.875248920539</v>
      </c>
      <c r="M31" s="2287">
        <f t="shared" ca="1" si="0"/>
        <v>-520.60738992440122</v>
      </c>
    </row>
    <row r="32" spans="1:13" ht="18.75" customHeight="1" thickBot="1">
      <c r="A32" s="1886" t="s">
        <v>1090</v>
      </c>
      <c r="B32" s="1887">
        <v>0.03</v>
      </c>
      <c r="C32" s="1888" t="s">
        <v>70</v>
      </c>
      <c r="D32" s="1806"/>
      <c r="E32" s="1876" t="s">
        <v>883</v>
      </c>
      <c r="F32" s="1884"/>
      <c r="G32" s="1885" t="str">
        <f ca="1">IF(MIN(G31,SUM(G7:G9))&lt;0,"N/A",G31/SUM(G7:G9))</f>
        <v>N/A</v>
      </c>
      <c r="H32" s="1806"/>
      <c r="J32" s="1802">
        <v>22</v>
      </c>
      <c r="K32" s="1802" t="s">
        <v>93</v>
      </c>
      <c r="L32" s="2287">
        <f t="shared" ca="1" si="2"/>
        <v>-6982.2415063881554</v>
      </c>
      <c r="M32" s="2287">
        <f t="shared" ca="1" si="0"/>
        <v>-474.53593948861356</v>
      </c>
    </row>
    <row r="33" spans="1:13" ht="18.75" customHeight="1">
      <c r="C33" s="1806"/>
      <c r="D33" s="1806"/>
      <c r="H33" s="1806"/>
      <c r="J33" s="1802">
        <v>23</v>
      </c>
      <c r="K33" s="1802" t="s">
        <v>94</v>
      </c>
      <c r="L33" s="2287">
        <f t="shared" ca="1" si="2"/>
        <v>-7191.7087515798003</v>
      </c>
      <c r="M33" s="2287">
        <f t="shared" ca="1" si="0"/>
        <v>-432.54160856041773</v>
      </c>
    </row>
    <row r="34" spans="1:13" ht="18.75" customHeight="1">
      <c r="C34" s="1806"/>
      <c r="J34" s="1802">
        <v>24</v>
      </c>
      <c r="K34" s="1802" t="s">
        <v>95</v>
      </c>
      <c r="L34" s="2287">
        <f t="shared" ca="1" si="2"/>
        <v>-7407.4600141271949</v>
      </c>
      <c r="M34" s="2287">
        <f t="shared" ca="1" si="0"/>
        <v>-394.26359010374364</v>
      </c>
    </row>
    <row r="35" spans="1:13">
      <c r="A35" s="1806"/>
      <c r="B35" s="1806"/>
      <c r="C35" s="1806"/>
      <c r="D35" s="1806"/>
      <c r="E35" s="1806"/>
      <c r="F35" s="1806"/>
      <c r="J35" s="1802">
        <v>25</v>
      </c>
      <c r="K35" s="1802" t="s">
        <v>96</v>
      </c>
      <c r="L35" s="2287">
        <f t="shared" ca="1" si="2"/>
        <v>-7629.683814551011</v>
      </c>
      <c r="M35" s="2287">
        <f t="shared" ca="1" si="0"/>
        <v>-359.37300690872212</v>
      </c>
    </row>
    <row r="36" spans="1:13">
      <c r="A36" s="1806"/>
      <c r="B36" s="1806"/>
      <c r="C36" s="1806"/>
      <c r="D36" s="1806"/>
      <c r="E36" s="1806"/>
      <c r="F36" s="1806"/>
      <c r="G36" s="1806"/>
      <c r="H36" s="1806"/>
      <c r="J36" s="1802">
        <v>26</v>
      </c>
      <c r="K36" s="1802" t="s">
        <v>98</v>
      </c>
      <c r="L36" s="2287">
        <f t="shared" ref="L36:L60" ca="1" si="3">L35*(1+$B$32)</f>
        <v>-7858.5743289875418</v>
      </c>
      <c r="M36" s="2287">
        <f t="shared" ref="M36:M60" ca="1" si="4">L36/(1+$B$27)^J36</f>
        <v>-327.57008594334854</v>
      </c>
    </row>
    <row r="37" spans="1:13">
      <c r="A37" s="1806"/>
      <c r="B37" s="1806"/>
      <c r="C37" s="1806"/>
      <c r="D37" s="1806"/>
      <c r="E37" s="1806"/>
      <c r="F37" s="1806"/>
      <c r="G37" s="1806"/>
      <c r="H37" s="1806"/>
      <c r="J37" s="1802">
        <v>27</v>
      </c>
      <c r="K37" s="1802" t="s">
        <v>99</v>
      </c>
      <c r="L37" s="2287">
        <f t="shared" ca="1" si="3"/>
        <v>-8094.3315588571686</v>
      </c>
      <c r="M37" s="2287">
        <f t="shared" ca="1" si="4"/>
        <v>-298.58158276252129</v>
      </c>
    </row>
    <row r="38" spans="1:13">
      <c r="A38" s="1806"/>
      <c r="B38" s="1806"/>
      <c r="C38" s="1806"/>
      <c r="E38" s="1806"/>
      <c r="F38" s="1806"/>
      <c r="G38" s="1806"/>
      <c r="H38" s="1806"/>
      <c r="J38" s="1802">
        <v>28</v>
      </c>
      <c r="K38" s="1802" t="s">
        <v>100</v>
      </c>
      <c r="L38" s="2287">
        <f t="shared" ca="1" si="3"/>
        <v>-8337.1615056228839</v>
      </c>
      <c r="M38" s="2287">
        <f t="shared" ca="1" si="4"/>
        <v>-272.15843384548407</v>
      </c>
    </row>
    <row r="39" spans="1:13">
      <c r="A39" s="1806"/>
      <c r="B39" s="1896" t="s">
        <v>901</v>
      </c>
      <c r="C39" s="1806"/>
      <c r="D39" s="1806"/>
      <c r="E39" s="1806"/>
      <c r="F39" s="1806"/>
      <c r="G39" s="1806"/>
      <c r="H39" s="1806"/>
      <c r="J39" s="1802">
        <v>29</v>
      </c>
      <c r="K39" s="1802" t="s">
        <v>101</v>
      </c>
      <c r="L39" s="2287">
        <f t="shared" ca="1" si="3"/>
        <v>-8587.2763507915697</v>
      </c>
      <c r="M39" s="2287">
        <f t="shared" ca="1" si="4"/>
        <v>-248.07361669101641</v>
      </c>
    </row>
    <row r="40" spans="1:13">
      <c r="A40" s="1806"/>
      <c r="B40" s="1896">
        <v>5</v>
      </c>
      <c r="C40" s="1806"/>
      <c r="D40" s="1806"/>
      <c r="E40" s="1806"/>
      <c r="F40" s="1806"/>
      <c r="G40" s="1806"/>
      <c r="H40" s="1806"/>
      <c r="J40" s="1802">
        <v>30</v>
      </c>
      <c r="K40" s="1802" t="s">
        <v>102</v>
      </c>
      <c r="L40" s="2287">
        <f t="shared" ca="1" si="3"/>
        <v>-8844.8946413153171</v>
      </c>
      <c r="M40" s="2287">
        <f t="shared" ca="1" si="4"/>
        <v>-226.12019928473185</v>
      </c>
    </row>
    <row r="41" spans="1:13">
      <c r="A41" s="1806"/>
      <c r="B41" s="1896">
        <v>6</v>
      </c>
      <c r="C41" s="1806"/>
      <c r="D41" s="1806"/>
      <c r="E41" s="1806"/>
      <c r="F41" s="1806"/>
      <c r="G41" s="1806"/>
      <c r="H41" s="1806"/>
      <c r="J41" s="1802">
        <v>31</v>
      </c>
      <c r="K41" s="1802" t="s">
        <v>103</v>
      </c>
      <c r="L41" s="2287">
        <f t="shared" ca="1" si="3"/>
        <v>-9110.241480554776</v>
      </c>
      <c r="M41" s="2287">
        <f t="shared" ca="1" si="4"/>
        <v>-206.10956217988831</v>
      </c>
    </row>
    <row r="42" spans="1:13">
      <c r="A42" s="1806"/>
      <c r="B42" s="1896">
        <v>7</v>
      </c>
      <c r="C42" s="1806"/>
      <c r="D42" s="1806"/>
      <c r="E42" s="1806"/>
      <c r="F42" s="1806"/>
      <c r="G42" s="1806"/>
      <c r="H42" s="1806"/>
      <c r="J42" s="1802">
        <v>32</v>
      </c>
      <c r="K42" s="1802" t="s">
        <v>104</v>
      </c>
      <c r="L42" s="2287">
        <f t="shared" ca="1" si="3"/>
        <v>-9383.5487249714188</v>
      </c>
      <c r="M42" s="2287">
        <f t="shared" ca="1" si="4"/>
        <v>-187.86977791618139</v>
      </c>
    </row>
    <row r="43" spans="1:13">
      <c r="A43" s="1806"/>
      <c r="B43" s="1896">
        <v>8</v>
      </c>
      <c r="C43" s="1806"/>
      <c r="D43" s="1806"/>
      <c r="E43" s="1806"/>
      <c r="F43" s="1806"/>
      <c r="G43" s="1806"/>
      <c r="H43" s="1806"/>
      <c r="J43" s="1802">
        <v>33</v>
      </c>
      <c r="K43" s="1802" t="s">
        <v>105</v>
      </c>
      <c r="L43" s="2287">
        <f t="shared" ca="1" si="3"/>
        <v>-9665.0551867205613</v>
      </c>
      <c r="M43" s="2287">
        <f t="shared" ca="1" si="4"/>
        <v>-171.24413385280252</v>
      </c>
    </row>
    <row r="44" spans="1:13">
      <c r="A44" s="1806"/>
      <c r="B44" s="1896">
        <v>9</v>
      </c>
      <c r="C44" s="1806"/>
      <c r="D44" s="1806"/>
      <c r="E44" s="1806"/>
      <c r="F44" s="1806"/>
      <c r="G44" s="1806"/>
      <c r="H44" s="1806"/>
      <c r="J44" s="1802">
        <v>34</v>
      </c>
      <c r="K44" s="1802" t="s">
        <v>106</v>
      </c>
      <c r="L44" s="2287">
        <f t="shared" ca="1" si="3"/>
        <v>-9955.0068423221783</v>
      </c>
      <c r="M44" s="2287">
        <f t="shared" ca="1" si="4"/>
        <v>-156.08978572423595</v>
      </c>
    </row>
    <row r="45" spans="1:13">
      <c r="A45" s="1806"/>
      <c r="B45" s="1896">
        <v>10</v>
      </c>
      <c r="C45" s="1806"/>
      <c r="D45" s="1806"/>
      <c r="E45" s="1806"/>
      <c r="F45" s="1806"/>
      <c r="G45" s="1806"/>
      <c r="H45" s="1806"/>
      <c r="J45" s="1802">
        <v>35</v>
      </c>
      <c r="K45" s="1802" t="s">
        <v>107</v>
      </c>
      <c r="L45" s="2287">
        <f t="shared" ca="1" si="3"/>
        <v>-10253.657047591843</v>
      </c>
      <c r="M45" s="2287">
        <f t="shared" ca="1" si="4"/>
        <v>-142.27653035040979</v>
      </c>
    </row>
    <row r="46" spans="1:13">
      <c r="A46" s="1806"/>
      <c r="B46" s="1896">
        <v>12</v>
      </c>
      <c r="C46" s="1806"/>
      <c r="D46" s="1806"/>
      <c r="E46" s="1806"/>
      <c r="F46" s="1806"/>
      <c r="G46" s="1806"/>
      <c r="H46" s="1806"/>
      <c r="J46" s="1802">
        <v>36</v>
      </c>
      <c r="K46" s="1802" t="s">
        <v>108</v>
      </c>
      <c r="L46" s="2287">
        <f t="shared" ca="1" si="3"/>
        <v>-10561.2667590196</v>
      </c>
      <c r="M46" s="2287">
        <f t="shared" ca="1" si="4"/>
        <v>-129.68568695656822</v>
      </c>
    </row>
    <row r="47" spans="1:13">
      <c r="A47" s="1806"/>
      <c r="B47" s="1896">
        <v>14</v>
      </c>
      <c r="C47" s="1806"/>
      <c r="D47" s="1806"/>
      <c r="E47" s="1806"/>
      <c r="F47" s="1806"/>
      <c r="G47" s="1806"/>
      <c r="H47" s="1806"/>
      <c r="J47" s="1802">
        <v>37</v>
      </c>
      <c r="K47" s="1802" t="s">
        <v>109</v>
      </c>
      <c r="L47" s="2287">
        <f t="shared" ca="1" si="3"/>
        <v>-10878.104761790188</v>
      </c>
      <c r="M47" s="2287">
        <f t="shared" ca="1" si="4"/>
        <v>-118.20907749138522</v>
      </c>
    </row>
    <row r="48" spans="1:13">
      <c r="A48" s="1806"/>
      <c r="B48" s="1896">
        <v>16</v>
      </c>
      <c r="C48" s="1806"/>
      <c r="D48" s="1806"/>
      <c r="E48" s="1806"/>
      <c r="F48" s="1806"/>
      <c r="G48" s="1806"/>
      <c r="H48" s="1806"/>
      <c r="J48" s="1802">
        <v>38</v>
      </c>
      <c r="K48" s="1802" t="s">
        <v>110</v>
      </c>
      <c r="L48" s="2287">
        <f t="shared" ca="1" si="3"/>
        <v>-11204.447904643894</v>
      </c>
      <c r="M48" s="2287">
        <f t="shared" ca="1" si="4"/>
        <v>-107.7480971824131</v>
      </c>
    </row>
    <row r="49" spans="1:13">
      <c r="A49" s="1806"/>
      <c r="B49" s="1896">
        <v>18</v>
      </c>
      <c r="C49" s="1806"/>
      <c r="D49" s="1806"/>
      <c r="E49" s="1806"/>
      <c r="F49" s="1806"/>
      <c r="G49" s="1806"/>
      <c r="H49" s="1806"/>
      <c r="J49" s="1802">
        <v>39</v>
      </c>
      <c r="K49" s="1802" t="s">
        <v>111</v>
      </c>
      <c r="L49" s="2287">
        <f t="shared" ca="1" si="3"/>
        <v>-11540.581341783211</v>
      </c>
      <c r="M49" s="2287">
        <f t="shared" ca="1" si="4"/>
        <v>-98.212867343261507</v>
      </c>
    </row>
    <row r="50" spans="1:13">
      <c r="A50" s="1806"/>
      <c r="B50" s="1896">
        <v>20</v>
      </c>
      <c r="C50" s="1806"/>
      <c r="D50" s="1806"/>
      <c r="E50" s="1806"/>
      <c r="F50" s="1806"/>
      <c r="G50" s="1806"/>
      <c r="H50" s="1806"/>
      <c r="J50" s="1802">
        <v>40</v>
      </c>
      <c r="K50" s="1802" t="s">
        <v>112</v>
      </c>
      <c r="L50" s="2287">
        <f t="shared" ca="1" si="3"/>
        <v>-11886.798782036707</v>
      </c>
      <c r="M50" s="2287">
        <f t="shared" ca="1" si="4"/>
        <v>-89.521463153592336</v>
      </c>
    </row>
    <row r="51" spans="1:13">
      <c r="A51" s="1806"/>
      <c r="B51" s="1896">
        <v>25</v>
      </c>
      <c r="C51" s="1806"/>
      <c r="D51" s="1806"/>
      <c r="E51" s="1806"/>
      <c r="F51" s="1806"/>
      <c r="G51" s="1806"/>
      <c r="H51" s="1806"/>
      <c r="J51" s="1802">
        <v>41</v>
      </c>
      <c r="K51" s="1802" t="s">
        <v>113</v>
      </c>
      <c r="L51" s="2287">
        <f t="shared" ca="1" si="3"/>
        <v>-12243.402745497808</v>
      </c>
      <c r="M51" s="2287">
        <f t="shared" ca="1" si="4"/>
        <v>-81.599209777168241</v>
      </c>
    </row>
    <row r="52" spans="1:13">
      <c r="A52" s="1806"/>
      <c r="B52" s="1896">
        <v>30</v>
      </c>
      <c r="C52" s="1806"/>
      <c r="D52" s="1806"/>
      <c r="E52" s="1806"/>
      <c r="F52" s="1806"/>
      <c r="G52" s="1806"/>
      <c r="H52" s="1806"/>
      <c r="J52" s="1802">
        <v>42</v>
      </c>
      <c r="K52" s="1802" t="s">
        <v>114</v>
      </c>
      <c r="L52" s="2287">
        <f t="shared" ca="1" si="3"/>
        <v>-12610.704827862743</v>
      </c>
      <c r="M52" s="2287">
        <f t="shared" ca="1" si="4"/>
        <v>-74.378040770339211</v>
      </c>
    </row>
    <row r="53" spans="1:13">
      <c r="A53" s="1806"/>
      <c r="B53" s="1896">
        <v>35</v>
      </c>
      <c r="C53" s="1806"/>
      <c r="D53" s="1806"/>
      <c r="E53" s="1806"/>
      <c r="F53" s="1806"/>
      <c r="G53" s="1806"/>
      <c r="H53" s="1806"/>
      <c r="J53" s="1802">
        <v>43</v>
      </c>
      <c r="K53" s="1802" t="s">
        <v>115</v>
      </c>
      <c r="L53" s="2287">
        <f t="shared" ca="1" si="3"/>
        <v>-12989.025972698626</v>
      </c>
      <c r="M53" s="2287">
        <f t="shared" ca="1" si="4"/>
        <v>-67.795913268539294</v>
      </c>
    </row>
    <row r="54" spans="1:13">
      <c r="A54" s="1806"/>
      <c r="B54" s="1896">
        <v>40</v>
      </c>
      <c r="C54" s="1806"/>
      <c r="D54" s="1806"/>
      <c r="E54" s="1806"/>
      <c r="F54" s="1806"/>
      <c r="G54" s="1806"/>
      <c r="H54" s="1806"/>
      <c r="J54" s="1802">
        <v>44</v>
      </c>
      <c r="K54" s="1802" t="s">
        <v>116</v>
      </c>
      <c r="L54" s="2287">
        <f t="shared" ca="1" si="3"/>
        <v>-13378.696751879585</v>
      </c>
      <c r="M54" s="2287">
        <f t="shared" ca="1" si="4"/>
        <v>-61.796274926190698</v>
      </c>
    </row>
    <row r="55" spans="1:13">
      <c r="A55" s="1806"/>
      <c r="B55" s="1896">
        <v>45</v>
      </c>
      <c r="C55" s="1806"/>
      <c r="D55" s="1806"/>
      <c r="E55" s="1806"/>
      <c r="F55" s="1806"/>
      <c r="G55" s="1806"/>
      <c r="H55" s="1806"/>
      <c r="J55" s="1802">
        <v>45</v>
      </c>
      <c r="K55" s="1802" t="s">
        <v>117</v>
      </c>
      <c r="L55" s="2287">
        <f t="shared" ca="1" si="3"/>
        <v>-13780.057654435972</v>
      </c>
      <c r="M55" s="2287">
        <f t="shared" ca="1" si="4"/>
        <v>-56.32757803006762</v>
      </c>
    </row>
    <row r="56" spans="1:13">
      <c r="A56" s="1806"/>
      <c r="B56" s="1896">
        <v>50</v>
      </c>
      <c r="C56" s="1806"/>
      <c r="D56" s="1806"/>
      <c r="E56" s="1806"/>
      <c r="F56" s="1806"/>
      <c r="G56" s="1806"/>
      <c r="H56" s="1806"/>
      <c r="J56" s="1802">
        <v>46</v>
      </c>
      <c r="K56" s="1802" t="s">
        <v>118</v>
      </c>
      <c r="L56" s="2287">
        <f t="shared" ca="1" si="3"/>
        <v>-14193.459384069052</v>
      </c>
      <c r="M56" s="2287">
        <f t="shared" ca="1" si="4"/>
        <v>-51.342836611477594</v>
      </c>
    </row>
    <row r="57" spans="1:13">
      <c r="A57" s="1806"/>
      <c r="B57" s="1896">
        <v>60</v>
      </c>
      <c r="C57" s="1806"/>
      <c r="D57" s="1806"/>
      <c r="E57" s="1806"/>
      <c r="F57" s="1806"/>
      <c r="G57" s="1806"/>
      <c r="H57" s="1806"/>
      <c r="J57" s="1802">
        <v>47</v>
      </c>
      <c r="K57" s="1802" t="s">
        <v>119</v>
      </c>
      <c r="L57" s="2287">
        <f t="shared" ca="1" si="3"/>
        <v>-14619.263165591125</v>
      </c>
      <c r="M57" s="2287">
        <f t="shared" ca="1" si="4"/>
        <v>-46.799222752054796</v>
      </c>
    </row>
    <row r="58" spans="1:13">
      <c r="A58" s="1806"/>
      <c r="B58" s="1896">
        <v>75</v>
      </c>
      <c r="C58" s="1806"/>
      <c r="D58" s="1806"/>
      <c r="E58" s="1806"/>
      <c r="F58" s="1806"/>
      <c r="G58" s="1806"/>
      <c r="H58" s="1806"/>
      <c r="J58" s="1802">
        <v>48</v>
      </c>
      <c r="K58" s="1802" t="s">
        <v>120</v>
      </c>
      <c r="L58" s="2287">
        <f t="shared" ca="1" si="3"/>
        <v>-15057.841060558858</v>
      </c>
      <c r="M58" s="2287">
        <f t="shared" ca="1" si="4"/>
        <v>-42.657698614704813</v>
      </c>
    </row>
    <row r="59" spans="1:13">
      <c r="A59" s="1806"/>
      <c r="B59" s="1896">
        <v>99</v>
      </c>
      <c r="C59" s="1806"/>
      <c r="D59" s="1806"/>
      <c r="E59" s="1806"/>
      <c r="F59" s="1806"/>
      <c r="G59" s="1806"/>
      <c r="H59" s="1806"/>
      <c r="J59" s="1802">
        <v>49</v>
      </c>
      <c r="K59" s="1802" t="s">
        <v>121</v>
      </c>
      <c r="L59" s="2287">
        <f t="shared" ca="1" si="3"/>
        <v>-15509.576292375625</v>
      </c>
      <c r="M59" s="2287">
        <f t="shared" ca="1" si="4"/>
        <v>-38.88268103818227</v>
      </c>
    </row>
    <row r="60" spans="1:13">
      <c r="A60" s="1806"/>
      <c r="B60" s="1806"/>
      <c r="C60" s="1806"/>
      <c r="D60" s="1806"/>
      <c r="E60" s="1806"/>
      <c r="F60" s="1806"/>
      <c r="G60" s="1806"/>
      <c r="H60" s="1806"/>
      <c r="J60" s="1802">
        <v>50</v>
      </c>
      <c r="K60" s="1802" t="s">
        <v>122</v>
      </c>
      <c r="L60" s="2287">
        <f t="shared" ca="1" si="3"/>
        <v>-15974.863581146894</v>
      </c>
      <c r="M60" s="2287">
        <f t="shared" ca="1" si="4"/>
        <v>-35.441735813564378</v>
      </c>
    </row>
    <row r="61" spans="1:13">
      <c r="A61" s="1806"/>
      <c r="B61" s="1806"/>
      <c r="C61" s="1806"/>
      <c r="D61" s="1806"/>
      <c r="E61" s="1806"/>
      <c r="F61" s="1806"/>
      <c r="G61" s="1806"/>
      <c r="H61" s="1806"/>
      <c r="J61" s="1897"/>
      <c r="K61" s="1897"/>
      <c r="L61" s="1898"/>
      <c r="M61" s="1898"/>
    </row>
    <row r="62" spans="1:13">
      <c r="A62" s="1806"/>
      <c r="B62" s="1806"/>
      <c r="C62" s="1806"/>
      <c r="D62" s="1806"/>
      <c r="E62" s="1806"/>
      <c r="F62" s="1806"/>
      <c r="G62" s="1806"/>
      <c r="H62" s="1806"/>
      <c r="J62" s="1897"/>
      <c r="K62" s="1897"/>
      <c r="L62" s="1898"/>
      <c r="M62" s="1898"/>
    </row>
    <row r="63" spans="1:13">
      <c r="A63" s="1806"/>
      <c r="B63" s="1806"/>
      <c r="C63" s="1806"/>
      <c r="D63" s="1806"/>
      <c r="E63" s="1806"/>
      <c r="F63" s="1806"/>
      <c r="G63" s="1806"/>
      <c r="H63" s="1806"/>
      <c r="J63" s="1897"/>
      <c r="K63" s="1897"/>
      <c r="L63" s="1898"/>
      <c r="M63" s="1898"/>
    </row>
    <row r="64" spans="1:13">
      <c r="A64" s="1806"/>
      <c r="B64" s="1806"/>
      <c r="C64" s="1806"/>
      <c r="D64" s="1806"/>
      <c r="E64" s="1806"/>
      <c r="F64" s="1806"/>
      <c r="G64" s="1806"/>
      <c r="H64" s="1806"/>
      <c r="J64" s="1897"/>
      <c r="K64" s="1897"/>
      <c r="L64" s="1898"/>
      <c r="M64" s="1898"/>
    </row>
    <row r="65" spans="1:13">
      <c r="A65" s="1806"/>
      <c r="B65" s="1806"/>
      <c r="C65" s="1806"/>
      <c r="D65" s="1806"/>
      <c r="E65" s="1806"/>
      <c r="F65" s="1806"/>
      <c r="G65" s="1806"/>
      <c r="H65" s="1806"/>
      <c r="J65" s="1897"/>
      <c r="K65" s="1897"/>
      <c r="L65" s="1898"/>
      <c r="M65" s="1898"/>
    </row>
    <row r="66" spans="1:13">
      <c r="A66" s="1806"/>
      <c r="B66" s="1806"/>
      <c r="C66" s="1806"/>
      <c r="D66" s="1806"/>
      <c r="E66" s="1806"/>
      <c r="F66" s="1806"/>
      <c r="G66" s="1806"/>
      <c r="H66" s="1806"/>
      <c r="J66" s="1897"/>
      <c r="K66" s="1897"/>
      <c r="L66" s="1898"/>
      <c r="M66" s="1898"/>
    </row>
    <row r="67" spans="1:13">
      <c r="A67" s="1806"/>
      <c r="B67" s="1806"/>
      <c r="C67" s="1806"/>
      <c r="D67" s="1806"/>
      <c r="E67" s="1806"/>
      <c r="F67" s="1806"/>
      <c r="G67" s="1806"/>
      <c r="H67" s="1806"/>
    </row>
    <row r="68" spans="1:13">
      <c r="A68" s="1806"/>
      <c r="B68" s="1806"/>
      <c r="C68" s="1806"/>
      <c r="D68" s="1806"/>
      <c r="E68" s="1806"/>
      <c r="F68" s="1806"/>
      <c r="G68" s="1806"/>
      <c r="H68" s="1806"/>
    </row>
    <row r="69" spans="1:13">
      <c r="A69" s="1806"/>
      <c r="B69" s="1806"/>
      <c r="C69" s="1806"/>
      <c r="D69" s="1806"/>
      <c r="E69" s="1806"/>
      <c r="F69" s="1806"/>
      <c r="G69" s="1806"/>
      <c r="H69" s="1806"/>
    </row>
    <row r="70" spans="1:13">
      <c r="A70" s="1806"/>
      <c r="B70" s="1806"/>
      <c r="C70" s="1806"/>
      <c r="D70" s="1806"/>
      <c r="E70" s="1806"/>
      <c r="F70" s="1806"/>
      <c r="G70" s="1806"/>
      <c r="H70" s="1806"/>
    </row>
    <row r="71" spans="1:13">
      <c r="A71" s="1806"/>
      <c r="B71" s="1806"/>
      <c r="C71" s="1806"/>
      <c r="D71" s="1806"/>
      <c r="E71" s="1806"/>
      <c r="F71" s="1806"/>
      <c r="G71" s="1806"/>
      <c r="H71" s="1806"/>
    </row>
    <row r="72" spans="1:13">
      <c r="A72" s="1806"/>
      <c r="B72" s="1806"/>
      <c r="C72" s="1806"/>
      <c r="D72" s="1806"/>
      <c r="E72" s="1806"/>
      <c r="F72" s="1806"/>
      <c r="G72" s="1806"/>
      <c r="H72" s="1806"/>
    </row>
    <row r="73" spans="1:13">
      <c r="A73" s="1806"/>
      <c r="B73" s="1806"/>
      <c r="C73" s="1806"/>
      <c r="D73" s="1806"/>
      <c r="E73" s="1806"/>
      <c r="F73" s="1806"/>
      <c r="G73" s="1806"/>
      <c r="H73" s="1806"/>
    </row>
    <row r="74" spans="1:13">
      <c r="A74" s="1806"/>
      <c r="B74" s="1806"/>
      <c r="C74" s="1806"/>
      <c r="D74" s="1806"/>
      <c r="E74" s="1806"/>
      <c r="F74" s="1806"/>
      <c r="G74" s="1806"/>
      <c r="H74" s="1806"/>
    </row>
    <row r="75" spans="1:13">
      <c r="A75" s="1806"/>
      <c r="B75" s="1806"/>
      <c r="C75" s="1806"/>
      <c r="D75" s="1806"/>
      <c r="E75" s="1806"/>
      <c r="F75" s="1806"/>
      <c r="G75" s="1806"/>
      <c r="H75" s="1806"/>
    </row>
    <row r="76" spans="1:13">
      <c r="A76" s="1806"/>
      <c r="B76" s="1806"/>
      <c r="C76" s="1806"/>
      <c r="D76" s="1806"/>
      <c r="E76" s="1806"/>
      <c r="F76" s="1806"/>
      <c r="G76" s="1806"/>
      <c r="H76" s="1806"/>
    </row>
    <row r="77" spans="1:13">
      <c r="A77" s="1806"/>
      <c r="B77" s="1806"/>
      <c r="C77" s="1806"/>
      <c r="D77" s="1806"/>
      <c r="E77" s="1806"/>
      <c r="F77" s="1806"/>
      <c r="G77" s="1806"/>
      <c r="H77" s="1806"/>
    </row>
    <row r="78" spans="1:13">
      <c r="A78" s="1806"/>
      <c r="B78" s="1806"/>
      <c r="C78" s="1806"/>
      <c r="D78" s="1806"/>
      <c r="E78" s="1806"/>
      <c r="F78" s="1806"/>
      <c r="G78" s="1806"/>
      <c r="H78" s="1806"/>
    </row>
    <row r="79" spans="1:13">
      <c r="A79" s="1806"/>
      <c r="B79" s="1806"/>
      <c r="C79" s="1806"/>
      <c r="D79" s="1806"/>
      <c r="E79" s="1806"/>
      <c r="F79" s="1806"/>
      <c r="G79" s="1806"/>
      <c r="H79" s="1806"/>
    </row>
    <row r="80" spans="1:13">
      <c r="A80" s="1806"/>
      <c r="B80" s="1806"/>
      <c r="C80" s="1806"/>
      <c r="D80" s="1806"/>
      <c r="E80" s="1806"/>
      <c r="F80" s="1806"/>
      <c r="G80" s="1806"/>
      <c r="H80" s="1806"/>
    </row>
    <row r="81" spans="1:8">
      <c r="A81" s="1806"/>
      <c r="B81" s="1806"/>
      <c r="C81" s="1806"/>
      <c r="D81" s="1806"/>
      <c r="E81" s="1806"/>
      <c r="F81" s="1806"/>
      <c r="G81" s="1806"/>
      <c r="H81" s="1806"/>
    </row>
    <row r="82" spans="1:8">
      <c r="A82" s="1806"/>
      <c r="B82" s="1806"/>
      <c r="C82" s="1806"/>
      <c r="D82" s="1806"/>
      <c r="E82" s="1806"/>
      <c r="F82" s="1806"/>
      <c r="G82" s="1806"/>
      <c r="H82" s="1806"/>
    </row>
    <row r="83" spans="1:8">
      <c r="A83" s="1806"/>
      <c r="B83" s="1806"/>
      <c r="C83" s="1806"/>
      <c r="D83" s="1806"/>
      <c r="E83" s="1806"/>
      <c r="F83" s="1806"/>
      <c r="G83" s="1806"/>
      <c r="H83" s="1806"/>
    </row>
    <row r="84" spans="1:8">
      <c r="A84" s="1806"/>
      <c r="B84" s="1806"/>
      <c r="C84" s="1806"/>
      <c r="D84" s="1806"/>
      <c r="E84" s="1806"/>
      <c r="F84" s="1806"/>
      <c r="G84" s="1806"/>
      <c r="H84" s="1806"/>
    </row>
    <row r="85" spans="1:8">
      <c r="A85" s="1806"/>
      <c r="B85" s="1806"/>
      <c r="C85" s="1806"/>
      <c r="D85" s="1806"/>
      <c r="E85" s="1806"/>
      <c r="F85" s="1806"/>
      <c r="G85" s="1806"/>
      <c r="H85" s="1806"/>
    </row>
    <row r="86" spans="1:8">
      <c r="A86" s="1806"/>
      <c r="B86" s="1806"/>
      <c r="C86" s="1806"/>
      <c r="D86" s="1806"/>
      <c r="E86" s="1806"/>
      <c r="F86" s="1806"/>
      <c r="G86" s="1806"/>
      <c r="H86" s="1806"/>
    </row>
    <row r="87" spans="1:8">
      <c r="A87" s="1806"/>
      <c r="B87" s="1806"/>
      <c r="C87" s="1806"/>
      <c r="D87" s="1806"/>
      <c r="E87" s="1806"/>
      <c r="F87" s="1806"/>
      <c r="G87" s="1806"/>
      <c r="H87" s="1806"/>
    </row>
    <row r="88" spans="1:8">
      <c r="A88" s="1806"/>
      <c r="B88" s="1806"/>
      <c r="C88" s="1806"/>
      <c r="D88" s="1806"/>
      <c r="E88" s="1806"/>
      <c r="F88" s="1806"/>
      <c r="G88" s="1806"/>
      <c r="H88" s="1806"/>
    </row>
    <row r="89" spans="1:8">
      <c r="A89" s="1806"/>
      <c r="B89" s="1806"/>
      <c r="C89" s="1806"/>
      <c r="D89" s="1806"/>
      <c r="E89" s="1806"/>
      <c r="F89" s="1806"/>
      <c r="G89" s="1806"/>
      <c r="H89" s="1806"/>
    </row>
    <row r="90" spans="1:8">
      <c r="A90" s="1806"/>
      <c r="B90" s="1806"/>
      <c r="C90" s="1806"/>
      <c r="D90" s="1806"/>
      <c r="E90" s="1806"/>
      <c r="F90" s="1806"/>
      <c r="G90" s="1806"/>
      <c r="H90" s="1806"/>
    </row>
    <row r="91" spans="1:8">
      <c r="A91" s="1806"/>
      <c r="B91" s="1806"/>
      <c r="C91" s="1806"/>
      <c r="D91" s="1806"/>
      <c r="E91" s="1806"/>
      <c r="F91" s="1806"/>
      <c r="G91" s="1806"/>
      <c r="H91" s="1806"/>
    </row>
    <row r="92" spans="1:8">
      <c r="A92" s="1806"/>
      <c r="B92" s="1806"/>
      <c r="C92" s="1806"/>
      <c r="D92" s="1806"/>
      <c r="E92" s="1806"/>
      <c r="F92" s="1806"/>
      <c r="G92" s="1806"/>
      <c r="H92" s="1806"/>
    </row>
    <row r="93" spans="1:8">
      <c r="A93" s="1806"/>
      <c r="B93" s="1806"/>
      <c r="C93" s="1806"/>
      <c r="D93" s="1806"/>
      <c r="E93" s="1806"/>
      <c r="F93" s="1806"/>
      <c r="G93" s="1806"/>
      <c r="H93" s="1806"/>
    </row>
    <row r="94" spans="1:8">
      <c r="A94" s="1806"/>
      <c r="B94" s="1806"/>
      <c r="C94" s="1806"/>
      <c r="D94" s="1806"/>
      <c r="E94" s="1806"/>
      <c r="F94" s="1806"/>
      <c r="G94" s="1806"/>
      <c r="H94" s="1806"/>
    </row>
    <row r="95" spans="1:8">
      <c r="A95" s="1806"/>
      <c r="B95" s="1806"/>
      <c r="C95" s="1806"/>
      <c r="D95" s="1806"/>
      <c r="E95" s="1806"/>
      <c r="F95" s="1806"/>
      <c r="G95" s="1806"/>
      <c r="H95" s="1806"/>
    </row>
    <row r="96" spans="1:8">
      <c r="A96" s="1806"/>
      <c r="B96" s="1806"/>
      <c r="C96" s="1806"/>
      <c r="D96" s="1806"/>
      <c r="E96" s="1806"/>
      <c r="F96" s="1806"/>
      <c r="G96" s="1806"/>
      <c r="H96" s="1806"/>
    </row>
    <row r="97" spans="1:8">
      <c r="A97" s="1806"/>
      <c r="B97" s="1806"/>
      <c r="C97" s="1806"/>
      <c r="D97" s="1806"/>
      <c r="E97" s="1806"/>
      <c r="F97" s="1806"/>
      <c r="G97" s="1806"/>
      <c r="H97" s="1806"/>
    </row>
    <row r="98" spans="1:8">
      <c r="A98" s="1806"/>
      <c r="B98" s="1806"/>
      <c r="C98" s="1806"/>
      <c r="D98" s="1806"/>
      <c r="E98" s="1806"/>
      <c r="F98" s="1806"/>
      <c r="G98" s="1806"/>
      <c r="H98" s="1806"/>
    </row>
    <row r="99" spans="1:8">
      <c r="A99" s="1806"/>
      <c r="B99" s="1806"/>
      <c r="C99" s="1806"/>
      <c r="D99" s="1806"/>
      <c r="E99" s="1806"/>
      <c r="F99" s="1806"/>
      <c r="G99" s="1806"/>
      <c r="H99" s="1806"/>
    </row>
    <row r="100" spans="1:8">
      <c r="A100" s="1806"/>
      <c r="B100" s="1806"/>
      <c r="C100" s="1806"/>
      <c r="D100" s="1806"/>
      <c r="E100" s="1806"/>
      <c r="F100" s="1806"/>
      <c r="G100" s="1806"/>
      <c r="H100" s="1806"/>
    </row>
    <row r="101" spans="1:8">
      <c r="A101" s="1806"/>
      <c r="B101" s="1806"/>
      <c r="C101" s="1806"/>
      <c r="D101" s="1806"/>
      <c r="E101" s="1806"/>
      <c r="F101" s="1806"/>
      <c r="G101" s="1806"/>
      <c r="H101" s="1806"/>
    </row>
    <row r="102" spans="1:8">
      <c r="A102" s="1806"/>
      <c r="B102" s="1806"/>
      <c r="C102" s="1806"/>
      <c r="D102" s="1806"/>
      <c r="E102" s="1806"/>
      <c r="F102" s="1806"/>
      <c r="G102" s="1806"/>
      <c r="H102" s="1806"/>
    </row>
    <row r="103" spans="1:8">
      <c r="A103" s="1806"/>
      <c r="B103" s="1806"/>
      <c r="C103" s="1806"/>
      <c r="D103" s="1806"/>
      <c r="E103" s="1806"/>
      <c r="F103" s="1806"/>
      <c r="G103" s="1806"/>
      <c r="H103" s="1806"/>
    </row>
    <row r="104" spans="1:8">
      <c r="A104" s="1806"/>
      <c r="B104" s="1806"/>
      <c r="C104" s="1806"/>
      <c r="D104" s="1806"/>
      <c r="E104" s="1806"/>
      <c r="F104" s="1806"/>
      <c r="G104" s="1806"/>
      <c r="H104" s="1806"/>
    </row>
    <row r="105" spans="1:8">
      <c r="A105" s="1806"/>
      <c r="B105" s="1806"/>
      <c r="C105" s="1806"/>
      <c r="D105" s="1806"/>
      <c r="E105" s="1806"/>
      <c r="F105" s="1806"/>
      <c r="G105" s="1806"/>
      <c r="H105" s="1806"/>
    </row>
    <row r="106" spans="1:8">
      <c r="A106" s="1806"/>
      <c r="B106" s="1806"/>
      <c r="C106" s="1806"/>
      <c r="D106" s="1806"/>
      <c r="E106" s="1806"/>
      <c r="F106" s="1806"/>
      <c r="G106" s="1806"/>
      <c r="H106" s="1806"/>
    </row>
    <row r="107" spans="1:8">
      <c r="A107" s="1806"/>
      <c r="B107" s="1806"/>
      <c r="C107" s="1806"/>
      <c r="D107" s="1806"/>
      <c r="E107" s="1806"/>
      <c r="F107" s="1806"/>
      <c r="G107" s="1806"/>
      <c r="H107" s="1806"/>
    </row>
    <row r="108" spans="1:8">
      <c r="A108" s="1806"/>
      <c r="B108" s="1806"/>
      <c r="C108" s="1806"/>
      <c r="D108" s="1806"/>
      <c r="E108" s="1806"/>
      <c r="F108" s="1806"/>
      <c r="G108" s="1806"/>
      <c r="H108" s="1806"/>
    </row>
    <row r="109" spans="1:8">
      <c r="A109" s="1806"/>
      <c r="B109" s="1806"/>
      <c r="C109" s="1806"/>
      <c r="D109" s="1806"/>
      <c r="E109" s="1806"/>
      <c r="F109" s="1806"/>
      <c r="G109" s="1806"/>
      <c r="H109" s="1806"/>
    </row>
    <row r="110" spans="1:8">
      <c r="A110" s="1806"/>
      <c r="B110" s="1806"/>
      <c r="C110" s="1806"/>
      <c r="D110" s="1806"/>
      <c r="E110" s="1806"/>
      <c r="F110" s="1806"/>
      <c r="G110" s="1806"/>
      <c r="H110" s="1806"/>
    </row>
    <row r="111" spans="1:8">
      <c r="A111" s="1806"/>
      <c r="B111" s="1806"/>
      <c r="C111" s="1806"/>
      <c r="D111" s="1806"/>
      <c r="E111" s="1806"/>
      <c r="F111" s="1806"/>
      <c r="G111" s="1806"/>
      <c r="H111" s="1806"/>
    </row>
    <row r="112" spans="1:8">
      <c r="A112" s="1806"/>
      <c r="B112" s="1806"/>
      <c r="C112" s="1806"/>
      <c r="D112" s="1806"/>
      <c r="E112" s="1806"/>
      <c r="F112" s="1806"/>
      <c r="G112" s="1806"/>
      <c r="H112" s="1806"/>
    </row>
    <row r="113" spans="1:8">
      <c r="A113" s="1806"/>
      <c r="B113" s="1806"/>
      <c r="C113" s="1806"/>
      <c r="D113" s="1806"/>
      <c r="E113" s="1806"/>
      <c r="F113" s="1806"/>
      <c r="G113" s="1806"/>
      <c r="H113" s="1806"/>
    </row>
    <row r="114" spans="1:8">
      <c r="A114" s="1806"/>
      <c r="B114" s="1806"/>
      <c r="C114" s="1806"/>
      <c r="D114" s="1806"/>
      <c r="E114" s="1806"/>
      <c r="F114" s="1806"/>
      <c r="G114" s="1806"/>
      <c r="H114" s="1806"/>
    </row>
    <row r="115" spans="1:8">
      <c r="A115" s="1806"/>
      <c r="B115" s="1806"/>
      <c r="C115" s="1806"/>
      <c r="D115" s="1806"/>
      <c r="E115" s="1806"/>
      <c r="F115" s="1806"/>
      <c r="G115" s="1806"/>
      <c r="H115" s="1806"/>
    </row>
    <row r="116" spans="1:8">
      <c r="A116" s="1806"/>
      <c r="B116" s="1806"/>
      <c r="C116" s="1806"/>
      <c r="D116" s="1806"/>
      <c r="E116" s="1806"/>
      <c r="F116" s="1806"/>
      <c r="G116" s="1806"/>
      <c r="H116" s="1806"/>
    </row>
    <row r="117" spans="1:8">
      <c r="A117" s="1806"/>
      <c r="B117" s="1806"/>
      <c r="C117" s="1806"/>
      <c r="D117" s="1806"/>
      <c r="E117" s="1806"/>
      <c r="F117" s="1806"/>
      <c r="G117" s="1806"/>
      <c r="H117" s="1806"/>
    </row>
    <row r="118" spans="1:8">
      <c r="A118" s="1806"/>
      <c r="B118" s="1806"/>
      <c r="C118" s="1806"/>
      <c r="D118" s="1806"/>
      <c r="E118" s="1806"/>
      <c r="F118" s="1806"/>
      <c r="G118" s="1806"/>
      <c r="H118" s="1806"/>
    </row>
    <row r="119" spans="1:8">
      <c r="A119" s="1806"/>
      <c r="B119" s="1806"/>
      <c r="C119" s="1806"/>
      <c r="D119" s="1806"/>
      <c r="E119" s="1806"/>
      <c r="F119" s="1806"/>
      <c r="G119" s="1806"/>
      <c r="H119" s="1806"/>
    </row>
    <row r="120" spans="1:8">
      <c r="A120" s="1806"/>
      <c r="B120" s="1806"/>
      <c r="C120" s="1806"/>
      <c r="D120" s="1806"/>
      <c r="E120" s="1806"/>
      <c r="F120" s="1806"/>
      <c r="G120" s="1806"/>
      <c r="H120" s="1806"/>
    </row>
    <row r="121" spans="1:8">
      <c r="A121" s="1806"/>
      <c r="B121" s="1806"/>
      <c r="C121" s="1806"/>
      <c r="D121" s="1806"/>
      <c r="E121" s="1806"/>
      <c r="F121" s="1806"/>
      <c r="G121" s="1806"/>
      <c r="H121" s="1806"/>
    </row>
    <row r="122" spans="1:8">
      <c r="A122" s="1806"/>
      <c r="B122" s="1806"/>
      <c r="C122" s="1806"/>
      <c r="D122" s="1806"/>
      <c r="E122" s="1806"/>
      <c r="F122" s="1806"/>
      <c r="G122" s="1806"/>
      <c r="H122" s="1806"/>
    </row>
    <row r="123" spans="1:8">
      <c r="A123" s="1806"/>
      <c r="B123" s="1806"/>
      <c r="C123" s="1806"/>
      <c r="D123" s="1806"/>
      <c r="E123" s="1806"/>
      <c r="F123" s="1806"/>
      <c r="G123" s="1806"/>
      <c r="H123" s="1806"/>
    </row>
    <row r="124" spans="1:8">
      <c r="A124" s="1806"/>
      <c r="B124" s="1806"/>
      <c r="C124" s="1806"/>
      <c r="D124" s="1806"/>
      <c r="E124" s="1806"/>
      <c r="F124" s="1806"/>
      <c r="G124" s="1806"/>
      <c r="H124" s="1806"/>
    </row>
    <row r="125" spans="1:8">
      <c r="A125" s="1806"/>
      <c r="B125" s="1806"/>
      <c r="C125" s="1806"/>
      <c r="D125" s="1806"/>
      <c r="E125" s="1806"/>
      <c r="F125" s="1806"/>
      <c r="G125" s="1806"/>
      <c r="H125" s="1806"/>
    </row>
    <row r="126" spans="1:8">
      <c r="A126" s="1806"/>
      <c r="B126" s="1806"/>
      <c r="C126" s="1806"/>
      <c r="D126" s="1806"/>
      <c r="E126" s="1806"/>
      <c r="F126" s="1806"/>
      <c r="G126" s="1806"/>
      <c r="H126" s="1806"/>
    </row>
    <row r="127" spans="1:8">
      <c r="A127" s="1806"/>
      <c r="B127" s="1806"/>
      <c r="C127" s="1806"/>
      <c r="D127" s="1806"/>
      <c r="E127" s="1806"/>
      <c r="F127" s="1806"/>
      <c r="G127" s="1806"/>
      <c r="H127" s="1806"/>
    </row>
    <row r="128" spans="1:8">
      <c r="A128" s="1806"/>
      <c r="B128" s="1806"/>
      <c r="C128" s="1806"/>
      <c r="D128" s="1806"/>
      <c r="E128" s="1806"/>
      <c r="F128" s="1806"/>
      <c r="G128" s="1806"/>
      <c r="H128" s="1806"/>
    </row>
    <row r="129" spans="1:8">
      <c r="A129" s="1806"/>
      <c r="B129" s="1806"/>
      <c r="C129" s="1806"/>
      <c r="D129" s="1806"/>
      <c r="E129" s="1806"/>
      <c r="F129" s="1806"/>
      <c r="G129" s="1806"/>
      <c r="H129" s="1806"/>
    </row>
    <row r="130" spans="1:8">
      <c r="A130" s="1806"/>
      <c r="B130" s="1806"/>
      <c r="C130" s="1806"/>
      <c r="D130" s="1806"/>
      <c r="E130" s="1806"/>
      <c r="F130" s="1806"/>
      <c r="G130" s="1806"/>
      <c r="H130" s="1806"/>
    </row>
    <row r="131" spans="1:8">
      <c r="A131" s="1806"/>
      <c r="B131" s="1806"/>
      <c r="C131" s="1806"/>
      <c r="D131" s="1806"/>
      <c r="E131" s="1806"/>
      <c r="F131" s="1806"/>
      <c r="G131" s="1806"/>
      <c r="H131" s="1806"/>
    </row>
    <row r="132" spans="1:8">
      <c r="A132" s="1806"/>
      <c r="B132" s="1806"/>
      <c r="C132" s="1806"/>
      <c r="D132" s="1806"/>
      <c r="E132" s="1806"/>
      <c r="F132" s="1806"/>
      <c r="G132" s="1806"/>
      <c r="H132" s="1806"/>
    </row>
    <row r="133" spans="1:8">
      <c r="A133" s="1806"/>
      <c r="B133" s="1806"/>
      <c r="C133" s="1806"/>
      <c r="D133" s="1806"/>
      <c r="E133" s="1806"/>
      <c r="F133" s="1806"/>
      <c r="G133" s="1806"/>
      <c r="H133" s="1806"/>
    </row>
    <row r="134" spans="1:8">
      <c r="A134" s="1806"/>
      <c r="B134" s="1806"/>
      <c r="C134" s="1806"/>
      <c r="D134" s="1806"/>
      <c r="E134" s="1806"/>
      <c r="F134" s="1806"/>
      <c r="G134" s="1806"/>
      <c r="H134" s="1806"/>
    </row>
    <row r="135" spans="1:8">
      <c r="A135" s="1806"/>
      <c r="B135" s="1806"/>
      <c r="C135" s="1806"/>
      <c r="D135" s="1806"/>
      <c r="E135" s="1806"/>
      <c r="F135" s="1806"/>
      <c r="G135" s="1806"/>
      <c r="H135" s="1806"/>
    </row>
    <row r="136" spans="1:8">
      <c r="A136" s="1806"/>
      <c r="B136" s="1806"/>
      <c r="C136" s="1806"/>
      <c r="D136" s="1806"/>
      <c r="E136" s="1806"/>
      <c r="F136" s="1806"/>
      <c r="G136" s="1806"/>
      <c r="H136" s="1806"/>
    </row>
    <row r="137" spans="1:8">
      <c r="A137" s="1806"/>
      <c r="B137" s="1806"/>
      <c r="C137" s="1806"/>
      <c r="D137" s="1806"/>
      <c r="E137" s="1806"/>
      <c r="F137" s="1806"/>
      <c r="G137" s="1806"/>
      <c r="H137" s="1806"/>
    </row>
    <row r="138" spans="1:8">
      <c r="A138" s="1806"/>
      <c r="B138" s="1806"/>
      <c r="C138" s="1806"/>
      <c r="D138" s="1806"/>
      <c r="E138" s="1806"/>
      <c r="F138" s="1806"/>
      <c r="G138" s="1806"/>
      <c r="H138" s="1806"/>
    </row>
    <row r="139" spans="1:8">
      <c r="A139" s="1806"/>
      <c r="B139" s="1806"/>
      <c r="C139" s="1806"/>
      <c r="D139" s="1806"/>
      <c r="E139" s="1806"/>
      <c r="F139" s="1806"/>
      <c r="G139" s="1806"/>
      <c r="H139" s="1806"/>
    </row>
    <row r="140" spans="1:8">
      <c r="A140" s="1806"/>
      <c r="B140" s="1806"/>
      <c r="C140" s="1806"/>
      <c r="D140" s="1806"/>
      <c r="E140" s="1806"/>
      <c r="F140" s="1806"/>
      <c r="G140" s="1806"/>
      <c r="H140" s="1806"/>
    </row>
    <row r="141" spans="1:8">
      <c r="A141" s="1806"/>
      <c r="B141" s="1806"/>
      <c r="C141" s="1806"/>
      <c r="D141" s="1806"/>
      <c r="E141" s="1806"/>
      <c r="F141" s="1806"/>
      <c r="G141" s="1806"/>
      <c r="H141" s="1806"/>
    </row>
    <row r="142" spans="1:8">
      <c r="A142" s="1806"/>
      <c r="B142" s="1806"/>
      <c r="C142" s="1806"/>
      <c r="D142" s="1806"/>
      <c r="E142" s="1806"/>
      <c r="F142" s="1806"/>
      <c r="G142" s="1806"/>
      <c r="H142" s="1806"/>
    </row>
    <row r="143" spans="1:8">
      <c r="A143" s="1806"/>
      <c r="B143" s="1806"/>
      <c r="C143" s="1806"/>
      <c r="D143" s="1806"/>
      <c r="E143" s="1806"/>
      <c r="F143" s="1806"/>
      <c r="G143" s="1806"/>
      <c r="H143" s="1806"/>
    </row>
    <row r="144" spans="1:8">
      <c r="A144" s="1806"/>
      <c r="B144" s="1806"/>
      <c r="C144" s="1806"/>
      <c r="D144" s="1806"/>
      <c r="E144" s="1806"/>
      <c r="F144" s="1806"/>
      <c r="G144" s="1806"/>
      <c r="H144" s="1806"/>
    </row>
    <row r="145" spans="1:8">
      <c r="A145" s="1806"/>
      <c r="B145" s="1806"/>
      <c r="C145" s="1806"/>
      <c r="D145" s="1806"/>
      <c r="E145" s="1806"/>
      <c r="F145" s="1806"/>
      <c r="G145" s="1806"/>
      <c r="H145" s="1806"/>
    </row>
    <row r="146" spans="1:8">
      <c r="A146" s="1806"/>
      <c r="B146" s="1806"/>
      <c r="C146" s="1806"/>
      <c r="D146" s="1806"/>
      <c r="E146" s="1806"/>
      <c r="F146" s="1806"/>
      <c r="G146" s="1806"/>
      <c r="H146" s="1806"/>
    </row>
    <row r="147" spans="1:8">
      <c r="A147" s="1806"/>
      <c r="B147" s="1806"/>
      <c r="C147" s="1806"/>
      <c r="D147" s="1806"/>
      <c r="E147" s="1806"/>
      <c r="F147" s="1806"/>
      <c r="G147" s="1806"/>
      <c r="H147" s="1806"/>
    </row>
    <row r="148" spans="1:8">
      <c r="A148" s="1806"/>
      <c r="B148" s="1806"/>
      <c r="C148" s="1806"/>
      <c r="D148" s="1806"/>
      <c r="E148" s="1806"/>
      <c r="F148" s="1806"/>
      <c r="G148" s="1806"/>
      <c r="H148" s="1806"/>
    </row>
    <row r="149" spans="1:8">
      <c r="A149" s="1806"/>
      <c r="B149" s="1806"/>
      <c r="C149" s="1806"/>
      <c r="D149" s="1806"/>
      <c r="E149" s="1806"/>
      <c r="F149" s="1806"/>
      <c r="G149" s="1806"/>
      <c r="H149" s="1806"/>
    </row>
    <row r="150" spans="1:8">
      <c r="A150" s="1806"/>
      <c r="B150" s="1806"/>
      <c r="C150" s="1806"/>
      <c r="D150" s="1806"/>
      <c r="E150" s="1806"/>
      <c r="F150" s="1806"/>
      <c r="G150" s="1806"/>
      <c r="H150" s="1806"/>
    </row>
    <row r="151" spans="1:8">
      <c r="A151" s="1806"/>
      <c r="B151" s="1806"/>
      <c r="C151" s="1806"/>
      <c r="D151" s="1806"/>
      <c r="E151" s="1806"/>
      <c r="F151" s="1806"/>
      <c r="G151" s="1806"/>
      <c r="H151" s="1806"/>
    </row>
    <row r="152" spans="1:8">
      <c r="A152" s="1806"/>
      <c r="B152" s="1806"/>
      <c r="C152" s="1806"/>
      <c r="D152" s="1806"/>
      <c r="E152" s="1806"/>
      <c r="F152" s="1806"/>
      <c r="G152" s="1806"/>
      <c r="H152" s="1806"/>
    </row>
    <row r="153" spans="1:8">
      <c r="A153" s="1806"/>
      <c r="B153" s="1806"/>
      <c r="C153" s="1806"/>
      <c r="D153" s="1806"/>
      <c r="E153" s="1806"/>
      <c r="F153" s="1806"/>
      <c r="G153" s="1806"/>
      <c r="H153" s="1806"/>
    </row>
    <row r="154" spans="1:8">
      <c r="A154" s="1806"/>
      <c r="B154" s="1806"/>
      <c r="C154" s="1806"/>
      <c r="D154" s="1806"/>
      <c r="E154" s="1806"/>
      <c r="F154" s="1806"/>
      <c r="G154" s="1806"/>
      <c r="H154" s="1806"/>
    </row>
    <row r="155" spans="1:8">
      <c r="A155" s="1806"/>
      <c r="B155" s="1806"/>
      <c r="C155" s="1806"/>
      <c r="D155" s="1806"/>
      <c r="E155" s="1806"/>
      <c r="F155" s="1806"/>
      <c r="G155" s="1806"/>
      <c r="H155" s="1806"/>
    </row>
    <row r="156" spans="1:8">
      <c r="A156" s="1806"/>
      <c r="B156" s="1806"/>
      <c r="C156" s="1806"/>
      <c r="D156" s="1806"/>
      <c r="E156" s="1806"/>
      <c r="F156" s="1806"/>
      <c r="G156" s="1806"/>
      <c r="H156" s="1806"/>
    </row>
    <row r="157" spans="1:8">
      <c r="A157" s="1806"/>
      <c r="B157" s="1806"/>
      <c r="C157" s="1806"/>
      <c r="D157" s="1806"/>
      <c r="E157" s="1806"/>
      <c r="F157" s="1806"/>
      <c r="G157" s="1806"/>
      <c r="H157" s="1806"/>
    </row>
    <row r="158" spans="1:8">
      <c r="A158" s="1806"/>
      <c r="B158" s="1806"/>
      <c r="C158" s="1806"/>
      <c r="D158" s="1806"/>
      <c r="E158" s="1806"/>
      <c r="F158" s="1806"/>
      <c r="G158" s="1806"/>
      <c r="H158" s="1806"/>
    </row>
    <row r="159" spans="1:8">
      <c r="A159" s="1806"/>
      <c r="B159" s="1806"/>
      <c r="C159" s="1806"/>
      <c r="D159" s="1806"/>
      <c r="E159" s="1806"/>
      <c r="F159" s="1806"/>
      <c r="G159" s="1806"/>
      <c r="H159" s="1806"/>
    </row>
    <row r="160" spans="1:8">
      <c r="A160" s="1806"/>
      <c r="B160" s="1806"/>
      <c r="C160" s="1806"/>
      <c r="D160" s="1806"/>
      <c r="E160" s="1806"/>
      <c r="F160" s="1806"/>
      <c r="G160" s="1806"/>
      <c r="H160" s="1806"/>
    </row>
    <row r="161" spans="1:8">
      <c r="A161" s="1806"/>
      <c r="B161" s="1806"/>
      <c r="C161" s="1806"/>
      <c r="D161" s="1806"/>
      <c r="E161" s="1806"/>
      <c r="F161" s="1806"/>
      <c r="G161" s="1806"/>
      <c r="H161" s="1806"/>
    </row>
    <row r="162" spans="1:8">
      <c r="A162" s="1806"/>
      <c r="B162" s="1806"/>
      <c r="C162" s="1806"/>
      <c r="D162" s="1806"/>
      <c r="E162" s="1806"/>
      <c r="F162" s="1806"/>
      <c r="G162" s="1806"/>
      <c r="H162" s="1806"/>
    </row>
    <row r="163" spans="1:8">
      <c r="A163" s="1806"/>
      <c r="B163" s="1806"/>
      <c r="C163" s="1806"/>
      <c r="D163" s="1806"/>
      <c r="E163" s="1806"/>
      <c r="F163" s="1806"/>
      <c r="G163" s="1806"/>
      <c r="H163" s="1806"/>
    </row>
    <row r="164" spans="1:8">
      <c r="A164" s="1806"/>
      <c r="B164" s="1806"/>
      <c r="C164" s="1806"/>
      <c r="D164" s="1806"/>
      <c r="E164" s="1806"/>
      <c r="F164" s="1806"/>
      <c r="G164" s="1806"/>
      <c r="H164" s="1806"/>
    </row>
    <row r="165" spans="1:8">
      <c r="A165" s="1806"/>
      <c r="B165" s="1806"/>
      <c r="C165" s="1806"/>
      <c r="D165" s="1806"/>
      <c r="E165" s="1806"/>
      <c r="F165" s="1806"/>
      <c r="G165" s="1806"/>
      <c r="H165" s="1806"/>
    </row>
    <row r="166" spans="1:8">
      <c r="A166" s="1806"/>
      <c r="B166" s="1806"/>
      <c r="C166" s="1806"/>
      <c r="D166" s="1806"/>
      <c r="E166" s="1806"/>
      <c r="F166" s="1806"/>
      <c r="G166" s="1806"/>
      <c r="H166" s="1806"/>
    </row>
    <row r="167" spans="1:8">
      <c r="A167" s="1806"/>
      <c r="B167" s="1806"/>
      <c r="C167" s="1806"/>
      <c r="D167" s="1806"/>
      <c r="E167" s="1806"/>
      <c r="F167" s="1806"/>
      <c r="G167" s="1806"/>
      <c r="H167" s="1806"/>
    </row>
    <row r="168" spans="1:8">
      <c r="A168" s="1806"/>
      <c r="B168" s="1806"/>
      <c r="C168" s="1806"/>
      <c r="D168" s="1806"/>
      <c r="E168" s="1806"/>
      <c r="F168" s="1806"/>
      <c r="G168" s="1806"/>
      <c r="H168" s="1806"/>
    </row>
    <row r="169" spans="1:8">
      <c r="A169" s="1806"/>
      <c r="B169" s="1806"/>
      <c r="C169" s="1806"/>
      <c r="D169" s="1806"/>
      <c r="E169" s="1806"/>
      <c r="F169" s="1806"/>
      <c r="G169" s="1806"/>
      <c r="H169" s="1806"/>
    </row>
    <row r="170" spans="1:8">
      <c r="A170" s="1806"/>
      <c r="B170" s="1806"/>
      <c r="C170" s="1806"/>
      <c r="D170" s="1806"/>
      <c r="E170" s="1806"/>
      <c r="F170" s="1806"/>
      <c r="G170" s="1806"/>
      <c r="H170" s="1806"/>
    </row>
    <row r="171" spans="1:8">
      <c r="A171" s="1806"/>
      <c r="B171" s="1806"/>
      <c r="C171" s="1806"/>
      <c r="D171" s="1806"/>
      <c r="E171" s="1806"/>
      <c r="F171" s="1806"/>
      <c r="G171" s="1806"/>
      <c r="H171" s="1806"/>
    </row>
    <row r="172" spans="1:8">
      <c r="A172" s="1806"/>
      <c r="B172" s="1806"/>
      <c r="C172" s="1806"/>
      <c r="D172" s="1806"/>
      <c r="E172" s="1806"/>
      <c r="F172" s="1806"/>
      <c r="G172" s="1806"/>
      <c r="H172" s="1806"/>
    </row>
    <row r="173" spans="1:8">
      <c r="A173" s="1806"/>
      <c r="B173" s="1806"/>
      <c r="C173" s="1806"/>
      <c r="D173" s="1806"/>
      <c r="E173" s="1806"/>
      <c r="F173" s="1806"/>
      <c r="G173" s="1806"/>
      <c r="H173" s="1806"/>
    </row>
    <row r="174" spans="1:8">
      <c r="A174" s="1806"/>
      <c r="B174" s="1806"/>
      <c r="C174" s="1806"/>
      <c r="D174" s="1806"/>
      <c r="E174" s="1806"/>
      <c r="F174" s="1806"/>
      <c r="G174" s="1806"/>
      <c r="H174" s="1806"/>
    </row>
    <row r="175" spans="1:8">
      <c r="A175" s="1806"/>
      <c r="B175" s="1806"/>
      <c r="C175" s="1806"/>
      <c r="D175" s="1806"/>
      <c r="E175" s="1806"/>
      <c r="F175" s="1806"/>
      <c r="G175" s="1806"/>
      <c r="H175" s="1806"/>
    </row>
    <row r="176" spans="1:8">
      <c r="A176" s="1806"/>
      <c r="B176" s="1806"/>
      <c r="C176" s="1806"/>
      <c r="D176" s="1806"/>
      <c r="E176" s="1806"/>
      <c r="F176" s="1806"/>
      <c r="G176" s="1806"/>
      <c r="H176" s="1806"/>
    </row>
    <row r="177" spans="1:8">
      <c r="A177" s="1806"/>
      <c r="B177" s="1806"/>
      <c r="C177" s="1806"/>
      <c r="D177" s="1806"/>
      <c r="E177" s="1806"/>
      <c r="F177" s="1806"/>
      <c r="G177" s="1806"/>
      <c r="H177" s="1806"/>
    </row>
    <row r="178" spans="1:8">
      <c r="A178" s="1806"/>
      <c r="B178" s="1806"/>
      <c r="C178" s="1806"/>
      <c r="D178" s="1806"/>
      <c r="E178" s="1806"/>
      <c r="F178" s="1806"/>
      <c r="G178" s="1806"/>
      <c r="H178" s="1806"/>
    </row>
    <row r="179" spans="1:8">
      <c r="A179" s="1806"/>
      <c r="B179" s="1806"/>
      <c r="C179" s="1806"/>
      <c r="D179" s="1806"/>
      <c r="E179" s="1806"/>
      <c r="F179" s="1806"/>
      <c r="G179" s="1806"/>
      <c r="H179" s="1806"/>
    </row>
    <row r="180" spans="1:8">
      <c r="A180" s="1806"/>
      <c r="B180" s="1806"/>
      <c r="C180" s="1806"/>
      <c r="D180" s="1806"/>
      <c r="E180" s="1806"/>
      <c r="F180" s="1806"/>
      <c r="G180" s="1806"/>
      <c r="H180" s="1806"/>
    </row>
    <row r="181" spans="1:8">
      <c r="A181" s="1806"/>
      <c r="B181" s="1806"/>
      <c r="C181" s="1806"/>
      <c r="D181" s="1806"/>
      <c r="E181" s="1806"/>
      <c r="F181" s="1806"/>
      <c r="G181" s="1806"/>
      <c r="H181" s="1806"/>
    </row>
    <row r="182" spans="1:8">
      <c r="A182" s="1806"/>
      <c r="B182" s="1806"/>
      <c r="C182" s="1806"/>
      <c r="D182" s="1806"/>
      <c r="E182" s="1806"/>
      <c r="F182" s="1806"/>
      <c r="G182" s="1806"/>
      <c r="H182" s="1806"/>
    </row>
    <row r="183" spans="1:8">
      <c r="A183" s="1806"/>
      <c r="B183" s="1806"/>
      <c r="C183" s="1806"/>
      <c r="D183" s="1806"/>
      <c r="E183" s="1806"/>
      <c r="F183" s="1806"/>
      <c r="G183" s="1806"/>
      <c r="H183" s="1806"/>
    </row>
    <row r="184" spans="1:8">
      <c r="A184" s="1806"/>
      <c r="B184" s="1806"/>
      <c r="C184" s="1806"/>
      <c r="D184" s="1806"/>
      <c r="E184" s="1806"/>
      <c r="F184" s="1806"/>
      <c r="G184" s="1806"/>
      <c r="H184" s="1806"/>
    </row>
    <row r="185" spans="1:8">
      <c r="A185" s="1806"/>
      <c r="B185" s="1806"/>
      <c r="C185" s="1806"/>
      <c r="D185" s="1806"/>
      <c r="E185" s="1806"/>
      <c r="F185" s="1806"/>
      <c r="G185" s="1806"/>
      <c r="H185" s="1806"/>
    </row>
    <row r="186" spans="1:8">
      <c r="A186" s="1806"/>
      <c r="B186" s="1806"/>
      <c r="C186" s="1806"/>
      <c r="D186" s="1806"/>
      <c r="E186" s="1806"/>
      <c r="F186" s="1806"/>
      <c r="G186" s="1806"/>
      <c r="H186" s="1806"/>
    </row>
    <row r="187" spans="1:8">
      <c r="A187" s="1806"/>
      <c r="B187" s="1806"/>
      <c r="C187" s="1806"/>
      <c r="D187" s="1806"/>
      <c r="E187" s="1806"/>
      <c r="F187" s="1806"/>
      <c r="G187" s="1806"/>
      <c r="H187" s="1806"/>
    </row>
    <row r="188" spans="1:8">
      <c r="A188" s="1806"/>
      <c r="B188" s="1806"/>
      <c r="C188" s="1806"/>
      <c r="D188" s="1806"/>
      <c r="E188" s="1806"/>
      <c r="F188" s="1806"/>
      <c r="G188" s="1806"/>
      <c r="H188" s="1806"/>
    </row>
    <row r="189" spans="1:8">
      <c r="A189" s="1806"/>
      <c r="B189" s="1806"/>
      <c r="C189" s="1806"/>
      <c r="D189" s="1806"/>
      <c r="E189" s="1806"/>
      <c r="F189" s="1806"/>
      <c r="G189" s="1806"/>
      <c r="H189" s="1806"/>
    </row>
    <row r="190" spans="1:8">
      <c r="A190" s="1806"/>
      <c r="B190" s="1806"/>
      <c r="C190" s="1806"/>
      <c r="D190" s="1806"/>
      <c r="E190" s="1806"/>
      <c r="F190" s="1806"/>
      <c r="G190" s="1806"/>
      <c r="H190" s="1806"/>
    </row>
    <row r="191" spans="1:8">
      <c r="A191" s="1806"/>
      <c r="B191" s="1806"/>
      <c r="C191" s="1806"/>
      <c r="D191" s="1806"/>
      <c r="E191" s="1806"/>
      <c r="F191" s="1806"/>
      <c r="G191" s="1806"/>
      <c r="H191" s="1806"/>
    </row>
    <row r="192" spans="1:8">
      <c r="A192" s="1806"/>
      <c r="B192" s="1806"/>
      <c r="C192" s="1806"/>
      <c r="D192" s="1806"/>
      <c r="E192" s="1806"/>
      <c r="F192" s="1806"/>
      <c r="G192" s="1806"/>
      <c r="H192" s="1806"/>
    </row>
    <row r="193" spans="1:8">
      <c r="A193" s="1806"/>
      <c r="B193" s="1806"/>
      <c r="C193" s="1806"/>
      <c r="D193" s="1806"/>
      <c r="E193" s="1806"/>
      <c r="F193" s="1806"/>
      <c r="G193" s="1806"/>
      <c r="H193" s="1806"/>
    </row>
    <row r="194" spans="1:8">
      <c r="A194" s="1806"/>
      <c r="B194" s="1806"/>
      <c r="C194" s="1806"/>
      <c r="D194" s="1806"/>
      <c r="E194" s="1806"/>
      <c r="F194" s="1806"/>
      <c r="G194" s="1806"/>
      <c r="H194" s="1806"/>
    </row>
    <row r="195" spans="1:8">
      <c r="A195" s="1806"/>
      <c r="B195" s="1806"/>
      <c r="C195" s="1806"/>
      <c r="D195" s="1806"/>
      <c r="E195" s="1806"/>
      <c r="F195" s="1806"/>
      <c r="G195" s="1806"/>
      <c r="H195" s="1806"/>
    </row>
    <row r="196" spans="1:8">
      <c r="A196" s="1806"/>
      <c r="B196" s="1806"/>
      <c r="C196" s="1806"/>
      <c r="D196" s="1806"/>
      <c r="E196" s="1806"/>
      <c r="F196" s="1806"/>
      <c r="G196" s="1806"/>
      <c r="H196" s="1806"/>
    </row>
    <row r="197" spans="1:8">
      <c r="A197" s="1806"/>
      <c r="B197" s="1806"/>
      <c r="C197" s="1806"/>
      <c r="D197" s="1806"/>
      <c r="E197" s="1806"/>
      <c r="F197" s="1806"/>
      <c r="G197" s="1806"/>
      <c r="H197" s="1806"/>
    </row>
    <row r="198" spans="1:8">
      <c r="A198" s="1806"/>
      <c r="B198" s="1806"/>
      <c r="C198" s="1806"/>
      <c r="D198" s="1806"/>
      <c r="E198" s="1806"/>
      <c r="F198" s="1806"/>
      <c r="G198" s="1806"/>
      <c r="H198" s="1806"/>
    </row>
    <row r="199" spans="1:8">
      <c r="A199" s="1806"/>
      <c r="B199" s="1806"/>
      <c r="C199" s="1806"/>
      <c r="D199" s="1806"/>
      <c r="E199" s="1806"/>
      <c r="F199" s="1806"/>
      <c r="G199" s="1806"/>
      <c r="H199" s="1806"/>
    </row>
    <row r="200" spans="1:8">
      <c r="A200" s="1806"/>
      <c r="B200" s="1806"/>
      <c r="C200" s="1806"/>
      <c r="D200" s="1806"/>
      <c r="E200" s="1806"/>
      <c r="F200" s="1806"/>
      <c r="G200" s="1806"/>
      <c r="H200" s="1806"/>
    </row>
    <row r="201" spans="1:8">
      <c r="A201" s="1806"/>
      <c r="B201" s="1806"/>
      <c r="C201" s="1806"/>
      <c r="D201" s="1806"/>
      <c r="E201" s="1806"/>
      <c r="F201" s="1806"/>
      <c r="G201" s="1806"/>
      <c r="H201" s="1806"/>
    </row>
    <row r="202" spans="1:8">
      <c r="A202" s="1806"/>
      <c r="B202" s="1806"/>
      <c r="C202" s="1806"/>
      <c r="D202" s="1806"/>
      <c r="E202" s="1806"/>
      <c r="F202" s="1806"/>
      <c r="G202" s="1806"/>
      <c r="H202" s="1806"/>
    </row>
    <row r="203" spans="1:8">
      <c r="A203" s="1806"/>
      <c r="B203" s="1806"/>
      <c r="C203" s="1806"/>
      <c r="D203" s="1806"/>
      <c r="E203" s="1806"/>
      <c r="F203" s="1806"/>
      <c r="G203" s="1806"/>
      <c r="H203" s="1806"/>
    </row>
    <row r="204" spans="1:8">
      <c r="A204" s="1806"/>
      <c r="B204" s="1806"/>
      <c r="C204" s="1806"/>
      <c r="D204" s="1806"/>
      <c r="E204" s="1806"/>
      <c r="F204" s="1806"/>
      <c r="G204" s="1806"/>
      <c r="H204" s="1806"/>
    </row>
    <row r="205" spans="1:8">
      <c r="A205" s="1806"/>
      <c r="B205" s="1806"/>
      <c r="C205" s="1806"/>
      <c r="D205" s="1806"/>
      <c r="E205" s="1806"/>
      <c r="F205" s="1806"/>
      <c r="G205" s="1806"/>
      <c r="H205" s="1806"/>
    </row>
    <row r="206" spans="1:8">
      <c r="A206" s="1806"/>
      <c r="B206" s="1806"/>
      <c r="C206" s="1806"/>
      <c r="D206" s="1806"/>
      <c r="E206" s="1806"/>
      <c r="F206" s="1806"/>
      <c r="G206" s="1806"/>
      <c r="H206" s="1806"/>
    </row>
    <row r="207" spans="1:8">
      <c r="A207" s="1806"/>
      <c r="B207" s="1806"/>
      <c r="C207" s="1806"/>
      <c r="D207" s="1806"/>
      <c r="E207" s="1806"/>
      <c r="F207" s="1806"/>
      <c r="G207" s="1806"/>
      <c r="H207" s="1806"/>
    </row>
    <row r="208" spans="1:8">
      <c r="A208" s="1806"/>
      <c r="B208" s="1806"/>
      <c r="C208" s="1806"/>
      <c r="D208" s="1806"/>
      <c r="E208" s="1806"/>
      <c r="F208" s="1806"/>
      <c r="G208" s="1806"/>
      <c r="H208" s="1806"/>
    </row>
    <row r="209" spans="1:8">
      <c r="A209" s="1806"/>
      <c r="B209" s="1806"/>
      <c r="C209" s="1806"/>
      <c r="D209" s="1806"/>
      <c r="E209" s="1806"/>
      <c r="F209" s="1806"/>
      <c r="G209" s="1806"/>
      <c r="H209" s="1806"/>
    </row>
    <row r="210" spans="1:8">
      <c r="A210" s="1806"/>
      <c r="B210" s="1806"/>
      <c r="C210" s="1806"/>
      <c r="D210" s="1806"/>
      <c r="E210" s="1806"/>
      <c r="F210" s="1806"/>
      <c r="G210" s="1806"/>
      <c r="H210" s="1806"/>
    </row>
    <row r="211" spans="1:8">
      <c r="A211" s="1806"/>
      <c r="B211" s="1806"/>
      <c r="C211" s="1806"/>
      <c r="D211" s="1806"/>
      <c r="E211" s="1806"/>
      <c r="F211" s="1806"/>
      <c r="G211" s="1806"/>
      <c r="H211" s="1806"/>
    </row>
    <row r="212" spans="1:8">
      <c r="A212" s="1806"/>
      <c r="B212" s="1806"/>
      <c r="C212" s="1806"/>
      <c r="D212" s="1806"/>
      <c r="E212" s="1806"/>
      <c r="F212" s="1806"/>
      <c r="G212" s="1806"/>
      <c r="H212" s="1806"/>
    </row>
    <row r="213" spans="1:8">
      <c r="A213" s="1806"/>
      <c r="B213" s="1806"/>
      <c r="C213" s="1806"/>
      <c r="D213" s="1806"/>
      <c r="E213" s="1806"/>
      <c r="F213" s="1806"/>
      <c r="G213" s="1806"/>
      <c r="H213" s="1806"/>
    </row>
    <row r="214" spans="1:8">
      <c r="A214" s="1806"/>
      <c r="B214" s="1806"/>
      <c r="C214" s="1806"/>
      <c r="D214" s="1806"/>
      <c r="E214" s="1806"/>
      <c r="F214" s="1806"/>
      <c r="G214" s="1806"/>
      <c r="H214" s="1806"/>
    </row>
    <row r="215" spans="1:8">
      <c r="A215" s="1806"/>
      <c r="B215" s="1806"/>
      <c r="C215" s="1806"/>
      <c r="D215" s="1806"/>
      <c r="E215" s="1806"/>
      <c r="F215" s="1806"/>
      <c r="G215" s="1806"/>
      <c r="H215" s="1806"/>
    </row>
    <row r="216" spans="1:8">
      <c r="A216" s="1806"/>
      <c r="B216" s="1806"/>
      <c r="C216" s="1806"/>
      <c r="D216" s="1806"/>
      <c r="E216" s="1806"/>
      <c r="F216" s="1806"/>
      <c r="G216" s="1806"/>
      <c r="H216" s="1806"/>
    </row>
    <row r="217" spans="1:8">
      <c r="A217" s="1806"/>
      <c r="B217" s="1806"/>
      <c r="C217" s="1806"/>
      <c r="D217" s="1806"/>
      <c r="E217" s="1806"/>
      <c r="F217" s="1806"/>
      <c r="G217" s="1806"/>
      <c r="H217" s="1806"/>
    </row>
    <row r="218" spans="1:8">
      <c r="A218" s="1806"/>
      <c r="B218" s="1806"/>
      <c r="C218" s="1806"/>
      <c r="D218" s="1806"/>
      <c r="E218" s="1806"/>
      <c r="F218" s="1806"/>
      <c r="G218" s="1806"/>
      <c r="H218" s="1806"/>
    </row>
    <row r="219" spans="1:8">
      <c r="A219" s="1806"/>
      <c r="B219" s="1806"/>
      <c r="C219" s="1806"/>
      <c r="D219" s="1806"/>
      <c r="E219" s="1806"/>
      <c r="F219" s="1806"/>
      <c r="G219" s="1806"/>
      <c r="H219" s="1806"/>
    </row>
    <row r="220" spans="1:8">
      <c r="A220" s="1806"/>
      <c r="B220" s="1806"/>
      <c r="C220" s="1806"/>
      <c r="D220" s="1806"/>
      <c r="E220" s="1806"/>
      <c r="F220" s="1806"/>
      <c r="G220" s="1806"/>
      <c r="H220" s="1806"/>
    </row>
    <row r="221" spans="1:8">
      <c r="A221" s="1806"/>
      <c r="B221" s="1806"/>
      <c r="C221" s="1806"/>
      <c r="D221" s="1806"/>
      <c r="E221" s="1806"/>
      <c r="F221" s="1806"/>
      <c r="G221" s="1806"/>
      <c r="H221" s="1806"/>
    </row>
    <row r="222" spans="1:8">
      <c r="A222" s="1806"/>
      <c r="B222" s="1806"/>
      <c r="C222" s="1806"/>
      <c r="D222" s="1806"/>
      <c r="E222" s="1806"/>
      <c r="F222" s="1806"/>
      <c r="G222" s="1806"/>
      <c r="H222" s="1806"/>
    </row>
    <row r="223" spans="1:8">
      <c r="A223" s="1806"/>
      <c r="B223" s="1806"/>
      <c r="C223" s="1806"/>
      <c r="D223" s="1806"/>
      <c r="E223" s="1806"/>
      <c r="F223" s="1806"/>
      <c r="G223" s="1806"/>
      <c r="H223" s="1806"/>
    </row>
    <row r="224" spans="1:8">
      <c r="A224" s="1806"/>
      <c r="B224" s="1806"/>
      <c r="C224" s="1806"/>
      <c r="D224" s="1806"/>
      <c r="E224" s="1806"/>
      <c r="F224" s="1806"/>
      <c r="G224" s="1806"/>
      <c r="H224" s="1806"/>
    </row>
    <row r="225" spans="1:8">
      <c r="A225" s="1806"/>
      <c r="B225" s="1806"/>
      <c r="C225" s="1806"/>
      <c r="D225" s="1806"/>
      <c r="E225" s="1806"/>
      <c r="F225" s="1806"/>
      <c r="G225" s="1806"/>
      <c r="H225" s="1806"/>
    </row>
    <row r="226" spans="1:8">
      <c r="A226" s="1806"/>
      <c r="B226" s="1806"/>
      <c r="C226" s="1806"/>
      <c r="D226" s="1806"/>
      <c r="E226" s="1806"/>
      <c r="F226" s="1806"/>
      <c r="G226" s="1806"/>
      <c r="H226" s="1806"/>
    </row>
    <row r="227" spans="1:8">
      <c r="A227" s="1806"/>
      <c r="B227" s="1806"/>
      <c r="C227" s="1806"/>
      <c r="D227" s="1806"/>
      <c r="E227" s="1806"/>
      <c r="F227" s="1806"/>
      <c r="G227" s="1806"/>
      <c r="H227" s="1806"/>
    </row>
    <row r="228" spans="1:8">
      <c r="A228" s="1806"/>
      <c r="B228" s="1806"/>
      <c r="C228" s="1806"/>
      <c r="D228" s="1806"/>
      <c r="E228" s="1806"/>
      <c r="F228" s="1806"/>
      <c r="G228" s="1806"/>
      <c r="H228" s="1806"/>
    </row>
    <row r="229" spans="1:8">
      <c r="A229" s="1806"/>
      <c r="B229" s="1806"/>
      <c r="C229" s="1806"/>
      <c r="D229" s="1806"/>
      <c r="E229" s="1806"/>
      <c r="F229" s="1806"/>
      <c r="G229" s="1806"/>
      <c r="H229" s="1806"/>
    </row>
    <row r="230" spans="1:8">
      <c r="A230" s="1806"/>
      <c r="B230" s="1806"/>
      <c r="C230" s="1806"/>
      <c r="D230" s="1806"/>
      <c r="E230" s="1806"/>
      <c r="F230" s="1806"/>
      <c r="G230" s="1806"/>
      <c r="H230" s="1806"/>
    </row>
    <row r="231" spans="1:8">
      <c r="A231" s="1806"/>
      <c r="B231" s="1806"/>
      <c r="C231" s="1806"/>
      <c r="D231" s="1806"/>
      <c r="E231" s="1806"/>
      <c r="F231" s="1806"/>
      <c r="G231" s="1806"/>
      <c r="H231" s="1806"/>
    </row>
    <row r="232" spans="1:8">
      <c r="A232" s="1806"/>
      <c r="B232" s="1806"/>
      <c r="C232" s="1806"/>
      <c r="D232" s="1806"/>
      <c r="E232" s="1806"/>
      <c r="F232" s="1806"/>
      <c r="G232" s="1806"/>
      <c r="H232" s="1806"/>
    </row>
    <row r="233" spans="1:8">
      <c r="A233" s="1806"/>
      <c r="B233" s="1806"/>
      <c r="C233" s="1806"/>
      <c r="D233" s="1806"/>
      <c r="E233" s="1806"/>
      <c r="F233" s="1806"/>
      <c r="G233" s="1806"/>
      <c r="H233" s="1806"/>
    </row>
    <row r="234" spans="1:8">
      <c r="A234" s="1806"/>
      <c r="B234" s="1806"/>
      <c r="C234" s="1806"/>
      <c r="D234" s="1806"/>
      <c r="E234" s="1806"/>
      <c r="F234" s="1806"/>
      <c r="G234" s="1806"/>
      <c r="H234" s="1806"/>
    </row>
    <row r="235" spans="1:8">
      <c r="A235" s="1806"/>
      <c r="B235" s="1806"/>
      <c r="C235" s="1806"/>
      <c r="D235" s="1806"/>
      <c r="E235" s="1806"/>
      <c r="F235" s="1806"/>
      <c r="G235" s="1806"/>
      <c r="H235" s="1806"/>
    </row>
    <row r="236" spans="1:8">
      <c r="A236" s="1806"/>
      <c r="B236" s="1806"/>
      <c r="C236" s="1806"/>
      <c r="D236" s="1806"/>
      <c r="E236" s="1806"/>
      <c r="F236" s="1806"/>
      <c r="G236" s="1806"/>
      <c r="H236" s="1806"/>
    </row>
    <row r="237" spans="1:8">
      <c r="A237" s="1806"/>
      <c r="B237" s="1806"/>
      <c r="C237" s="1806"/>
      <c r="D237" s="1806"/>
      <c r="E237" s="1806"/>
      <c r="F237" s="1806"/>
      <c r="G237" s="1806"/>
      <c r="H237" s="1806"/>
    </row>
    <row r="238" spans="1:8">
      <c r="A238" s="1806"/>
      <c r="B238" s="1806"/>
      <c r="C238" s="1806"/>
      <c r="D238" s="1806"/>
      <c r="E238" s="1806"/>
      <c r="F238" s="1806"/>
      <c r="G238" s="1806"/>
      <c r="H238" s="1806"/>
    </row>
    <row r="239" spans="1:8">
      <c r="A239" s="1806"/>
      <c r="B239" s="1806"/>
      <c r="C239" s="1806"/>
      <c r="D239" s="1806"/>
      <c r="E239" s="1806"/>
      <c r="F239" s="1806"/>
      <c r="G239" s="1806"/>
      <c r="H239" s="1806"/>
    </row>
    <row r="240" spans="1:8">
      <c r="A240" s="1806"/>
      <c r="B240" s="1806"/>
      <c r="C240" s="1806"/>
      <c r="D240" s="1806"/>
      <c r="E240" s="1806"/>
      <c r="F240" s="1806"/>
      <c r="G240" s="1806"/>
      <c r="H240" s="1806"/>
    </row>
    <row r="241" spans="1:8">
      <c r="A241" s="1806"/>
      <c r="B241" s="1806"/>
      <c r="C241" s="1806"/>
      <c r="D241" s="1806"/>
      <c r="E241" s="1806"/>
      <c r="F241" s="1806"/>
      <c r="G241" s="1806"/>
      <c r="H241" s="1806"/>
    </row>
    <row r="242" spans="1:8">
      <c r="A242" s="1806"/>
      <c r="B242" s="1806"/>
      <c r="C242" s="1806"/>
      <c r="D242" s="1806"/>
      <c r="E242" s="1806"/>
      <c r="F242" s="1806"/>
      <c r="G242" s="1806"/>
      <c r="H242" s="1806"/>
    </row>
    <row r="243" spans="1:8">
      <c r="A243" s="1806"/>
      <c r="B243" s="1806"/>
      <c r="C243" s="1806"/>
      <c r="D243" s="1806"/>
      <c r="E243" s="1806"/>
      <c r="F243" s="1806"/>
      <c r="G243" s="1806"/>
      <c r="H243" s="1806"/>
    </row>
    <row r="244" spans="1:8">
      <c r="A244" s="1806"/>
      <c r="B244" s="1806"/>
      <c r="C244" s="1806"/>
      <c r="D244" s="1806"/>
      <c r="E244" s="1806"/>
      <c r="F244" s="1806"/>
      <c r="G244" s="1806"/>
      <c r="H244" s="1806"/>
    </row>
    <row r="245" spans="1:8">
      <c r="A245" s="1806"/>
      <c r="B245" s="1806"/>
      <c r="C245" s="1806"/>
      <c r="D245" s="1806"/>
      <c r="E245" s="1806"/>
      <c r="F245" s="1806"/>
      <c r="G245" s="1806"/>
      <c r="H245" s="1806"/>
    </row>
    <row r="246" spans="1:8">
      <c r="A246" s="1806"/>
      <c r="B246" s="1806"/>
      <c r="C246" s="1806"/>
      <c r="D246" s="1806"/>
      <c r="E246" s="1806"/>
      <c r="F246" s="1806"/>
      <c r="G246" s="1806"/>
      <c r="H246" s="1806"/>
    </row>
    <row r="247" spans="1:8">
      <c r="A247" s="1806"/>
      <c r="B247" s="1806"/>
      <c r="C247" s="1806"/>
      <c r="D247" s="1806"/>
      <c r="E247" s="1806"/>
      <c r="F247" s="1806"/>
      <c r="G247" s="1806"/>
      <c r="H247" s="1806"/>
    </row>
    <row r="248" spans="1:8">
      <c r="A248" s="1806"/>
      <c r="B248" s="1806"/>
      <c r="C248" s="1806"/>
      <c r="D248" s="1806"/>
      <c r="E248" s="1806"/>
      <c r="F248" s="1806"/>
      <c r="G248" s="1806"/>
      <c r="H248" s="1806"/>
    </row>
    <row r="249" spans="1:8">
      <c r="A249" s="1806"/>
      <c r="B249" s="1806"/>
      <c r="C249" s="1806"/>
      <c r="D249" s="1806"/>
      <c r="E249" s="1806"/>
      <c r="F249" s="1806"/>
      <c r="G249" s="1806"/>
      <c r="H249" s="1806"/>
    </row>
    <row r="250" spans="1:8">
      <c r="A250" s="1806"/>
      <c r="B250" s="1806"/>
      <c r="C250" s="1806"/>
      <c r="D250" s="1806"/>
      <c r="E250" s="1806"/>
      <c r="F250" s="1806"/>
      <c r="G250" s="1806"/>
      <c r="H250" s="1806"/>
    </row>
    <row r="251" spans="1:8">
      <c r="A251" s="1806"/>
      <c r="B251" s="1806"/>
      <c r="C251" s="1806"/>
      <c r="D251" s="1806"/>
      <c r="E251" s="1806"/>
      <c r="F251" s="1806"/>
      <c r="G251" s="1806"/>
      <c r="H251" s="1806"/>
    </row>
    <row r="252" spans="1:8">
      <c r="A252" s="1806"/>
      <c r="B252" s="1806"/>
      <c r="C252" s="1806"/>
      <c r="D252" s="1806"/>
      <c r="E252" s="1806"/>
      <c r="F252" s="1806"/>
      <c r="G252" s="1806"/>
      <c r="H252" s="1806"/>
    </row>
    <row r="253" spans="1:8">
      <c r="A253" s="1806"/>
      <c r="B253" s="1806"/>
      <c r="C253" s="1806"/>
      <c r="D253" s="1806"/>
      <c r="E253" s="1806"/>
      <c r="F253" s="1806"/>
      <c r="G253" s="1806"/>
      <c r="H253" s="1806"/>
    </row>
    <row r="254" spans="1:8">
      <c r="A254" s="1806"/>
      <c r="B254" s="1806"/>
      <c r="C254" s="1806"/>
      <c r="D254" s="1806"/>
      <c r="E254" s="1806"/>
      <c r="F254" s="1806"/>
      <c r="G254" s="1806"/>
      <c r="H254" s="1806"/>
    </row>
    <row r="255" spans="1:8">
      <c r="A255" s="1806"/>
      <c r="B255" s="1806"/>
      <c r="C255" s="1806"/>
      <c r="D255" s="1806"/>
      <c r="E255" s="1806"/>
      <c r="F255" s="1806"/>
      <c r="G255" s="1806"/>
      <c r="H255" s="1806"/>
    </row>
    <row r="256" spans="1:8">
      <c r="A256" s="1806"/>
      <c r="B256" s="1806"/>
      <c r="C256" s="1806"/>
      <c r="D256" s="1806"/>
      <c r="E256" s="1806"/>
      <c r="F256" s="1806"/>
      <c r="G256" s="1806"/>
      <c r="H256" s="1806"/>
    </row>
    <row r="257" spans="1:8">
      <c r="A257" s="1806"/>
      <c r="B257" s="1806"/>
      <c r="C257" s="1806"/>
      <c r="D257" s="1806"/>
      <c r="E257" s="1806"/>
      <c r="F257" s="1806"/>
      <c r="G257" s="1806"/>
      <c r="H257" s="1806"/>
    </row>
    <row r="258" spans="1:8">
      <c r="A258" s="1806"/>
      <c r="B258" s="1806"/>
      <c r="C258" s="1806"/>
      <c r="D258" s="1806"/>
      <c r="E258" s="1806"/>
      <c r="F258" s="1806"/>
      <c r="G258" s="1806"/>
      <c r="H258" s="1806"/>
    </row>
    <row r="259" spans="1:8">
      <c r="A259" s="1806"/>
      <c r="B259" s="1806"/>
      <c r="C259" s="1806"/>
      <c r="D259" s="1806"/>
      <c r="E259" s="1806"/>
      <c r="F259" s="1806"/>
      <c r="G259" s="1806"/>
      <c r="H259" s="1806"/>
    </row>
    <row r="260" spans="1:8">
      <c r="A260" s="1806"/>
      <c r="B260" s="1806"/>
      <c r="C260" s="1806"/>
      <c r="D260" s="1806"/>
      <c r="E260" s="1806"/>
      <c r="F260" s="1806"/>
      <c r="G260" s="1806"/>
      <c r="H260" s="1806"/>
    </row>
    <row r="261" spans="1:8">
      <c r="A261" s="1806"/>
      <c r="B261" s="1806"/>
      <c r="C261" s="1806"/>
      <c r="D261" s="1806"/>
      <c r="E261" s="1806"/>
      <c r="F261" s="1806"/>
      <c r="G261" s="1806"/>
      <c r="H261" s="1806"/>
    </row>
    <row r="262" spans="1:8">
      <c r="A262" s="1806"/>
      <c r="B262" s="1806"/>
      <c r="C262" s="1806"/>
      <c r="D262" s="1806"/>
      <c r="E262" s="1806"/>
      <c r="F262" s="1806"/>
      <c r="G262" s="1806"/>
      <c r="H262" s="1806"/>
    </row>
    <row r="263" spans="1:8">
      <c r="A263" s="1806"/>
      <c r="B263" s="1806"/>
      <c r="C263" s="1806"/>
      <c r="D263" s="1806"/>
      <c r="E263" s="1806"/>
      <c r="F263" s="1806"/>
      <c r="G263" s="1806"/>
      <c r="H263" s="1806"/>
    </row>
    <row r="264" spans="1:8">
      <c r="A264" s="1806"/>
      <c r="B264" s="1806"/>
      <c r="C264" s="1806"/>
      <c r="D264" s="1806"/>
      <c r="E264" s="1806"/>
      <c r="F264" s="1806"/>
      <c r="G264" s="1806"/>
      <c r="H264" s="1806"/>
    </row>
    <row r="265" spans="1:8">
      <c r="A265" s="1806"/>
      <c r="B265" s="1806"/>
      <c r="C265" s="1806"/>
      <c r="D265" s="1806"/>
      <c r="E265" s="1806"/>
      <c r="F265" s="1806"/>
      <c r="G265" s="1806"/>
      <c r="H265" s="1806"/>
    </row>
    <row r="266" spans="1:8">
      <c r="A266" s="1806"/>
      <c r="B266" s="1806"/>
      <c r="C266" s="1806"/>
      <c r="D266" s="1806"/>
      <c r="E266" s="1806"/>
      <c r="F266" s="1806"/>
      <c r="G266" s="1806"/>
      <c r="H266" s="1806"/>
    </row>
    <row r="267" spans="1:8">
      <c r="A267" s="1806"/>
      <c r="B267" s="1806"/>
      <c r="C267" s="1806"/>
      <c r="D267" s="1806"/>
      <c r="E267" s="1806"/>
      <c r="F267" s="1806"/>
      <c r="G267" s="1806"/>
      <c r="H267" s="1806"/>
    </row>
    <row r="268" spans="1:8">
      <c r="A268" s="1806"/>
      <c r="B268" s="1806"/>
      <c r="C268" s="1806"/>
      <c r="D268" s="1806"/>
      <c r="E268" s="1806"/>
      <c r="F268" s="1806"/>
      <c r="G268" s="1806"/>
      <c r="H268" s="1806"/>
    </row>
    <row r="269" spans="1:8">
      <c r="A269" s="1806"/>
      <c r="B269" s="1806"/>
      <c r="C269" s="1806"/>
      <c r="D269" s="1806"/>
      <c r="E269" s="1806"/>
      <c r="F269" s="1806"/>
      <c r="G269" s="1806"/>
      <c r="H269" s="1806"/>
    </row>
    <row r="270" spans="1:8">
      <c r="A270" s="1806"/>
      <c r="B270" s="1806"/>
      <c r="C270" s="1806"/>
      <c r="D270" s="1806"/>
      <c r="E270" s="1806"/>
      <c r="F270" s="1806"/>
      <c r="G270" s="1806"/>
      <c r="H270" s="1806"/>
    </row>
    <row r="271" spans="1:8">
      <c r="A271" s="1806"/>
      <c r="B271" s="1806"/>
      <c r="C271" s="1806"/>
      <c r="D271" s="1806"/>
      <c r="E271" s="1806"/>
      <c r="F271" s="1806"/>
      <c r="G271" s="1806"/>
      <c r="H271" s="1806"/>
    </row>
    <row r="272" spans="1:8">
      <c r="A272" s="1806"/>
      <c r="B272" s="1806"/>
      <c r="C272" s="1806"/>
      <c r="D272" s="1806"/>
      <c r="E272" s="1806"/>
      <c r="F272" s="1806"/>
      <c r="G272" s="1806"/>
      <c r="H272" s="1806"/>
    </row>
    <row r="273" spans="1:8">
      <c r="A273" s="1806"/>
      <c r="B273" s="1806"/>
      <c r="C273" s="1806"/>
      <c r="D273" s="1806"/>
      <c r="E273" s="1806"/>
      <c r="F273" s="1806"/>
      <c r="G273" s="1806"/>
      <c r="H273" s="1806"/>
    </row>
    <row r="274" spans="1:8">
      <c r="A274" s="1806"/>
      <c r="B274" s="1806"/>
      <c r="C274" s="1806"/>
      <c r="D274" s="1806"/>
      <c r="E274" s="1806"/>
      <c r="F274" s="1806"/>
      <c r="G274" s="1806"/>
      <c r="H274" s="1806"/>
    </row>
    <row r="275" spans="1:8">
      <c r="A275" s="1806"/>
      <c r="B275" s="1806"/>
      <c r="C275" s="1806"/>
      <c r="D275" s="1806"/>
      <c r="E275" s="1806"/>
      <c r="F275" s="1806"/>
      <c r="G275" s="1806"/>
      <c r="H275" s="1806"/>
    </row>
    <row r="276" spans="1:8">
      <c r="A276" s="1806"/>
      <c r="B276" s="1806"/>
      <c r="C276" s="1806"/>
      <c r="D276" s="1806"/>
      <c r="E276" s="1806"/>
      <c r="F276" s="1806"/>
      <c r="G276" s="1806"/>
      <c r="H276" s="1806"/>
    </row>
    <row r="277" spans="1:8">
      <c r="A277" s="1806"/>
      <c r="B277" s="1806"/>
      <c r="C277" s="1806"/>
      <c r="D277" s="1806"/>
      <c r="E277" s="1806"/>
      <c r="F277" s="1806"/>
      <c r="G277" s="1806"/>
      <c r="H277" s="1806"/>
    </row>
    <row r="278" spans="1:8">
      <c r="A278" s="1806"/>
      <c r="B278" s="1806"/>
      <c r="C278" s="1806"/>
      <c r="D278" s="1806"/>
      <c r="E278" s="1806"/>
      <c r="F278" s="1806"/>
      <c r="G278" s="1806"/>
      <c r="H278" s="1806"/>
    </row>
    <row r="279" spans="1:8">
      <c r="A279" s="1806"/>
      <c r="B279" s="1806"/>
      <c r="C279" s="1806"/>
      <c r="D279" s="1806"/>
      <c r="E279" s="1806"/>
      <c r="F279" s="1806"/>
      <c r="G279" s="1806"/>
      <c r="H279" s="1806"/>
    </row>
    <row r="280" spans="1:8">
      <c r="A280" s="1806"/>
      <c r="B280" s="1806"/>
      <c r="C280" s="1806"/>
      <c r="D280" s="1806"/>
      <c r="E280" s="1806"/>
      <c r="F280" s="1806"/>
      <c r="G280" s="1806"/>
      <c r="H280" s="1806"/>
    </row>
    <row r="281" spans="1:8">
      <c r="A281" s="1806"/>
      <c r="B281" s="1806"/>
      <c r="C281" s="1806"/>
      <c r="D281" s="1806"/>
      <c r="E281" s="1806"/>
      <c r="F281" s="1806"/>
      <c r="G281" s="1806"/>
      <c r="H281" s="1806"/>
    </row>
    <row r="282" spans="1:8">
      <c r="A282" s="1806"/>
      <c r="B282" s="1806"/>
      <c r="C282" s="1806"/>
      <c r="D282" s="1806"/>
      <c r="E282" s="1806"/>
      <c r="F282" s="1806"/>
      <c r="G282" s="1806"/>
      <c r="H282" s="1806"/>
    </row>
    <row r="283" spans="1:8">
      <c r="A283" s="1806"/>
      <c r="B283" s="1806"/>
      <c r="C283" s="1806"/>
      <c r="D283" s="1806"/>
      <c r="E283" s="1806"/>
      <c r="F283" s="1806"/>
      <c r="G283" s="1806"/>
      <c r="H283" s="1806"/>
    </row>
    <row r="284" spans="1:8">
      <c r="A284" s="1806"/>
      <c r="B284" s="1806"/>
      <c r="C284" s="1806"/>
      <c r="D284" s="1806"/>
      <c r="E284" s="1806"/>
      <c r="F284" s="1806"/>
      <c r="G284" s="1806"/>
      <c r="H284" s="1806"/>
    </row>
    <row r="285" spans="1:8">
      <c r="A285" s="1806"/>
      <c r="B285" s="1806"/>
      <c r="C285" s="1806"/>
      <c r="D285" s="1806"/>
      <c r="E285" s="1806"/>
      <c r="F285" s="1806"/>
      <c r="G285" s="1806"/>
      <c r="H285" s="1806"/>
    </row>
    <row r="286" spans="1:8">
      <c r="A286" s="1806"/>
      <c r="B286" s="1806"/>
      <c r="C286" s="1806"/>
      <c r="D286" s="1806"/>
      <c r="E286" s="1806"/>
      <c r="F286" s="1806"/>
      <c r="G286" s="1806"/>
      <c r="H286" s="1806"/>
    </row>
    <row r="287" spans="1:8">
      <c r="A287" s="1806"/>
      <c r="B287" s="1806"/>
      <c r="C287" s="1806"/>
      <c r="D287" s="1806"/>
      <c r="E287" s="1806"/>
      <c r="F287" s="1806"/>
      <c r="G287" s="1806"/>
      <c r="H287" s="1806"/>
    </row>
    <row r="288" spans="1:8">
      <c r="A288" s="1806"/>
      <c r="B288" s="1806"/>
      <c r="C288" s="1806"/>
      <c r="D288" s="1806"/>
      <c r="E288" s="1806"/>
      <c r="F288" s="1806"/>
      <c r="G288" s="1806"/>
      <c r="H288" s="1806"/>
    </row>
    <row r="289" spans="1:8">
      <c r="A289" s="1806"/>
      <c r="B289" s="1806"/>
      <c r="C289" s="1806"/>
      <c r="D289" s="1806"/>
      <c r="E289" s="1806"/>
      <c r="F289" s="1806"/>
      <c r="G289" s="1806"/>
      <c r="H289" s="1806"/>
    </row>
    <row r="290" spans="1:8">
      <c r="A290" s="1806"/>
      <c r="B290" s="1806"/>
      <c r="C290" s="1806"/>
      <c r="D290" s="1806"/>
      <c r="E290" s="1806"/>
      <c r="F290" s="1806"/>
      <c r="G290" s="1806"/>
      <c r="H290" s="1806"/>
    </row>
    <row r="291" spans="1:8">
      <c r="A291" s="1806"/>
      <c r="B291" s="1806"/>
      <c r="C291" s="1806"/>
      <c r="D291" s="1806"/>
      <c r="E291" s="1806"/>
      <c r="F291" s="1806"/>
      <c r="G291" s="1806"/>
      <c r="H291" s="1806"/>
    </row>
    <row r="292" spans="1:8">
      <c r="A292" s="1806"/>
      <c r="B292" s="1806"/>
      <c r="C292" s="1806"/>
      <c r="D292" s="1806"/>
      <c r="E292" s="1806"/>
      <c r="F292" s="1806"/>
      <c r="G292" s="1806"/>
      <c r="H292" s="1806"/>
    </row>
    <row r="293" spans="1:8">
      <c r="A293" s="1806"/>
      <c r="B293" s="1806"/>
      <c r="C293" s="1806"/>
      <c r="D293" s="1806"/>
      <c r="E293" s="1806"/>
      <c r="F293" s="1806"/>
      <c r="G293" s="1806"/>
      <c r="H293" s="1806"/>
    </row>
    <row r="294" spans="1:8">
      <c r="A294" s="1806"/>
      <c r="B294" s="1806"/>
      <c r="C294" s="1806"/>
      <c r="D294" s="1806"/>
      <c r="E294" s="1806"/>
      <c r="F294" s="1806"/>
      <c r="G294" s="1806"/>
      <c r="H294" s="1806"/>
    </row>
    <row r="295" spans="1:8">
      <c r="A295" s="1806"/>
      <c r="B295" s="1806"/>
      <c r="C295" s="1806"/>
      <c r="D295" s="1806"/>
      <c r="E295" s="1806"/>
      <c r="F295" s="1806"/>
      <c r="G295" s="1806"/>
      <c r="H295" s="1806"/>
    </row>
    <row r="296" spans="1:8">
      <c r="A296" s="1806"/>
      <c r="B296" s="1806"/>
      <c r="C296" s="1806"/>
      <c r="D296" s="1806"/>
      <c r="E296" s="1806"/>
      <c r="F296" s="1806"/>
      <c r="G296" s="1806"/>
      <c r="H296" s="1806"/>
    </row>
    <row r="297" spans="1:8">
      <c r="A297" s="1806"/>
      <c r="B297" s="1806"/>
      <c r="C297" s="1806"/>
      <c r="D297" s="1806"/>
      <c r="E297" s="1806"/>
      <c r="F297" s="1806"/>
      <c r="G297" s="1806"/>
      <c r="H297" s="1806"/>
    </row>
    <row r="298" spans="1:8">
      <c r="A298" s="1806"/>
      <c r="B298" s="1806"/>
      <c r="C298" s="1806"/>
      <c r="D298" s="1806"/>
      <c r="E298" s="1806"/>
      <c r="F298" s="1806"/>
      <c r="G298" s="1806"/>
      <c r="H298" s="1806"/>
    </row>
    <row r="299" spans="1:8">
      <c r="A299" s="1806"/>
      <c r="B299" s="1806"/>
      <c r="C299" s="1806"/>
      <c r="D299" s="1806"/>
      <c r="E299" s="1806"/>
      <c r="F299" s="1806"/>
      <c r="G299" s="1806"/>
      <c r="H299" s="1806"/>
    </row>
    <row r="300" spans="1:8">
      <c r="A300" s="1806"/>
      <c r="B300" s="1806"/>
      <c r="C300" s="1806"/>
      <c r="D300" s="1806"/>
      <c r="E300" s="1806"/>
      <c r="F300" s="1806"/>
      <c r="G300" s="1806"/>
      <c r="H300" s="1806"/>
    </row>
    <row r="301" spans="1:8">
      <c r="A301" s="1806"/>
      <c r="B301" s="1806"/>
      <c r="C301" s="1806"/>
      <c r="D301" s="1806"/>
      <c r="E301" s="1806"/>
      <c r="F301" s="1806"/>
      <c r="G301" s="1806"/>
      <c r="H301" s="1806"/>
    </row>
    <row r="302" spans="1:8">
      <c r="A302" s="1806"/>
      <c r="B302" s="1806"/>
      <c r="C302" s="1806"/>
      <c r="D302" s="1806"/>
      <c r="E302" s="1806"/>
      <c r="F302" s="1806"/>
      <c r="G302" s="1806"/>
      <c r="H302" s="1806"/>
    </row>
    <row r="303" spans="1:8">
      <c r="A303" s="1806"/>
      <c r="B303" s="1806"/>
      <c r="C303" s="1806"/>
      <c r="D303" s="1806"/>
      <c r="E303" s="1806"/>
      <c r="F303" s="1806"/>
      <c r="G303" s="1806"/>
      <c r="H303" s="1806"/>
    </row>
    <row r="304" spans="1:8">
      <c r="A304" s="1806"/>
      <c r="B304" s="1806"/>
      <c r="C304" s="1806"/>
      <c r="D304" s="1806"/>
      <c r="E304" s="1806"/>
      <c r="F304" s="1806"/>
      <c r="G304" s="1806"/>
      <c r="H304" s="1806"/>
    </row>
    <row r="305" spans="1:8">
      <c r="A305" s="1806"/>
      <c r="B305" s="1806"/>
      <c r="C305" s="1806"/>
      <c r="D305" s="1806"/>
      <c r="E305" s="1806"/>
      <c r="F305" s="1806"/>
      <c r="G305" s="1806"/>
      <c r="H305" s="1806"/>
    </row>
    <row r="306" spans="1:8">
      <c r="A306" s="1806"/>
      <c r="B306" s="1806"/>
      <c r="C306" s="1806"/>
      <c r="D306" s="1806"/>
      <c r="E306" s="1806"/>
      <c r="F306" s="1806"/>
      <c r="G306" s="1806"/>
      <c r="H306" s="1806"/>
    </row>
    <row r="307" spans="1:8">
      <c r="A307" s="1806"/>
      <c r="B307" s="1806"/>
      <c r="C307" s="1806"/>
      <c r="D307" s="1806"/>
      <c r="E307" s="1806"/>
      <c r="F307" s="1806"/>
      <c r="G307" s="1806"/>
      <c r="H307" s="1806"/>
    </row>
    <row r="308" spans="1:8">
      <c r="A308" s="1806"/>
      <c r="B308" s="1806"/>
      <c r="C308" s="1806"/>
      <c r="D308" s="1806"/>
      <c r="E308" s="1806"/>
      <c r="F308" s="1806"/>
      <c r="G308" s="1806"/>
      <c r="H308" s="1806"/>
    </row>
    <row r="309" spans="1:8">
      <c r="A309" s="1806"/>
      <c r="B309" s="1806"/>
      <c r="C309" s="1806"/>
      <c r="D309" s="1806"/>
      <c r="E309" s="1806"/>
      <c r="F309" s="1806"/>
      <c r="G309" s="1806"/>
      <c r="H309" s="1806"/>
    </row>
    <row r="310" spans="1:8">
      <c r="A310" s="1806"/>
      <c r="B310" s="1806"/>
      <c r="C310" s="1806"/>
      <c r="D310" s="1806"/>
      <c r="E310" s="1806"/>
      <c r="F310" s="1806"/>
      <c r="G310" s="1806"/>
      <c r="H310" s="1806"/>
    </row>
    <row r="311" spans="1:8">
      <c r="A311" s="1806"/>
      <c r="B311" s="1806"/>
      <c r="C311" s="1806"/>
      <c r="D311" s="1806"/>
      <c r="E311" s="1806"/>
      <c r="F311" s="1806"/>
      <c r="G311" s="1806"/>
      <c r="H311" s="1806"/>
    </row>
    <row r="312" spans="1:8">
      <c r="A312" s="1806"/>
      <c r="B312" s="1806"/>
      <c r="C312" s="1806"/>
      <c r="D312" s="1806"/>
      <c r="E312" s="1806"/>
      <c r="F312" s="1806"/>
      <c r="G312" s="1806"/>
      <c r="H312" s="1806"/>
    </row>
    <row r="313" spans="1:8">
      <c r="A313" s="1806"/>
      <c r="B313" s="1806"/>
      <c r="C313" s="1806"/>
      <c r="D313" s="1806"/>
      <c r="E313" s="1806"/>
      <c r="F313" s="1806"/>
      <c r="G313" s="1806"/>
      <c r="H313" s="1806"/>
    </row>
    <row r="314" spans="1:8">
      <c r="A314" s="1806"/>
      <c r="B314" s="1806"/>
      <c r="C314" s="1806"/>
      <c r="D314" s="1806"/>
      <c r="E314" s="1806"/>
      <c r="F314" s="1806"/>
      <c r="G314" s="1806"/>
      <c r="H314" s="1806"/>
    </row>
    <row r="315" spans="1:8">
      <c r="A315" s="1806"/>
      <c r="B315" s="1806"/>
      <c r="C315" s="1806"/>
      <c r="D315" s="1806"/>
      <c r="E315" s="1806"/>
      <c r="F315" s="1806"/>
      <c r="G315" s="1806"/>
      <c r="H315" s="1806"/>
    </row>
    <row r="316" spans="1:8">
      <c r="A316" s="1806"/>
      <c r="B316" s="1806"/>
      <c r="C316" s="1806"/>
      <c r="D316" s="1806"/>
      <c r="E316" s="1806"/>
      <c r="F316" s="1806"/>
      <c r="G316" s="1806"/>
      <c r="H316" s="1806"/>
    </row>
    <row r="317" spans="1:8">
      <c r="A317" s="1806"/>
      <c r="B317" s="1806"/>
      <c r="C317" s="1806"/>
      <c r="D317" s="1806"/>
      <c r="E317" s="1806"/>
      <c r="F317" s="1806"/>
      <c r="G317" s="1806"/>
      <c r="H317" s="1806"/>
    </row>
    <row r="318" spans="1:8">
      <c r="A318" s="1806"/>
      <c r="B318" s="1806"/>
      <c r="C318" s="1806"/>
      <c r="D318" s="1806"/>
      <c r="E318" s="1806"/>
      <c r="F318" s="1806"/>
      <c r="G318" s="1806"/>
      <c r="H318" s="1806"/>
    </row>
    <row r="319" spans="1:8">
      <c r="A319" s="1806"/>
      <c r="B319" s="1806"/>
      <c r="C319" s="1806"/>
      <c r="D319" s="1806"/>
      <c r="E319" s="1806"/>
      <c r="F319" s="1806"/>
      <c r="G319" s="1806"/>
      <c r="H319" s="1806"/>
    </row>
    <row r="320" spans="1:8">
      <c r="A320" s="1806"/>
      <c r="B320" s="1806"/>
      <c r="C320" s="1806"/>
      <c r="D320" s="1806"/>
      <c r="E320" s="1806"/>
      <c r="F320" s="1806"/>
      <c r="G320" s="1806"/>
      <c r="H320" s="1806"/>
    </row>
    <row r="321" spans="1:8">
      <c r="A321" s="1806"/>
      <c r="B321" s="1806"/>
      <c r="C321" s="1806"/>
      <c r="D321" s="1806"/>
      <c r="E321" s="1806"/>
      <c r="F321" s="1806"/>
      <c r="G321" s="1806"/>
      <c r="H321" s="1806"/>
    </row>
    <row r="322" spans="1:8">
      <c r="A322" s="1806"/>
      <c r="B322" s="1806"/>
      <c r="C322" s="1806"/>
      <c r="D322" s="1806"/>
      <c r="E322" s="1806"/>
      <c r="F322" s="1806"/>
      <c r="G322" s="1806"/>
      <c r="H322" s="1806"/>
    </row>
    <row r="323" spans="1:8">
      <c r="A323" s="1806"/>
      <c r="B323" s="1806"/>
      <c r="C323" s="1806"/>
      <c r="D323" s="1806"/>
      <c r="E323" s="1806"/>
      <c r="F323" s="1806"/>
      <c r="G323" s="1806"/>
      <c r="H323" s="1806"/>
    </row>
    <row r="324" spans="1:8">
      <c r="A324" s="1806"/>
      <c r="B324" s="1806"/>
      <c r="C324" s="1806"/>
      <c r="D324" s="1806"/>
      <c r="E324" s="1806"/>
      <c r="F324" s="1806"/>
      <c r="G324" s="1806"/>
      <c r="H324" s="1806"/>
    </row>
    <row r="325" spans="1:8">
      <c r="A325" s="1806"/>
      <c r="B325" s="1806"/>
      <c r="C325" s="1806"/>
      <c r="D325" s="1806"/>
      <c r="E325" s="1806"/>
      <c r="F325" s="1806"/>
      <c r="G325" s="1806"/>
      <c r="H325" s="1806"/>
    </row>
    <row r="326" spans="1:8">
      <c r="A326" s="1806"/>
      <c r="B326" s="1806"/>
      <c r="C326" s="1806"/>
      <c r="D326" s="1806"/>
      <c r="E326" s="1806"/>
      <c r="F326" s="1806"/>
      <c r="G326" s="1806"/>
      <c r="H326" s="1806"/>
    </row>
    <row r="327" spans="1:8">
      <c r="A327" s="1806"/>
      <c r="B327" s="1806"/>
      <c r="C327" s="1806"/>
      <c r="D327" s="1806"/>
      <c r="E327" s="1806"/>
      <c r="F327" s="1806"/>
      <c r="G327" s="1806"/>
      <c r="H327" s="1806"/>
    </row>
    <row r="328" spans="1:8">
      <c r="A328" s="1806"/>
      <c r="B328" s="1806"/>
      <c r="C328" s="1806"/>
      <c r="D328" s="1806"/>
      <c r="E328" s="1806"/>
      <c r="F328" s="1806"/>
      <c r="G328" s="1806"/>
      <c r="H328" s="1806"/>
    </row>
    <row r="329" spans="1:8">
      <c r="A329" s="1806"/>
      <c r="B329" s="1806"/>
      <c r="C329" s="1806"/>
      <c r="D329" s="1806"/>
      <c r="E329" s="1806"/>
      <c r="F329" s="1806"/>
      <c r="G329" s="1806"/>
      <c r="H329" s="1806"/>
    </row>
    <row r="330" spans="1:8">
      <c r="A330" s="1806"/>
      <c r="B330" s="1806"/>
      <c r="C330" s="1806"/>
      <c r="D330" s="1806"/>
      <c r="E330" s="1806"/>
      <c r="F330" s="1806"/>
      <c r="G330" s="1806"/>
      <c r="H330" s="1806"/>
    </row>
    <row r="331" spans="1:8">
      <c r="A331" s="1806"/>
      <c r="B331" s="1806"/>
      <c r="C331" s="1806"/>
      <c r="D331" s="1806"/>
      <c r="E331" s="1806"/>
      <c r="F331" s="1806"/>
      <c r="G331" s="1806"/>
      <c r="H331" s="1806"/>
    </row>
    <row r="332" spans="1:8">
      <c r="A332" s="1806"/>
      <c r="B332" s="1806"/>
      <c r="C332" s="1806"/>
      <c r="D332" s="1806"/>
      <c r="E332" s="1806"/>
      <c r="F332" s="1806"/>
      <c r="G332" s="1806"/>
      <c r="H332" s="1806"/>
    </row>
    <row r="333" spans="1:8">
      <c r="A333" s="1806"/>
      <c r="B333" s="1806"/>
      <c r="C333" s="1806"/>
      <c r="D333" s="1806"/>
      <c r="E333" s="1806"/>
      <c r="F333" s="1806"/>
      <c r="G333" s="1806"/>
      <c r="H333" s="1806"/>
    </row>
    <row r="334" spans="1:8">
      <c r="A334" s="1806"/>
      <c r="B334" s="1806"/>
      <c r="C334" s="1806"/>
      <c r="D334" s="1806"/>
      <c r="E334" s="1806"/>
      <c r="F334" s="1806"/>
      <c r="G334" s="1806"/>
      <c r="H334" s="1806"/>
    </row>
    <row r="335" spans="1:8">
      <c r="A335" s="1806"/>
      <c r="B335" s="1806"/>
      <c r="C335" s="1806"/>
      <c r="D335" s="1806"/>
      <c r="E335" s="1806"/>
      <c r="F335" s="1806"/>
      <c r="G335" s="1806"/>
      <c r="H335" s="1806"/>
    </row>
    <row r="336" spans="1:8">
      <c r="A336" s="1806"/>
      <c r="B336" s="1806"/>
      <c r="C336" s="1806"/>
      <c r="D336" s="1806"/>
      <c r="E336" s="1806"/>
      <c r="F336" s="1806"/>
      <c r="G336" s="1806"/>
      <c r="H336" s="1806"/>
    </row>
    <row r="337" spans="1:8">
      <c r="A337" s="1806"/>
      <c r="B337" s="1806"/>
      <c r="C337" s="1806"/>
      <c r="D337" s="1806"/>
      <c r="E337" s="1806"/>
      <c r="F337" s="1806"/>
      <c r="G337" s="1806"/>
      <c r="H337" s="1806"/>
    </row>
    <row r="338" spans="1:8">
      <c r="A338" s="1806"/>
      <c r="B338" s="1806"/>
      <c r="C338" s="1806"/>
      <c r="D338" s="1806"/>
      <c r="E338" s="1806"/>
      <c r="F338" s="1806"/>
      <c r="G338" s="1806"/>
      <c r="H338" s="1806"/>
    </row>
    <row r="339" spans="1:8">
      <c r="A339" s="1806"/>
      <c r="B339" s="1806"/>
      <c r="C339" s="1806"/>
      <c r="D339" s="1806"/>
      <c r="E339" s="1806"/>
      <c r="F339" s="1806"/>
      <c r="G339" s="1806"/>
      <c r="H339" s="1806"/>
    </row>
    <row r="340" spans="1:8">
      <c r="A340" s="1806"/>
      <c r="B340" s="1806"/>
      <c r="C340" s="1806"/>
      <c r="D340" s="1806"/>
      <c r="E340" s="1806"/>
      <c r="F340" s="1806"/>
      <c r="G340" s="1806"/>
      <c r="H340" s="1806"/>
    </row>
    <row r="341" spans="1:8">
      <c r="A341" s="1806"/>
      <c r="B341" s="1806"/>
      <c r="C341" s="1806"/>
      <c r="D341" s="1806"/>
      <c r="E341" s="1806"/>
      <c r="F341" s="1806"/>
      <c r="G341" s="1806"/>
      <c r="H341" s="1806"/>
    </row>
    <row r="342" spans="1:8">
      <c r="A342" s="1806"/>
      <c r="B342" s="1806"/>
      <c r="C342" s="1806"/>
      <c r="D342" s="1806"/>
      <c r="E342" s="1806"/>
      <c r="F342" s="1806"/>
      <c r="G342" s="1806"/>
      <c r="H342" s="1806"/>
    </row>
    <row r="343" spans="1:8">
      <c r="A343" s="1806"/>
      <c r="B343" s="1806"/>
      <c r="C343" s="1806"/>
      <c r="D343" s="1806"/>
      <c r="E343" s="1806"/>
      <c r="F343" s="1806"/>
      <c r="G343" s="1806"/>
      <c r="H343" s="1806"/>
    </row>
    <row r="344" spans="1:8">
      <c r="A344" s="1806"/>
      <c r="B344" s="1806"/>
      <c r="C344" s="1806"/>
      <c r="D344" s="1806"/>
      <c r="E344" s="1806"/>
      <c r="F344" s="1806"/>
      <c r="G344" s="1806"/>
      <c r="H344" s="1806"/>
    </row>
    <row r="345" spans="1:8">
      <c r="A345" s="1806"/>
      <c r="B345" s="1806"/>
      <c r="C345" s="1806"/>
      <c r="D345" s="1806"/>
      <c r="E345" s="1806"/>
      <c r="F345" s="1806"/>
      <c r="G345" s="1806"/>
      <c r="H345" s="1806"/>
    </row>
    <row r="346" spans="1:8">
      <c r="A346" s="1806"/>
      <c r="B346" s="1806"/>
      <c r="C346" s="1806"/>
      <c r="D346" s="1806"/>
      <c r="E346" s="1806"/>
      <c r="F346" s="1806"/>
      <c r="G346" s="1806"/>
      <c r="H346" s="1806"/>
    </row>
    <row r="347" spans="1:8">
      <c r="A347" s="1806"/>
      <c r="B347" s="1806"/>
      <c r="C347" s="1806"/>
      <c r="D347" s="1806"/>
      <c r="E347" s="1806"/>
      <c r="F347" s="1806"/>
      <c r="G347" s="1806"/>
      <c r="H347" s="1806"/>
    </row>
    <row r="348" spans="1:8">
      <c r="A348" s="1806"/>
      <c r="B348" s="1806"/>
      <c r="C348" s="1806"/>
      <c r="D348" s="1806"/>
      <c r="E348" s="1806"/>
      <c r="F348" s="1806"/>
      <c r="G348" s="1806"/>
      <c r="H348" s="1806"/>
    </row>
    <row r="349" spans="1:8">
      <c r="A349" s="1806"/>
      <c r="B349" s="1806"/>
      <c r="C349" s="1806"/>
      <c r="D349" s="1806"/>
      <c r="E349" s="1806"/>
      <c r="F349" s="1806"/>
      <c r="G349" s="1806"/>
      <c r="H349" s="1806"/>
    </row>
    <row r="350" spans="1:8">
      <c r="A350" s="1806"/>
      <c r="B350" s="1806"/>
      <c r="C350" s="1806"/>
      <c r="D350" s="1806"/>
      <c r="E350" s="1806"/>
      <c r="F350" s="1806"/>
      <c r="G350" s="1806"/>
      <c r="H350" s="1806"/>
    </row>
    <row r="351" spans="1:8">
      <c r="A351" s="1806"/>
      <c r="B351" s="1806"/>
      <c r="C351" s="1806"/>
      <c r="D351" s="1806"/>
      <c r="E351" s="1806"/>
      <c r="F351" s="1806"/>
      <c r="G351" s="1806"/>
      <c r="H351" s="1806"/>
    </row>
    <row r="352" spans="1:8">
      <c r="A352" s="1806"/>
      <c r="B352" s="1806"/>
      <c r="C352" s="1806"/>
      <c r="D352" s="1806"/>
      <c r="E352" s="1806"/>
      <c r="F352" s="1806"/>
      <c r="G352" s="1806"/>
      <c r="H352" s="1806"/>
    </row>
    <row r="353" spans="1:8">
      <c r="A353" s="1806"/>
      <c r="B353" s="1806"/>
      <c r="C353" s="1806"/>
      <c r="D353" s="1806"/>
      <c r="E353" s="1806"/>
      <c r="F353" s="1806"/>
      <c r="G353" s="1806"/>
      <c r="H353" s="1806"/>
    </row>
    <row r="354" spans="1:8">
      <c r="A354" s="1806"/>
      <c r="B354" s="1806"/>
      <c r="C354" s="1806"/>
      <c r="D354" s="1806"/>
      <c r="E354" s="1806"/>
      <c r="F354" s="1806"/>
      <c r="G354" s="1806"/>
      <c r="H354" s="1806"/>
    </row>
    <row r="355" spans="1:8">
      <c r="A355" s="1806"/>
      <c r="B355" s="1806"/>
      <c r="C355" s="1806"/>
      <c r="D355" s="1806"/>
      <c r="E355" s="1806"/>
      <c r="F355" s="1806"/>
      <c r="G355" s="1806"/>
      <c r="H355" s="1806"/>
    </row>
    <row r="356" spans="1:8">
      <c r="A356" s="1806"/>
      <c r="B356" s="1806"/>
      <c r="C356" s="1806"/>
      <c r="D356" s="1806"/>
      <c r="E356" s="1806"/>
      <c r="F356" s="1806"/>
      <c r="G356" s="1806"/>
      <c r="H356" s="1806"/>
    </row>
    <row r="357" spans="1:8">
      <c r="A357" s="1806"/>
      <c r="B357" s="1806"/>
      <c r="C357" s="1806"/>
      <c r="D357" s="1806"/>
      <c r="E357" s="1806"/>
      <c r="F357" s="1806"/>
      <c r="G357" s="1806"/>
      <c r="H357" s="1806"/>
    </row>
    <row r="358" spans="1:8">
      <c r="A358" s="1806"/>
      <c r="B358" s="1806"/>
      <c r="C358" s="1806"/>
      <c r="D358" s="1806"/>
      <c r="E358" s="1806"/>
      <c r="F358" s="1806"/>
      <c r="G358" s="1806"/>
      <c r="H358" s="1806"/>
    </row>
    <row r="359" spans="1:8">
      <c r="A359" s="1806"/>
      <c r="B359" s="1806"/>
      <c r="C359" s="1806"/>
      <c r="D359" s="1806"/>
      <c r="E359" s="1806"/>
      <c r="F359" s="1806"/>
      <c r="G359" s="1806"/>
      <c r="H359" s="1806"/>
    </row>
    <row r="360" spans="1:8">
      <c r="A360" s="1806"/>
      <c r="B360" s="1806"/>
      <c r="C360" s="1806"/>
      <c r="D360" s="1806"/>
      <c r="E360" s="1806"/>
      <c r="F360" s="1806"/>
      <c r="G360" s="1806"/>
      <c r="H360" s="1806"/>
    </row>
    <row r="361" spans="1:8">
      <c r="A361" s="1806"/>
      <c r="B361" s="1806"/>
      <c r="C361" s="1806"/>
      <c r="D361" s="1806"/>
      <c r="E361" s="1806"/>
      <c r="F361" s="1806"/>
      <c r="G361" s="1806"/>
      <c r="H361" s="1806"/>
    </row>
    <row r="362" spans="1:8">
      <c r="A362" s="1806"/>
      <c r="B362" s="1806"/>
      <c r="C362" s="1806"/>
      <c r="D362" s="1806"/>
      <c r="E362" s="1806"/>
      <c r="F362" s="1806"/>
      <c r="G362" s="1806"/>
      <c r="H362" s="1806"/>
    </row>
    <row r="363" spans="1:8">
      <c r="A363" s="1806"/>
      <c r="B363" s="1806"/>
      <c r="C363" s="1806"/>
      <c r="D363" s="1806"/>
      <c r="E363" s="1806"/>
      <c r="F363" s="1806"/>
      <c r="G363" s="1806"/>
      <c r="H363" s="1806"/>
    </row>
    <row r="364" spans="1:8">
      <c r="A364" s="1806"/>
      <c r="B364" s="1806"/>
      <c r="C364" s="1806"/>
      <c r="D364" s="1806"/>
      <c r="E364" s="1806"/>
      <c r="F364" s="1806"/>
      <c r="G364" s="1806"/>
      <c r="H364" s="1806"/>
    </row>
    <row r="365" spans="1:8">
      <c r="A365" s="1806"/>
      <c r="B365" s="1806"/>
      <c r="C365" s="1806"/>
      <c r="D365" s="1806"/>
      <c r="E365" s="1806"/>
      <c r="F365" s="1806"/>
      <c r="G365" s="1806"/>
      <c r="H365" s="1806"/>
    </row>
    <row r="366" spans="1:8">
      <c r="A366" s="1806"/>
      <c r="B366" s="1806"/>
      <c r="C366" s="1806"/>
      <c r="D366" s="1806"/>
      <c r="E366" s="1806"/>
      <c r="F366" s="1806"/>
      <c r="G366" s="1806"/>
      <c r="H366" s="1806"/>
    </row>
    <row r="367" spans="1:8">
      <c r="A367" s="1806"/>
      <c r="B367" s="1806"/>
      <c r="C367" s="1806"/>
      <c r="D367" s="1806"/>
      <c r="E367" s="1806"/>
      <c r="F367" s="1806"/>
      <c r="G367" s="1806"/>
      <c r="H367" s="1806"/>
    </row>
    <row r="368" spans="1:8">
      <c r="A368" s="1806"/>
      <c r="B368" s="1806"/>
      <c r="C368" s="1806"/>
      <c r="D368" s="1806"/>
      <c r="E368" s="1806"/>
      <c r="F368" s="1806"/>
      <c r="G368" s="1806"/>
      <c r="H368" s="1806"/>
    </row>
    <row r="369" spans="1:8">
      <c r="A369" s="1806"/>
      <c r="B369" s="1806"/>
      <c r="C369" s="1806"/>
      <c r="D369" s="1806"/>
      <c r="E369" s="1806"/>
      <c r="F369" s="1806"/>
      <c r="G369" s="1806"/>
      <c r="H369" s="1806"/>
    </row>
    <row r="370" spans="1:8">
      <c r="A370" s="1806"/>
      <c r="B370" s="1806"/>
      <c r="C370" s="1806"/>
      <c r="D370" s="1806"/>
      <c r="E370" s="1806"/>
      <c r="F370" s="1806"/>
      <c r="G370" s="1806"/>
      <c r="H370" s="1806"/>
    </row>
    <row r="371" spans="1:8">
      <c r="A371" s="1806"/>
      <c r="B371" s="1806"/>
      <c r="C371" s="1806"/>
      <c r="D371" s="1806"/>
      <c r="E371" s="1806"/>
      <c r="F371" s="1806"/>
      <c r="G371" s="1806"/>
      <c r="H371" s="1806"/>
    </row>
    <row r="372" spans="1:8">
      <c r="A372" s="1806"/>
      <c r="B372" s="1806"/>
      <c r="C372" s="1806"/>
      <c r="D372" s="1806"/>
      <c r="E372" s="1806"/>
      <c r="F372" s="1806"/>
      <c r="G372" s="1806"/>
      <c r="H372" s="1806"/>
    </row>
    <row r="373" spans="1:8">
      <c r="A373" s="1806"/>
      <c r="B373" s="1806"/>
      <c r="C373" s="1806"/>
      <c r="D373" s="1806"/>
      <c r="E373" s="1806"/>
      <c r="F373" s="1806"/>
      <c r="G373" s="1806"/>
      <c r="H373" s="1806"/>
    </row>
    <row r="374" spans="1:8">
      <c r="A374" s="1806"/>
      <c r="B374" s="1806"/>
      <c r="C374" s="1806"/>
      <c r="D374" s="1806"/>
      <c r="E374" s="1806"/>
      <c r="F374" s="1806"/>
      <c r="G374" s="1806"/>
      <c r="H374" s="1806"/>
    </row>
    <row r="375" spans="1:8">
      <c r="A375" s="1806"/>
      <c r="B375" s="1806"/>
      <c r="C375" s="1806"/>
      <c r="D375" s="1806"/>
      <c r="E375" s="1806"/>
      <c r="F375" s="1806"/>
      <c r="G375" s="1806"/>
      <c r="H375" s="1806"/>
    </row>
    <row r="376" spans="1:8">
      <c r="A376" s="1806"/>
      <c r="B376" s="1806"/>
      <c r="C376" s="1806"/>
      <c r="D376" s="1806"/>
      <c r="E376" s="1806"/>
      <c r="F376" s="1806"/>
      <c r="G376" s="1806"/>
      <c r="H376" s="1806"/>
    </row>
    <row r="377" spans="1:8">
      <c r="A377" s="1806"/>
      <c r="B377" s="1806"/>
      <c r="C377" s="1806"/>
      <c r="D377" s="1806"/>
      <c r="E377" s="1806"/>
      <c r="F377" s="1806"/>
      <c r="G377" s="1806"/>
      <c r="H377" s="1806"/>
    </row>
    <row r="378" spans="1:8">
      <c r="A378" s="1806"/>
      <c r="B378" s="1806"/>
      <c r="C378" s="1806"/>
      <c r="D378" s="1806"/>
      <c r="E378" s="1806"/>
      <c r="F378" s="1806"/>
      <c r="G378" s="1806"/>
      <c r="H378" s="1806"/>
    </row>
    <row r="379" spans="1:8">
      <c r="A379" s="1806"/>
      <c r="B379" s="1806"/>
      <c r="C379" s="1806"/>
      <c r="D379" s="1806"/>
      <c r="E379" s="1806"/>
      <c r="F379" s="1806"/>
      <c r="G379" s="1806"/>
      <c r="H379" s="1806"/>
    </row>
    <row r="380" spans="1:8">
      <c r="A380" s="1806"/>
      <c r="B380" s="1806"/>
      <c r="C380" s="1806"/>
      <c r="D380" s="1806"/>
      <c r="E380" s="1806"/>
      <c r="F380" s="1806"/>
      <c r="G380" s="1806"/>
      <c r="H380" s="1806"/>
    </row>
    <row r="381" spans="1:8">
      <c r="A381" s="1806"/>
      <c r="B381" s="1806"/>
      <c r="C381" s="1806"/>
      <c r="D381" s="1806"/>
      <c r="E381" s="1806"/>
      <c r="F381" s="1806"/>
      <c r="G381" s="1806"/>
      <c r="H381" s="1806"/>
    </row>
    <row r="382" spans="1:8">
      <c r="A382" s="1806"/>
      <c r="B382" s="1806"/>
      <c r="C382" s="1806"/>
      <c r="D382" s="1806"/>
      <c r="E382" s="1806"/>
      <c r="F382" s="1806"/>
      <c r="G382" s="1806"/>
      <c r="H382" s="1806"/>
    </row>
    <row r="383" spans="1:8">
      <c r="A383" s="1806"/>
      <c r="B383" s="1806"/>
      <c r="C383" s="1806"/>
      <c r="D383" s="1806"/>
      <c r="E383" s="1806"/>
      <c r="F383" s="1806"/>
      <c r="G383" s="1806"/>
      <c r="H383" s="1806"/>
    </row>
    <row r="384" spans="1:8">
      <c r="A384" s="1806"/>
      <c r="B384" s="1806"/>
      <c r="C384" s="1806"/>
      <c r="D384" s="1806"/>
      <c r="E384" s="1806"/>
      <c r="F384" s="1806"/>
      <c r="G384" s="1806"/>
      <c r="H384" s="1806"/>
    </row>
    <row r="385" spans="1:8">
      <c r="A385" s="1806"/>
      <c r="B385" s="1806"/>
      <c r="C385" s="1806"/>
      <c r="D385" s="1806"/>
      <c r="E385" s="1806"/>
      <c r="F385" s="1806"/>
      <c r="G385" s="1806"/>
      <c r="H385" s="1806"/>
    </row>
    <row r="386" spans="1:8">
      <c r="A386" s="1806"/>
      <c r="B386" s="1806"/>
      <c r="C386" s="1806"/>
      <c r="D386" s="1806"/>
      <c r="E386" s="1806"/>
      <c r="F386" s="1806"/>
      <c r="G386" s="1806"/>
      <c r="H386" s="1806"/>
    </row>
    <row r="387" spans="1:8">
      <c r="A387" s="1806"/>
      <c r="B387" s="1806"/>
      <c r="C387" s="1806"/>
      <c r="D387" s="1806"/>
      <c r="E387" s="1806"/>
      <c r="F387" s="1806"/>
      <c r="G387" s="1806"/>
      <c r="H387" s="1806"/>
    </row>
    <row r="388" spans="1:8">
      <c r="A388" s="1806"/>
      <c r="B388" s="1806"/>
      <c r="C388" s="1806"/>
      <c r="D388" s="1806"/>
      <c r="E388" s="1806"/>
      <c r="F388" s="1806"/>
      <c r="G388" s="1806"/>
      <c r="H388" s="1806"/>
    </row>
    <row r="389" spans="1:8">
      <c r="A389" s="1806"/>
      <c r="B389" s="1806"/>
      <c r="C389" s="1806"/>
      <c r="D389" s="1806"/>
      <c r="E389" s="1806"/>
      <c r="F389" s="1806"/>
      <c r="G389" s="1806"/>
      <c r="H389" s="1806"/>
    </row>
    <row r="390" spans="1:8">
      <c r="A390" s="1806"/>
      <c r="B390" s="1806"/>
      <c r="C390" s="1806"/>
      <c r="D390" s="1806"/>
      <c r="E390" s="1806"/>
      <c r="F390" s="1806"/>
      <c r="G390" s="1806"/>
      <c r="H390" s="1806"/>
    </row>
    <row r="391" spans="1:8">
      <c r="A391" s="1806"/>
      <c r="B391" s="1806"/>
      <c r="C391" s="1806"/>
      <c r="D391" s="1806"/>
      <c r="E391" s="1806"/>
      <c r="F391" s="1806"/>
      <c r="G391" s="1806"/>
      <c r="H391" s="1806"/>
    </row>
    <row r="392" spans="1:8">
      <c r="A392" s="1806"/>
      <c r="B392" s="1806"/>
      <c r="C392" s="1806"/>
      <c r="D392" s="1806"/>
      <c r="E392" s="1806"/>
      <c r="F392" s="1806"/>
      <c r="G392" s="1806"/>
      <c r="H392" s="1806"/>
    </row>
    <row r="393" spans="1:8">
      <c r="A393" s="1806"/>
      <c r="B393" s="1806"/>
      <c r="C393" s="1806"/>
      <c r="D393" s="1806"/>
      <c r="E393" s="1806"/>
      <c r="F393" s="1806"/>
      <c r="G393" s="1806"/>
      <c r="H393" s="1806"/>
    </row>
    <row r="394" spans="1:8">
      <c r="A394" s="1806"/>
      <c r="B394" s="1806"/>
      <c r="C394" s="1806"/>
      <c r="D394" s="1806"/>
      <c r="E394" s="1806"/>
      <c r="F394" s="1806"/>
      <c r="G394" s="1806"/>
      <c r="H394" s="1806"/>
    </row>
    <row r="395" spans="1:8">
      <c r="A395" s="1806"/>
      <c r="B395" s="1806"/>
      <c r="C395" s="1806"/>
      <c r="D395" s="1806"/>
      <c r="E395" s="1806"/>
      <c r="F395" s="1806"/>
      <c r="G395" s="1806"/>
      <c r="H395" s="1806"/>
    </row>
    <row r="396" spans="1:8">
      <c r="A396" s="1806"/>
      <c r="B396" s="1806"/>
      <c r="C396" s="1806"/>
      <c r="D396" s="1806"/>
      <c r="E396" s="1806"/>
      <c r="F396" s="1806"/>
      <c r="G396" s="1806"/>
      <c r="H396" s="1806"/>
    </row>
    <row r="397" spans="1:8">
      <c r="A397" s="1806"/>
      <c r="B397" s="1806"/>
      <c r="C397" s="1806"/>
      <c r="D397" s="1806"/>
      <c r="E397" s="1806"/>
      <c r="F397" s="1806"/>
      <c r="G397" s="1806"/>
      <c r="H397" s="1806"/>
    </row>
    <row r="398" spans="1:8">
      <c r="A398" s="1806"/>
      <c r="B398" s="1806"/>
      <c r="C398" s="1806"/>
      <c r="D398" s="1806"/>
      <c r="E398" s="1806"/>
      <c r="F398" s="1806"/>
      <c r="G398" s="1806"/>
      <c r="H398" s="1806"/>
    </row>
    <row r="399" spans="1:8">
      <c r="A399" s="1806"/>
      <c r="B399" s="1806"/>
      <c r="C399" s="1806"/>
      <c r="D399" s="1806"/>
      <c r="E399" s="1806"/>
      <c r="F399" s="1806"/>
      <c r="G399" s="1806"/>
      <c r="H399" s="1806"/>
    </row>
    <row r="400" spans="1:8">
      <c r="A400" s="1806"/>
      <c r="B400" s="1806"/>
      <c r="C400" s="1806"/>
      <c r="D400" s="1806"/>
      <c r="E400" s="1806"/>
      <c r="F400" s="1806"/>
      <c r="G400" s="1806"/>
      <c r="H400" s="1806"/>
    </row>
    <row r="401" spans="1:8">
      <c r="A401" s="1806"/>
      <c r="B401" s="1806"/>
      <c r="C401" s="1806"/>
      <c r="D401" s="1806"/>
      <c r="E401" s="1806"/>
      <c r="F401" s="1806"/>
      <c r="G401" s="1806"/>
      <c r="H401" s="1806"/>
    </row>
    <row r="402" spans="1:8">
      <c r="A402" s="1806"/>
      <c r="B402" s="1806"/>
      <c r="C402" s="1806"/>
      <c r="D402" s="1806"/>
      <c r="E402" s="1806"/>
      <c r="F402" s="1806"/>
      <c r="G402" s="1806"/>
      <c r="H402" s="1806"/>
    </row>
    <row r="403" spans="1:8">
      <c r="A403" s="1806"/>
      <c r="B403" s="1806"/>
      <c r="C403" s="1806"/>
      <c r="D403" s="1806"/>
      <c r="E403" s="1806"/>
      <c r="F403" s="1806"/>
      <c r="G403" s="1806"/>
      <c r="H403" s="1806"/>
    </row>
    <row r="404" spans="1:8">
      <c r="A404" s="1806"/>
      <c r="B404" s="1806"/>
      <c r="C404" s="1806"/>
      <c r="D404" s="1806"/>
      <c r="E404" s="1806"/>
      <c r="F404" s="1806"/>
      <c r="G404" s="1806"/>
      <c r="H404" s="1806"/>
    </row>
    <row r="405" spans="1:8">
      <c r="A405" s="1806"/>
      <c r="B405" s="1806"/>
      <c r="C405" s="1806"/>
      <c r="D405" s="1806"/>
      <c r="E405" s="1806"/>
      <c r="F405" s="1806"/>
      <c r="G405" s="1806"/>
      <c r="H405" s="1806"/>
    </row>
    <row r="406" spans="1:8">
      <c r="A406" s="1806"/>
      <c r="B406" s="1806"/>
      <c r="C406" s="1806"/>
      <c r="D406" s="1806"/>
      <c r="E406" s="1806"/>
      <c r="F406" s="1806"/>
      <c r="G406" s="1806"/>
      <c r="H406" s="1806"/>
    </row>
    <row r="407" spans="1:8">
      <c r="A407" s="1806"/>
      <c r="B407" s="1806"/>
      <c r="C407" s="1806"/>
      <c r="D407" s="1806"/>
      <c r="E407" s="1806"/>
      <c r="F407" s="1806"/>
      <c r="G407" s="1806"/>
      <c r="H407" s="1806"/>
    </row>
    <row r="408" spans="1:8">
      <c r="A408" s="1806"/>
      <c r="B408" s="1806"/>
      <c r="C408" s="1806"/>
      <c r="D408" s="1806"/>
      <c r="E408" s="1806"/>
      <c r="F408" s="1806"/>
      <c r="G408" s="1806"/>
      <c r="H408" s="1806"/>
    </row>
    <row r="409" spans="1:8">
      <c r="A409" s="1806"/>
      <c r="B409" s="1806"/>
      <c r="C409" s="1806"/>
      <c r="D409" s="1806"/>
      <c r="E409" s="1806"/>
      <c r="F409" s="1806"/>
      <c r="G409" s="1806"/>
      <c r="H409" s="1806"/>
    </row>
    <row r="410" spans="1:8">
      <c r="A410" s="1806"/>
      <c r="B410" s="1806"/>
      <c r="C410" s="1806"/>
      <c r="D410" s="1806"/>
      <c r="E410" s="1806"/>
      <c r="F410" s="1806"/>
      <c r="G410" s="1806"/>
      <c r="H410" s="1806"/>
    </row>
    <row r="411" spans="1:8">
      <c r="A411" s="1806"/>
      <c r="B411" s="1806"/>
      <c r="C411" s="1806"/>
      <c r="D411" s="1806"/>
      <c r="E411" s="1806"/>
      <c r="F411" s="1806"/>
      <c r="G411" s="1806"/>
      <c r="H411" s="1806"/>
    </row>
    <row r="412" spans="1:8">
      <c r="A412" s="1806"/>
      <c r="B412" s="1806"/>
      <c r="C412" s="1806"/>
      <c r="D412" s="1806"/>
      <c r="E412" s="1806"/>
      <c r="F412" s="1806"/>
      <c r="G412" s="1806"/>
      <c r="H412" s="1806"/>
    </row>
    <row r="413" spans="1:8">
      <c r="A413" s="1806"/>
      <c r="B413" s="1806"/>
      <c r="C413" s="1806"/>
      <c r="D413" s="1806"/>
      <c r="E413" s="1806"/>
      <c r="F413" s="1806"/>
      <c r="G413" s="1806"/>
      <c r="H413" s="1806"/>
    </row>
    <row r="414" spans="1:8">
      <c r="A414" s="1806"/>
      <c r="B414" s="1806"/>
      <c r="C414" s="1806"/>
      <c r="D414" s="1806"/>
      <c r="E414" s="1806"/>
      <c r="F414" s="1806"/>
      <c r="G414" s="1806"/>
      <c r="H414" s="1806"/>
    </row>
    <row r="415" spans="1:8">
      <c r="A415" s="1806"/>
      <c r="B415" s="1806"/>
      <c r="C415" s="1806"/>
      <c r="D415" s="1806"/>
      <c r="E415" s="1806"/>
      <c r="F415" s="1806"/>
      <c r="G415" s="1806"/>
      <c r="H415" s="1806"/>
    </row>
    <row r="416" spans="1:8">
      <c r="A416" s="1806"/>
      <c r="B416" s="1806"/>
      <c r="C416" s="1806"/>
      <c r="D416" s="1806"/>
      <c r="E416" s="1806"/>
      <c r="F416" s="1806"/>
      <c r="G416" s="1806"/>
      <c r="H416" s="1806"/>
    </row>
    <row r="417" spans="1:8">
      <c r="A417" s="1806"/>
      <c r="B417" s="1806"/>
      <c r="C417" s="1806"/>
      <c r="D417" s="1806"/>
      <c r="E417" s="1806"/>
      <c r="F417" s="1806"/>
      <c r="G417" s="1806"/>
      <c r="H417" s="1806"/>
    </row>
    <row r="418" spans="1:8">
      <c r="A418" s="1806"/>
      <c r="B418" s="1806"/>
      <c r="C418" s="1806"/>
      <c r="D418" s="1806"/>
      <c r="E418" s="1806"/>
      <c r="F418" s="1806"/>
      <c r="G418" s="1806"/>
      <c r="H418" s="1806"/>
    </row>
    <row r="419" spans="1:8">
      <c r="A419" s="1806"/>
      <c r="B419" s="1806"/>
      <c r="C419" s="1806"/>
      <c r="D419" s="1806"/>
      <c r="E419" s="1806"/>
      <c r="F419" s="1806"/>
      <c r="G419" s="1806"/>
      <c r="H419" s="1806"/>
    </row>
    <row r="420" spans="1:8">
      <c r="A420" s="1806"/>
      <c r="B420" s="1806"/>
      <c r="C420" s="1806"/>
      <c r="D420" s="1806"/>
      <c r="E420" s="1806"/>
      <c r="F420" s="1806"/>
      <c r="G420" s="1806"/>
      <c r="H420" s="1806"/>
    </row>
    <row r="421" spans="1:8">
      <c r="A421" s="1806"/>
      <c r="B421" s="1806"/>
      <c r="C421" s="1806"/>
      <c r="D421" s="1806"/>
      <c r="E421" s="1806"/>
      <c r="F421" s="1806"/>
      <c r="G421" s="1806"/>
      <c r="H421" s="1806"/>
    </row>
    <row r="422" spans="1:8">
      <c r="A422" s="1806"/>
      <c r="B422" s="1806"/>
      <c r="C422" s="1806"/>
      <c r="D422" s="1806"/>
      <c r="E422" s="1806"/>
      <c r="F422" s="1806"/>
      <c r="G422" s="1806"/>
      <c r="H422" s="1806"/>
    </row>
    <row r="423" spans="1:8">
      <c r="A423" s="1806"/>
      <c r="B423" s="1806"/>
      <c r="C423" s="1806"/>
      <c r="D423" s="1806"/>
      <c r="E423" s="1806"/>
      <c r="F423" s="1806"/>
      <c r="G423" s="1806"/>
      <c r="H423" s="1806"/>
    </row>
    <row r="424" spans="1:8">
      <c r="A424" s="1806"/>
      <c r="B424" s="1806"/>
      <c r="C424" s="1806"/>
      <c r="D424" s="1806"/>
      <c r="E424" s="1806"/>
      <c r="F424" s="1806"/>
      <c r="G424" s="1806"/>
      <c r="H424" s="1806"/>
    </row>
    <row r="425" spans="1:8">
      <c r="A425" s="1806"/>
      <c r="B425" s="1806"/>
      <c r="C425" s="1806"/>
      <c r="D425" s="1806"/>
      <c r="E425" s="1806"/>
      <c r="F425" s="1806"/>
      <c r="G425" s="1806"/>
      <c r="H425" s="1806"/>
    </row>
    <row r="426" spans="1:8">
      <c r="A426" s="1806"/>
      <c r="B426" s="1806"/>
      <c r="C426" s="1806"/>
      <c r="D426" s="1806"/>
      <c r="E426" s="1806"/>
      <c r="F426" s="1806"/>
      <c r="G426" s="1806"/>
      <c r="H426" s="1806"/>
    </row>
    <row r="427" spans="1:8">
      <c r="A427" s="1806"/>
      <c r="B427" s="1806"/>
      <c r="C427" s="1806"/>
      <c r="D427" s="1806"/>
      <c r="E427" s="1806"/>
      <c r="F427" s="1806"/>
      <c r="G427" s="1806"/>
      <c r="H427" s="1806"/>
    </row>
    <row r="428" spans="1:8">
      <c r="A428" s="1806"/>
      <c r="B428" s="1806"/>
      <c r="C428" s="1806"/>
      <c r="D428" s="1806"/>
      <c r="E428" s="1806"/>
      <c r="F428" s="1806"/>
      <c r="G428" s="1806"/>
      <c r="H428" s="1806"/>
    </row>
    <row r="429" spans="1:8">
      <c r="A429" s="1806"/>
      <c r="B429" s="1806"/>
      <c r="C429" s="1806"/>
      <c r="D429" s="1806"/>
      <c r="E429" s="1806"/>
      <c r="F429" s="1806"/>
      <c r="G429" s="1806"/>
      <c r="H429" s="1806"/>
    </row>
    <row r="430" spans="1:8">
      <c r="A430" s="1806"/>
      <c r="B430" s="1806"/>
      <c r="C430" s="1806"/>
      <c r="D430" s="1806"/>
      <c r="E430" s="1806"/>
      <c r="F430" s="1806"/>
      <c r="G430" s="1806"/>
      <c r="H430" s="1806"/>
    </row>
    <row r="431" spans="1:8">
      <c r="A431" s="1806"/>
      <c r="B431" s="1806"/>
      <c r="C431" s="1806"/>
      <c r="D431" s="1806"/>
      <c r="E431" s="1806"/>
      <c r="F431" s="1806"/>
      <c r="G431" s="1806"/>
      <c r="H431" s="1806"/>
    </row>
    <row r="432" spans="1:8">
      <c r="A432" s="1806"/>
      <c r="B432" s="1806"/>
      <c r="C432" s="1806"/>
      <c r="D432" s="1806"/>
      <c r="E432" s="1806"/>
      <c r="F432" s="1806"/>
      <c r="G432" s="1806"/>
      <c r="H432" s="1806"/>
    </row>
    <row r="433" spans="1:8">
      <c r="A433" s="1806"/>
      <c r="B433" s="1806"/>
      <c r="C433" s="1806"/>
      <c r="D433" s="1806"/>
      <c r="E433" s="1806"/>
      <c r="F433" s="1806"/>
      <c r="G433" s="1806"/>
      <c r="H433" s="1806"/>
    </row>
    <row r="434" spans="1:8">
      <c r="A434" s="1806"/>
      <c r="B434" s="1806"/>
      <c r="C434" s="1806"/>
      <c r="D434" s="1806"/>
      <c r="E434" s="1806"/>
      <c r="F434" s="1806"/>
      <c r="G434" s="1806"/>
      <c r="H434" s="1806"/>
    </row>
    <row r="435" spans="1:8">
      <c r="A435" s="1806"/>
      <c r="B435" s="1806"/>
      <c r="C435" s="1806"/>
      <c r="D435" s="1806"/>
      <c r="E435" s="1806"/>
      <c r="F435" s="1806"/>
      <c r="G435" s="1806"/>
      <c r="H435" s="1806"/>
    </row>
    <row r="436" spans="1:8">
      <c r="A436" s="1806"/>
      <c r="B436" s="1806"/>
      <c r="C436" s="1806"/>
      <c r="D436" s="1806"/>
      <c r="E436" s="1806"/>
      <c r="F436" s="1806"/>
      <c r="G436" s="1806"/>
      <c r="H436" s="1806"/>
    </row>
    <row r="437" spans="1:8">
      <c r="A437" s="1806"/>
      <c r="B437" s="1806"/>
      <c r="C437" s="1806"/>
      <c r="D437" s="1806"/>
      <c r="E437" s="1806"/>
      <c r="F437" s="1806"/>
      <c r="G437" s="1806"/>
      <c r="H437" s="1806"/>
    </row>
    <row r="438" spans="1:8">
      <c r="A438" s="1806"/>
      <c r="B438" s="1806"/>
      <c r="C438" s="1806"/>
      <c r="D438" s="1806"/>
      <c r="E438" s="1806"/>
      <c r="F438" s="1806"/>
      <c r="G438" s="1806"/>
      <c r="H438" s="1806"/>
    </row>
    <row r="439" spans="1:8">
      <c r="A439" s="1806"/>
      <c r="B439" s="1806"/>
      <c r="C439" s="1806"/>
      <c r="D439" s="1806"/>
      <c r="E439" s="1806"/>
      <c r="F439" s="1806"/>
      <c r="G439" s="1806"/>
      <c r="H439" s="1806"/>
    </row>
    <row r="440" spans="1:8">
      <c r="A440" s="1806"/>
      <c r="B440" s="1806"/>
      <c r="C440" s="1806"/>
      <c r="D440" s="1806"/>
      <c r="E440" s="1806"/>
      <c r="F440" s="1806"/>
      <c r="G440" s="1806"/>
      <c r="H440" s="1806"/>
    </row>
    <row r="441" spans="1:8">
      <c r="A441" s="1806"/>
      <c r="B441" s="1806"/>
      <c r="C441" s="1806"/>
      <c r="D441" s="1806"/>
      <c r="E441" s="1806"/>
      <c r="F441" s="1806"/>
      <c r="G441" s="1806"/>
      <c r="H441" s="1806"/>
    </row>
    <row r="442" spans="1:8">
      <c r="A442" s="1806"/>
      <c r="B442" s="1806"/>
      <c r="C442" s="1806"/>
      <c r="D442" s="1806"/>
      <c r="E442" s="1806"/>
      <c r="F442" s="1806"/>
      <c r="G442" s="1806"/>
      <c r="H442" s="1806"/>
    </row>
    <row r="443" spans="1:8">
      <c r="A443" s="1806"/>
      <c r="B443" s="1806"/>
      <c r="C443" s="1806"/>
      <c r="D443" s="1806"/>
      <c r="E443" s="1806"/>
      <c r="F443" s="1806"/>
      <c r="G443" s="1806"/>
      <c r="H443" s="1806"/>
    </row>
    <row r="444" spans="1:8">
      <c r="A444" s="1806"/>
      <c r="B444" s="1806"/>
      <c r="C444" s="1806"/>
      <c r="D444" s="1806"/>
      <c r="E444" s="1806"/>
      <c r="F444" s="1806"/>
      <c r="G444" s="1806"/>
      <c r="H444" s="1806"/>
    </row>
    <row r="445" spans="1:8">
      <c r="A445" s="1806"/>
      <c r="B445" s="1806"/>
      <c r="C445" s="1806"/>
      <c r="D445" s="1806"/>
      <c r="E445" s="1806"/>
      <c r="F445" s="1806"/>
      <c r="G445" s="1806"/>
      <c r="H445" s="1806"/>
    </row>
    <row r="446" spans="1:8">
      <c r="A446" s="1806"/>
      <c r="B446" s="1806"/>
      <c r="C446" s="1806"/>
      <c r="D446" s="1806"/>
      <c r="E446" s="1806"/>
      <c r="F446" s="1806"/>
      <c r="G446" s="1806"/>
      <c r="H446" s="1806"/>
    </row>
    <row r="447" spans="1:8">
      <c r="A447" s="1806"/>
      <c r="B447" s="1806"/>
      <c r="C447" s="1806"/>
      <c r="D447" s="1806"/>
      <c r="E447" s="1806"/>
      <c r="F447" s="1806"/>
      <c r="G447" s="1806"/>
      <c r="H447" s="1806"/>
    </row>
    <row r="448" spans="1:8">
      <c r="A448" s="1806"/>
      <c r="B448" s="1806"/>
      <c r="C448" s="1806"/>
      <c r="D448" s="1806"/>
      <c r="E448" s="1806"/>
      <c r="F448" s="1806"/>
      <c r="G448" s="1806"/>
      <c r="H448" s="1806"/>
    </row>
    <row r="449" spans="1:8">
      <c r="A449" s="1806"/>
      <c r="B449" s="1806"/>
      <c r="C449" s="1806"/>
      <c r="D449" s="1806"/>
      <c r="E449" s="1806"/>
      <c r="F449" s="1806"/>
      <c r="G449" s="1806"/>
      <c r="H449" s="1806"/>
    </row>
    <row r="450" spans="1:8">
      <c r="A450" s="1806"/>
      <c r="B450" s="1806"/>
      <c r="C450" s="1806"/>
      <c r="D450" s="1806"/>
      <c r="E450" s="1806"/>
      <c r="F450" s="1806"/>
      <c r="G450" s="1806"/>
      <c r="H450" s="1806"/>
    </row>
    <row r="451" spans="1:8">
      <c r="A451" s="1806"/>
      <c r="B451" s="1806"/>
      <c r="C451" s="1806"/>
      <c r="D451" s="1806"/>
      <c r="E451" s="1806"/>
      <c r="F451" s="1806"/>
      <c r="G451" s="1806"/>
      <c r="H451" s="1806"/>
    </row>
    <row r="452" spans="1:8">
      <c r="A452" s="1806"/>
      <c r="B452" s="1806"/>
      <c r="C452" s="1806"/>
      <c r="D452" s="1806"/>
      <c r="E452" s="1806"/>
      <c r="F452" s="1806"/>
      <c r="G452" s="1806"/>
      <c r="H452" s="1806"/>
    </row>
    <row r="453" spans="1:8">
      <c r="A453" s="1806"/>
      <c r="B453" s="1806"/>
      <c r="C453" s="1806"/>
      <c r="D453" s="1806"/>
      <c r="E453" s="1806"/>
      <c r="F453" s="1806"/>
      <c r="G453" s="1806"/>
      <c r="H453" s="1806"/>
    </row>
    <row r="454" spans="1:8">
      <c r="A454" s="1806"/>
      <c r="B454" s="1806"/>
      <c r="C454" s="1806"/>
      <c r="D454" s="1806"/>
      <c r="E454" s="1806"/>
      <c r="F454" s="1806"/>
      <c r="G454" s="1806"/>
      <c r="H454" s="1806"/>
    </row>
    <row r="455" spans="1:8">
      <c r="A455" s="1806"/>
      <c r="B455" s="1806"/>
      <c r="C455" s="1806"/>
      <c r="D455" s="1806"/>
      <c r="E455" s="1806"/>
      <c r="F455" s="1806"/>
      <c r="G455" s="1806"/>
      <c r="H455" s="1806"/>
    </row>
    <row r="456" spans="1:8">
      <c r="A456" s="1806"/>
      <c r="B456" s="1806"/>
      <c r="C456" s="1806"/>
      <c r="D456" s="1806"/>
      <c r="E456" s="1806"/>
      <c r="F456" s="1806"/>
      <c r="G456" s="1806"/>
      <c r="H456" s="1806"/>
    </row>
    <row r="457" spans="1:8">
      <c r="A457" s="1806"/>
      <c r="B457" s="1806"/>
      <c r="C457" s="1806"/>
      <c r="D457" s="1806"/>
      <c r="E457" s="1806"/>
      <c r="F457" s="1806"/>
      <c r="G457" s="1806"/>
      <c r="H457" s="1806"/>
    </row>
    <row r="458" spans="1:8">
      <c r="A458" s="1806"/>
      <c r="B458" s="1806"/>
      <c r="C458" s="1806"/>
      <c r="D458" s="1806"/>
      <c r="E458" s="1806"/>
      <c r="F458" s="1806"/>
      <c r="G458" s="1806"/>
      <c r="H458" s="1806"/>
    </row>
    <row r="459" spans="1:8">
      <c r="A459" s="1806"/>
      <c r="B459" s="1806"/>
      <c r="C459" s="1806"/>
      <c r="D459" s="1806"/>
      <c r="E459" s="1806"/>
      <c r="F459" s="1806"/>
      <c r="G459" s="1806"/>
      <c r="H459" s="1806"/>
    </row>
    <row r="460" spans="1:8">
      <c r="A460" s="1806"/>
      <c r="B460" s="1806"/>
      <c r="C460" s="1806"/>
      <c r="D460" s="1806"/>
      <c r="E460" s="1806"/>
      <c r="F460" s="1806"/>
      <c r="G460" s="1806"/>
      <c r="H460" s="1806"/>
    </row>
    <row r="461" spans="1:8">
      <c r="A461" s="1806"/>
      <c r="B461" s="1806"/>
      <c r="C461" s="1806"/>
      <c r="D461" s="1806"/>
      <c r="E461" s="1806"/>
      <c r="F461" s="1806"/>
      <c r="G461" s="1806"/>
      <c r="H461" s="1806"/>
    </row>
    <row r="462" spans="1:8">
      <c r="A462" s="1806"/>
      <c r="B462" s="1806"/>
      <c r="C462" s="1806"/>
      <c r="D462" s="1806"/>
      <c r="E462" s="1806"/>
      <c r="F462" s="1806"/>
      <c r="G462" s="1806"/>
      <c r="H462" s="1806"/>
    </row>
    <row r="463" spans="1:8">
      <c r="A463" s="1806"/>
      <c r="B463" s="1806"/>
      <c r="C463" s="1806"/>
      <c r="D463" s="1806"/>
      <c r="E463" s="1806"/>
      <c r="F463" s="1806"/>
      <c r="G463" s="1806"/>
      <c r="H463" s="1806"/>
    </row>
    <row r="464" spans="1:8">
      <c r="A464" s="1806"/>
      <c r="B464" s="1806"/>
      <c r="C464" s="1806"/>
      <c r="D464" s="1806"/>
      <c r="E464" s="1806"/>
      <c r="F464" s="1806"/>
      <c r="G464" s="1806"/>
      <c r="H464" s="1806"/>
    </row>
    <row r="465" spans="1:8">
      <c r="A465" s="1806"/>
      <c r="B465" s="1806"/>
      <c r="C465" s="1806"/>
      <c r="D465" s="1806"/>
      <c r="E465" s="1806"/>
      <c r="F465" s="1806"/>
      <c r="G465" s="1806"/>
      <c r="H465" s="1806"/>
    </row>
    <row r="466" spans="1:8">
      <c r="A466" s="1806"/>
      <c r="B466" s="1806"/>
      <c r="C466" s="1806"/>
      <c r="D466" s="1806"/>
      <c r="E466" s="1806"/>
      <c r="F466" s="1806"/>
      <c r="G466" s="1806"/>
      <c r="H466" s="1806"/>
    </row>
    <row r="467" spans="1:8">
      <c r="A467" s="1806"/>
      <c r="B467" s="1806"/>
      <c r="C467" s="1806"/>
      <c r="D467" s="1806"/>
      <c r="E467" s="1806"/>
      <c r="F467" s="1806"/>
      <c r="G467" s="1806"/>
      <c r="H467" s="1806"/>
    </row>
    <row r="468" spans="1:8">
      <c r="A468" s="1806"/>
      <c r="B468" s="1806"/>
      <c r="C468" s="1806"/>
      <c r="D468" s="1806"/>
      <c r="E468" s="1806"/>
      <c r="F468" s="1806"/>
      <c r="G468" s="1806"/>
      <c r="H468" s="1806"/>
    </row>
    <row r="469" spans="1:8">
      <c r="A469" s="1806"/>
      <c r="B469" s="1806"/>
      <c r="C469" s="1806"/>
      <c r="D469" s="1806"/>
      <c r="E469" s="1806"/>
      <c r="F469" s="1806"/>
      <c r="G469" s="1806"/>
      <c r="H469" s="1806"/>
    </row>
    <row r="470" spans="1:8">
      <c r="A470" s="1806"/>
      <c r="B470" s="1806"/>
      <c r="C470" s="1806"/>
      <c r="D470" s="1806"/>
      <c r="E470" s="1806"/>
      <c r="F470" s="1806"/>
      <c r="G470" s="1806"/>
      <c r="H470" s="1806"/>
    </row>
    <row r="471" spans="1:8">
      <c r="A471" s="1806"/>
      <c r="B471" s="1806"/>
      <c r="C471" s="1806"/>
      <c r="D471" s="1806"/>
      <c r="E471" s="1806"/>
      <c r="F471" s="1806"/>
      <c r="G471" s="1806"/>
      <c r="H471" s="1806"/>
    </row>
    <row r="472" spans="1:8">
      <c r="A472" s="1806"/>
      <c r="B472" s="1806"/>
      <c r="C472" s="1806"/>
      <c r="D472" s="1806"/>
      <c r="E472" s="1806"/>
      <c r="F472" s="1806"/>
      <c r="G472" s="1806"/>
      <c r="H472" s="1806"/>
    </row>
    <row r="473" spans="1:8">
      <c r="A473" s="1806"/>
      <c r="B473" s="1806"/>
      <c r="C473" s="1806"/>
      <c r="D473" s="1806"/>
      <c r="E473" s="1806"/>
      <c r="F473" s="1806"/>
      <c r="G473" s="1806"/>
      <c r="H473" s="1806"/>
    </row>
    <row r="474" spans="1:8">
      <c r="A474" s="1806"/>
      <c r="B474" s="1806"/>
      <c r="C474" s="1806"/>
      <c r="D474" s="1806"/>
      <c r="E474" s="1806"/>
      <c r="F474" s="1806"/>
      <c r="G474" s="1806"/>
      <c r="H474" s="1806"/>
    </row>
    <row r="475" spans="1:8">
      <c r="A475" s="1806"/>
      <c r="B475" s="1806"/>
      <c r="C475" s="1806"/>
      <c r="D475" s="1806"/>
      <c r="E475" s="1806"/>
      <c r="F475" s="1806"/>
      <c r="G475" s="1806"/>
      <c r="H475" s="1806"/>
    </row>
    <row r="476" spans="1:8">
      <c r="A476" s="1806"/>
      <c r="B476" s="1806"/>
      <c r="C476" s="1806"/>
      <c r="D476" s="1806"/>
      <c r="E476" s="1806"/>
      <c r="F476" s="1806"/>
      <c r="G476" s="1806"/>
      <c r="H476" s="1806"/>
    </row>
    <row r="477" spans="1:8">
      <c r="A477" s="1806"/>
      <c r="B477" s="1806"/>
      <c r="C477" s="1806"/>
      <c r="D477" s="1806"/>
      <c r="E477" s="1806"/>
      <c r="F477" s="1806"/>
      <c r="G477" s="1806"/>
      <c r="H477" s="1806"/>
    </row>
    <row r="478" spans="1:8">
      <c r="A478" s="1806"/>
      <c r="B478" s="1806"/>
      <c r="C478" s="1806"/>
      <c r="D478" s="1806"/>
      <c r="E478" s="1806"/>
      <c r="F478" s="1806"/>
      <c r="G478" s="1806"/>
      <c r="H478" s="1806"/>
    </row>
    <row r="479" spans="1:8">
      <c r="A479" s="1806"/>
      <c r="B479" s="1806"/>
      <c r="C479" s="1806"/>
      <c r="D479" s="1806"/>
      <c r="E479" s="1806"/>
      <c r="F479" s="1806"/>
      <c r="G479" s="1806"/>
      <c r="H479" s="1806"/>
    </row>
    <row r="480" spans="1:8">
      <c r="A480" s="1806"/>
      <c r="B480" s="1806"/>
      <c r="C480" s="1806"/>
      <c r="D480" s="1806"/>
      <c r="E480" s="1806"/>
      <c r="F480" s="1806"/>
      <c r="G480" s="1806"/>
      <c r="H480" s="1806"/>
    </row>
    <row r="481" spans="1:8">
      <c r="A481" s="1806"/>
      <c r="B481" s="1806"/>
      <c r="C481" s="1806"/>
      <c r="D481" s="1806"/>
      <c r="E481" s="1806"/>
      <c r="F481" s="1806"/>
      <c r="G481" s="1806"/>
      <c r="H481" s="1806"/>
    </row>
    <row r="482" spans="1:8">
      <c r="A482" s="1806"/>
      <c r="B482" s="1806"/>
      <c r="C482" s="1806"/>
      <c r="D482" s="1806"/>
      <c r="E482" s="1806"/>
      <c r="F482" s="1806"/>
      <c r="G482" s="1806"/>
      <c r="H482" s="1806"/>
    </row>
    <row r="483" spans="1:8">
      <c r="A483" s="1806"/>
      <c r="B483" s="1806"/>
      <c r="C483" s="1806"/>
      <c r="D483" s="1806"/>
      <c r="E483" s="1806"/>
      <c r="F483" s="1806"/>
      <c r="G483" s="1806"/>
      <c r="H483" s="1806"/>
    </row>
    <row r="484" spans="1:8">
      <c r="A484" s="1806"/>
      <c r="B484" s="1806"/>
      <c r="C484" s="1806"/>
      <c r="D484" s="1806"/>
      <c r="E484" s="1806"/>
      <c r="F484" s="1806"/>
      <c r="G484" s="1806"/>
      <c r="H484" s="1806"/>
    </row>
    <row r="485" spans="1:8">
      <c r="A485" s="1806"/>
      <c r="B485" s="1806"/>
      <c r="C485" s="1806"/>
      <c r="D485" s="1806"/>
      <c r="E485" s="1806"/>
      <c r="F485" s="1806"/>
      <c r="G485" s="1806"/>
      <c r="H485" s="1806"/>
    </row>
    <row r="486" spans="1:8">
      <c r="A486" s="1806"/>
      <c r="B486" s="1806"/>
      <c r="C486" s="1806"/>
      <c r="D486" s="1806"/>
      <c r="E486" s="1806"/>
      <c r="F486" s="1806"/>
      <c r="G486" s="1806"/>
      <c r="H486" s="1806"/>
    </row>
    <row r="487" spans="1:8">
      <c r="A487" s="1806"/>
      <c r="B487" s="1806"/>
      <c r="C487" s="1806"/>
      <c r="D487" s="1806"/>
      <c r="E487" s="1806"/>
      <c r="F487" s="1806"/>
      <c r="G487" s="1806"/>
      <c r="H487" s="1806"/>
    </row>
    <row r="488" spans="1:8">
      <c r="A488" s="1806"/>
      <c r="B488" s="1806"/>
      <c r="C488" s="1806"/>
      <c r="D488" s="1806"/>
      <c r="E488" s="1806"/>
      <c r="F488" s="1806"/>
      <c r="G488" s="1806"/>
      <c r="H488" s="1806"/>
    </row>
    <row r="489" spans="1:8">
      <c r="A489" s="1806"/>
      <c r="B489" s="1806"/>
      <c r="C489" s="1806"/>
      <c r="D489" s="1806"/>
      <c r="E489" s="1806"/>
      <c r="F489" s="1806"/>
      <c r="G489" s="1806"/>
      <c r="H489" s="1806"/>
    </row>
    <row r="490" spans="1:8">
      <c r="A490" s="1806"/>
      <c r="B490" s="1806"/>
      <c r="C490" s="1806"/>
      <c r="D490" s="1806"/>
      <c r="E490" s="1806"/>
      <c r="F490" s="1806"/>
      <c r="G490" s="1806"/>
      <c r="H490" s="1806"/>
    </row>
    <row r="491" spans="1:8">
      <c r="A491" s="1806"/>
      <c r="B491" s="1806"/>
      <c r="C491" s="1806"/>
      <c r="D491" s="1806"/>
      <c r="E491" s="1806"/>
      <c r="F491" s="1806"/>
      <c r="G491" s="1806"/>
      <c r="H491" s="1806"/>
    </row>
    <row r="492" spans="1:8">
      <c r="A492" s="1806"/>
      <c r="B492" s="1806"/>
      <c r="C492" s="1806"/>
      <c r="D492" s="1806"/>
      <c r="E492" s="1806"/>
      <c r="F492" s="1806"/>
      <c r="G492" s="1806"/>
      <c r="H492" s="1806"/>
    </row>
    <row r="493" spans="1:8">
      <c r="A493" s="1806"/>
      <c r="B493" s="1806"/>
      <c r="C493" s="1806"/>
      <c r="D493" s="1806"/>
      <c r="E493" s="1806"/>
      <c r="F493" s="1806"/>
      <c r="G493" s="1806"/>
      <c r="H493" s="1806"/>
    </row>
    <row r="494" spans="1:8">
      <c r="A494" s="1806"/>
      <c r="B494" s="1806"/>
      <c r="C494" s="1806"/>
      <c r="D494" s="1806"/>
      <c r="E494" s="1806"/>
      <c r="F494" s="1806"/>
      <c r="G494" s="1806"/>
      <c r="H494" s="1806"/>
    </row>
    <row r="495" spans="1:8">
      <c r="A495" s="1806"/>
      <c r="B495" s="1806"/>
      <c r="C495" s="1806"/>
      <c r="D495" s="1806"/>
      <c r="E495" s="1806"/>
      <c r="F495" s="1806"/>
      <c r="G495" s="1806"/>
      <c r="H495" s="1806"/>
    </row>
    <row r="496" spans="1:8">
      <c r="A496" s="1806"/>
      <c r="B496" s="1806"/>
      <c r="C496" s="1806"/>
      <c r="D496" s="1806"/>
      <c r="E496" s="1806"/>
      <c r="F496" s="1806"/>
      <c r="G496" s="1806"/>
      <c r="H496" s="1806"/>
    </row>
    <row r="497" spans="1:8">
      <c r="A497" s="1806"/>
      <c r="B497" s="1806"/>
      <c r="C497" s="1806"/>
      <c r="D497" s="1806"/>
      <c r="E497" s="1806"/>
      <c r="F497" s="1806"/>
      <c r="G497" s="1806"/>
      <c r="H497" s="1806"/>
    </row>
    <row r="498" spans="1:8">
      <c r="A498" s="1806"/>
      <c r="B498" s="1806"/>
      <c r="C498" s="1806"/>
      <c r="D498" s="1806"/>
      <c r="E498" s="1806"/>
      <c r="F498" s="1806"/>
      <c r="G498" s="1806"/>
      <c r="H498" s="1806"/>
    </row>
    <row r="499" spans="1:8">
      <c r="A499" s="1806"/>
      <c r="B499" s="1806"/>
      <c r="C499" s="1806"/>
      <c r="D499" s="1806"/>
      <c r="E499" s="1806"/>
      <c r="F499" s="1806"/>
      <c r="G499" s="1806"/>
      <c r="H499" s="1806"/>
    </row>
    <row r="500" spans="1:8">
      <c r="A500" s="1806"/>
      <c r="B500" s="1806"/>
      <c r="C500" s="1806"/>
      <c r="D500" s="1806"/>
      <c r="E500" s="1806"/>
      <c r="F500" s="1806"/>
      <c r="G500" s="1806"/>
      <c r="H500" s="1806"/>
    </row>
    <row r="501" spans="1:8">
      <c r="A501" s="1806"/>
      <c r="B501" s="1806"/>
      <c r="C501" s="1806"/>
      <c r="D501" s="1806"/>
      <c r="E501" s="1806"/>
      <c r="F501" s="1806"/>
      <c r="G501" s="1806"/>
      <c r="H501" s="1806"/>
    </row>
    <row r="502" spans="1:8">
      <c r="A502" s="1806"/>
      <c r="B502" s="1806"/>
      <c r="C502" s="1806"/>
      <c r="D502" s="1806"/>
      <c r="E502" s="1806"/>
      <c r="F502" s="1806"/>
      <c r="G502" s="1806"/>
      <c r="H502" s="1806"/>
    </row>
    <row r="503" spans="1:8">
      <c r="A503" s="1806"/>
      <c r="B503" s="1806"/>
      <c r="C503" s="1806"/>
      <c r="D503" s="1806"/>
      <c r="E503" s="1806"/>
      <c r="F503" s="1806"/>
      <c r="G503" s="1806"/>
      <c r="H503" s="1806"/>
    </row>
    <row r="504" spans="1:8">
      <c r="A504" s="1806"/>
      <c r="B504" s="1806"/>
      <c r="C504" s="1806"/>
      <c r="D504" s="1806"/>
      <c r="E504" s="1806"/>
      <c r="F504" s="1806"/>
      <c r="G504" s="1806"/>
      <c r="H504" s="1806"/>
    </row>
    <row r="505" spans="1:8">
      <c r="A505" s="1806"/>
      <c r="B505" s="1806"/>
      <c r="C505" s="1806"/>
      <c r="D505" s="1806"/>
      <c r="E505" s="1806"/>
      <c r="F505" s="1806"/>
      <c r="G505" s="1806"/>
      <c r="H505" s="1806"/>
    </row>
    <row r="506" spans="1:8">
      <c r="A506" s="1806"/>
      <c r="B506" s="1806"/>
      <c r="C506" s="1806"/>
      <c r="D506" s="1806"/>
      <c r="E506" s="1806"/>
      <c r="F506" s="1806"/>
      <c r="G506" s="1806"/>
      <c r="H506" s="1806"/>
    </row>
    <row r="507" spans="1:8">
      <c r="A507" s="1806"/>
      <c r="B507" s="1806"/>
      <c r="C507" s="1806"/>
      <c r="D507" s="1806"/>
      <c r="E507" s="1806"/>
      <c r="F507" s="1806"/>
      <c r="G507" s="1806"/>
      <c r="H507" s="1806"/>
    </row>
    <row r="508" spans="1:8">
      <c r="A508" s="1806"/>
      <c r="B508" s="1806"/>
      <c r="C508" s="1806"/>
      <c r="D508" s="1806"/>
      <c r="E508" s="1806"/>
      <c r="F508" s="1806"/>
      <c r="G508" s="1806"/>
      <c r="H508" s="1806"/>
    </row>
    <row r="509" spans="1:8">
      <c r="A509" s="1806"/>
      <c r="B509" s="1806"/>
      <c r="C509" s="1806"/>
      <c r="D509" s="1806"/>
      <c r="E509" s="1806"/>
      <c r="F509" s="1806"/>
      <c r="G509" s="1806"/>
      <c r="H509" s="1806"/>
    </row>
    <row r="510" spans="1:8">
      <c r="A510" s="1806"/>
      <c r="B510" s="1806"/>
      <c r="C510" s="1806"/>
      <c r="D510" s="1806"/>
      <c r="E510" s="1806"/>
      <c r="F510" s="1806"/>
      <c r="G510" s="1806"/>
      <c r="H510" s="1806"/>
    </row>
    <row r="511" spans="1:8">
      <c r="A511" s="1806"/>
      <c r="B511" s="1806"/>
      <c r="C511" s="1806"/>
      <c r="D511" s="1806"/>
      <c r="E511" s="1806"/>
      <c r="F511" s="1806"/>
      <c r="G511" s="1806"/>
      <c r="H511" s="1806"/>
    </row>
    <row r="512" spans="1:8">
      <c r="A512" s="1806"/>
      <c r="B512" s="1806"/>
      <c r="C512" s="1806"/>
      <c r="D512" s="1806"/>
      <c r="E512" s="1806"/>
      <c r="F512" s="1806"/>
      <c r="G512" s="1806"/>
      <c r="H512" s="1806"/>
    </row>
    <row r="513" spans="1:8">
      <c r="A513" s="1806"/>
      <c r="B513" s="1806"/>
      <c r="C513" s="1806"/>
      <c r="D513" s="1806"/>
      <c r="E513" s="1806"/>
      <c r="F513" s="1806"/>
      <c r="G513" s="1806"/>
      <c r="H513" s="1806"/>
    </row>
    <row r="514" spans="1:8">
      <c r="A514" s="1806"/>
      <c r="B514" s="1806"/>
      <c r="C514" s="1806"/>
      <c r="D514" s="1806"/>
      <c r="E514" s="1806"/>
      <c r="F514" s="1806"/>
      <c r="G514" s="1806"/>
      <c r="H514" s="1806"/>
    </row>
    <row r="515" spans="1:8">
      <c r="A515" s="1806"/>
      <c r="B515" s="1806"/>
      <c r="C515" s="1806"/>
      <c r="D515" s="1806"/>
      <c r="E515" s="1806"/>
      <c r="F515" s="1806"/>
      <c r="G515" s="1806"/>
      <c r="H515" s="1806"/>
    </row>
    <row r="516" spans="1:8">
      <c r="A516" s="1806"/>
      <c r="B516" s="1806"/>
      <c r="C516" s="1806"/>
      <c r="D516" s="1806"/>
      <c r="E516" s="1806"/>
      <c r="F516" s="1806"/>
      <c r="G516" s="1806"/>
      <c r="H516" s="1806"/>
    </row>
    <row r="517" spans="1:8">
      <c r="A517" s="1806"/>
      <c r="B517" s="1806"/>
      <c r="C517" s="1806"/>
      <c r="D517" s="1806"/>
      <c r="E517" s="1806"/>
      <c r="F517" s="1806"/>
      <c r="G517" s="1806"/>
      <c r="H517" s="1806"/>
    </row>
    <row r="518" spans="1:8">
      <c r="A518" s="1806"/>
      <c r="B518" s="1806"/>
      <c r="C518" s="1806"/>
      <c r="D518" s="1806"/>
      <c r="E518" s="1806"/>
      <c r="F518" s="1806"/>
      <c r="G518" s="1806"/>
      <c r="H518" s="1806"/>
    </row>
    <row r="519" spans="1:8">
      <c r="A519" s="1806"/>
      <c r="B519" s="1806"/>
      <c r="C519" s="1806"/>
      <c r="D519" s="1806"/>
      <c r="E519" s="1806"/>
      <c r="F519" s="1806"/>
      <c r="G519" s="1806"/>
      <c r="H519" s="1806"/>
    </row>
    <row r="520" spans="1:8">
      <c r="A520" s="1806"/>
      <c r="B520" s="1806"/>
      <c r="C520" s="1806"/>
      <c r="D520" s="1806"/>
      <c r="E520" s="1806"/>
      <c r="F520" s="1806"/>
      <c r="G520" s="1806"/>
      <c r="H520" s="1806"/>
    </row>
    <row r="521" spans="1:8">
      <c r="A521" s="1806"/>
      <c r="B521" s="1806"/>
      <c r="C521" s="1806"/>
      <c r="D521" s="1806"/>
      <c r="E521" s="1806"/>
      <c r="F521" s="1806"/>
      <c r="G521" s="1806"/>
      <c r="H521" s="1806"/>
    </row>
    <row r="522" spans="1:8">
      <c r="A522" s="1806"/>
      <c r="B522" s="1806"/>
      <c r="C522" s="1806"/>
      <c r="D522" s="1806"/>
      <c r="E522" s="1806"/>
      <c r="F522" s="1806"/>
      <c r="G522" s="1806"/>
      <c r="H522" s="1806"/>
    </row>
    <row r="523" spans="1:8">
      <c r="A523" s="1806"/>
      <c r="B523" s="1806"/>
      <c r="C523" s="1806"/>
      <c r="D523" s="1806"/>
      <c r="E523" s="1806"/>
      <c r="F523" s="1806"/>
      <c r="G523" s="1806"/>
      <c r="H523" s="1806"/>
    </row>
    <row r="524" spans="1:8">
      <c r="A524" s="1806"/>
      <c r="B524" s="1806"/>
      <c r="C524" s="1806"/>
      <c r="D524" s="1806"/>
      <c r="E524" s="1806"/>
      <c r="F524" s="1806"/>
      <c r="G524" s="1806"/>
      <c r="H524" s="1806"/>
    </row>
    <row r="525" spans="1:8">
      <c r="A525" s="1806"/>
      <c r="B525" s="1806"/>
      <c r="C525" s="1806"/>
      <c r="D525" s="1806"/>
      <c r="E525" s="1806"/>
      <c r="F525" s="1806"/>
      <c r="G525" s="1806"/>
      <c r="H525" s="1806"/>
    </row>
    <row r="526" spans="1:8">
      <c r="A526" s="1806"/>
      <c r="B526" s="1806"/>
      <c r="C526" s="1806"/>
      <c r="D526" s="1806"/>
      <c r="E526" s="1806"/>
      <c r="F526" s="1806"/>
      <c r="G526" s="1806"/>
      <c r="H526" s="1806"/>
    </row>
    <row r="527" spans="1:8">
      <c r="A527" s="1806"/>
      <c r="B527" s="1806"/>
      <c r="C527" s="1806"/>
      <c r="D527" s="1806"/>
      <c r="E527" s="1806"/>
      <c r="F527" s="1806"/>
      <c r="G527" s="1806"/>
      <c r="H527" s="1806"/>
    </row>
    <row r="528" spans="1:8">
      <c r="A528" s="1806"/>
      <c r="B528" s="1806"/>
      <c r="C528" s="1806"/>
      <c r="D528" s="1806"/>
      <c r="E528" s="1806"/>
      <c r="F528" s="1806"/>
      <c r="G528" s="1806"/>
      <c r="H528" s="1806"/>
    </row>
    <row r="529" spans="1:8">
      <c r="A529" s="1806"/>
      <c r="B529" s="1806"/>
      <c r="C529" s="1806"/>
      <c r="D529" s="1806"/>
      <c r="E529" s="1806"/>
      <c r="F529" s="1806"/>
      <c r="G529" s="1806"/>
      <c r="H529" s="1806"/>
    </row>
    <row r="530" spans="1:8">
      <c r="A530" s="1806"/>
      <c r="B530" s="1806"/>
      <c r="C530" s="1806"/>
      <c r="D530" s="1806"/>
      <c r="E530" s="1806"/>
      <c r="F530" s="1806"/>
      <c r="G530" s="1806"/>
      <c r="H530" s="1806"/>
    </row>
    <row r="531" spans="1:8">
      <c r="A531" s="1806"/>
      <c r="B531" s="1806"/>
      <c r="C531" s="1806"/>
      <c r="D531" s="1806"/>
      <c r="E531" s="1806"/>
      <c r="F531" s="1806"/>
      <c r="G531" s="1806"/>
      <c r="H531" s="1806"/>
    </row>
    <row r="532" spans="1:8">
      <c r="A532" s="1806"/>
      <c r="B532" s="1806"/>
      <c r="C532" s="1806"/>
      <c r="D532" s="1806"/>
      <c r="E532" s="1806"/>
      <c r="F532" s="1806"/>
      <c r="G532" s="1806"/>
      <c r="H532" s="1806"/>
    </row>
    <row r="533" spans="1:8">
      <c r="A533" s="1806"/>
      <c r="B533" s="1806"/>
      <c r="C533" s="1806"/>
      <c r="D533" s="1806"/>
      <c r="E533" s="1806"/>
      <c r="F533" s="1806"/>
      <c r="G533" s="1806"/>
      <c r="H533" s="1806"/>
    </row>
    <row r="534" spans="1:8">
      <c r="A534" s="1806"/>
      <c r="B534" s="1806"/>
      <c r="C534" s="1806"/>
      <c r="D534" s="1806"/>
      <c r="E534" s="1806"/>
      <c r="F534" s="1806"/>
      <c r="G534" s="1806"/>
      <c r="H534" s="1806"/>
    </row>
    <row r="535" spans="1:8">
      <c r="A535" s="1806"/>
      <c r="B535" s="1806"/>
      <c r="C535" s="1806"/>
      <c r="D535" s="1806"/>
      <c r="E535" s="1806"/>
      <c r="F535" s="1806"/>
      <c r="G535" s="1806"/>
      <c r="H535" s="1806"/>
    </row>
    <row r="536" spans="1:8">
      <c r="A536" s="1806"/>
      <c r="B536" s="1806"/>
      <c r="C536" s="1806"/>
      <c r="D536" s="1806"/>
      <c r="E536" s="1806"/>
      <c r="F536" s="1806"/>
      <c r="G536" s="1806"/>
      <c r="H536" s="1806"/>
    </row>
    <row r="537" spans="1:8">
      <c r="A537" s="1806"/>
      <c r="B537" s="1806"/>
      <c r="C537" s="1806"/>
      <c r="D537" s="1806"/>
      <c r="E537" s="1806"/>
      <c r="F537" s="1806"/>
      <c r="G537" s="1806"/>
      <c r="H537" s="1806"/>
    </row>
    <row r="538" spans="1:8">
      <c r="A538" s="1806"/>
      <c r="B538" s="1806"/>
      <c r="C538" s="1806"/>
      <c r="D538" s="1806"/>
      <c r="E538" s="1806"/>
      <c r="F538" s="1806"/>
      <c r="G538" s="1806"/>
      <c r="H538" s="1806"/>
    </row>
    <row r="539" spans="1:8">
      <c r="A539" s="1806"/>
      <c r="B539" s="1806"/>
      <c r="C539" s="1806"/>
      <c r="D539" s="1806"/>
      <c r="E539" s="1806"/>
      <c r="F539" s="1806"/>
      <c r="G539" s="1806"/>
      <c r="H539" s="1806"/>
    </row>
    <row r="540" spans="1:8">
      <c r="A540" s="1806"/>
      <c r="B540" s="1806"/>
      <c r="C540" s="1806"/>
      <c r="D540" s="1806"/>
      <c r="E540" s="1806"/>
      <c r="F540" s="1806"/>
      <c r="G540" s="1806"/>
      <c r="H540" s="1806"/>
    </row>
    <row r="541" spans="1:8">
      <c r="A541" s="1806"/>
      <c r="B541" s="1806"/>
      <c r="C541" s="1806"/>
      <c r="D541" s="1806"/>
      <c r="E541" s="1806"/>
      <c r="F541" s="1806"/>
      <c r="G541" s="1806"/>
      <c r="H541" s="1806"/>
    </row>
    <row r="542" spans="1:8">
      <c r="A542" s="1806"/>
      <c r="B542" s="1806"/>
      <c r="C542" s="1806"/>
      <c r="D542" s="1806"/>
      <c r="E542" s="1806"/>
      <c r="F542" s="1806"/>
      <c r="G542" s="1806"/>
      <c r="H542" s="1806"/>
    </row>
    <row r="543" spans="1:8">
      <c r="A543" s="1806"/>
      <c r="B543" s="1806"/>
      <c r="C543" s="1806"/>
      <c r="D543" s="1806"/>
      <c r="E543" s="1806"/>
      <c r="F543" s="1806"/>
      <c r="G543" s="1806"/>
      <c r="H543" s="1806"/>
    </row>
    <row r="544" spans="1:8">
      <c r="A544" s="1806"/>
      <c r="B544" s="1806"/>
      <c r="C544" s="1806"/>
      <c r="D544" s="1806"/>
      <c r="E544" s="1806"/>
      <c r="F544" s="1806"/>
      <c r="G544" s="1806"/>
      <c r="H544" s="1806"/>
    </row>
    <row r="545" spans="1:8">
      <c r="A545" s="1806"/>
      <c r="B545" s="1806"/>
      <c r="C545" s="1806"/>
      <c r="D545" s="1806"/>
      <c r="E545" s="1806"/>
      <c r="F545" s="1806"/>
      <c r="G545" s="1806"/>
      <c r="H545" s="1806"/>
    </row>
    <row r="546" spans="1:8">
      <c r="A546" s="1806"/>
      <c r="B546" s="1806"/>
      <c r="C546" s="1806"/>
      <c r="D546" s="1806"/>
      <c r="E546" s="1806"/>
      <c r="F546" s="1806"/>
      <c r="G546" s="1806"/>
      <c r="H546" s="1806"/>
    </row>
    <row r="547" spans="1:8">
      <c r="A547" s="1806"/>
      <c r="B547" s="1806"/>
      <c r="C547" s="1806"/>
      <c r="D547" s="1806"/>
      <c r="E547" s="1806"/>
      <c r="F547" s="1806"/>
      <c r="G547" s="1806"/>
      <c r="H547" s="1806"/>
    </row>
    <row r="548" spans="1:8">
      <c r="A548" s="1806"/>
      <c r="B548" s="1806"/>
      <c r="C548" s="1806"/>
      <c r="D548" s="1806"/>
      <c r="E548" s="1806"/>
      <c r="F548" s="1806"/>
      <c r="G548" s="1806"/>
      <c r="H548" s="1806"/>
    </row>
    <row r="549" spans="1:8">
      <c r="A549" s="1806"/>
      <c r="B549" s="1806"/>
      <c r="C549" s="1806"/>
      <c r="D549" s="1806"/>
      <c r="E549" s="1806"/>
      <c r="F549" s="1806"/>
      <c r="G549" s="1806"/>
      <c r="H549" s="1806"/>
    </row>
    <row r="550" spans="1:8">
      <c r="A550" s="1806"/>
      <c r="B550" s="1806"/>
      <c r="C550" s="1806"/>
      <c r="D550" s="1806"/>
      <c r="E550" s="1806"/>
      <c r="F550" s="1806"/>
      <c r="G550" s="1806"/>
      <c r="H550" s="1806"/>
    </row>
    <row r="551" spans="1:8">
      <c r="A551" s="1806"/>
      <c r="B551" s="1806"/>
      <c r="C551" s="1806"/>
      <c r="D551" s="1806"/>
      <c r="E551" s="1806"/>
      <c r="F551" s="1806"/>
      <c r="G551" s="1806"/>
      <c r="H551" s="1806"/>
    </row>
    <row r="552" spans="1:8">
      <c r="A552" s="1806"/>
      <c r="B552" s="1806"/>
      <c r="C552" s="1806"/>
      <c r="D552" s="1806"/>
      <c r="E552" s="1806"/>
      <c r="F552" s="1806"/>
      <c r="G552" s="1806"/>
      <c r="H552" s="1806"/>
    </row>
    <row r="553" spans="1:8">
      <c r="A553" s="1806"/>
      <c r="B553" s="1806"/>
      <c r="C553" s="1806"/>
      <c r="D553" s="1806"/>
      <c r="E553" s="1806"/>
      <c r="F553" s="1806"/>
      <c r="G553" s="1806"/>
      <c r="H553" s="1806"/>
    </row>
    <row r="554" spans="1:8">
      <c r="A554" s="1806"/>
      <c r="B554" s="1806"/>
      <c r="C554" s="1806"/>
      <c r="D554" s="1806"/>
      <c r="E554" s="1806"/>
      <c r="F554" s="1806"/>
      <c r="G554" s="1806"/>
      <c r="H554" s="1806"/>
    </row>
    <row r="555" spans="1:8">
      <c r="A555" s="1806"/>
      <c r="B555" s="1806"/>
      <c r="C555" s="1806"/>
      <c r="D555" s="1806"/>
      <c r="E555" s="1806"/>
      <c r="F555" s="1806"/>
      <c r="G555" s="1806"/>
      <c r="H555" s="1806"/>
    </row>
    <row r="556" spans="1:8">
      <c r="A556" s="1806"/>
      <c r="B556" s="1806"/>
      <c r="C556" s="1806"/>
      <c r="D556" s="1806"/>
      <c r="E556" s="1806"/>
      <c r="F556" s="1806"/>
      <c r="G556" s="1806"/>
      <c r="H556" s="1806"/>
    </row>
    <row r="557" spans="1:8">
      <c r="A557" s="1806"/>
      <c r="B557" s="1806"/>
      <c r="C557" s="1806"/>
      <c r="D557" s="1806"/>
      <c r="E557" s="1806"/>
      <c r="F557" s="1806"/>
      <c r="G557" s="1806"/>
      <c r="H557" s="1806"/>
    </row>
    <row r="558" spans="1:8">
      <c r="A558" s="1806"/>
      <c r="B558" s="1806"/>
      <c r="C558" s="1806"/>
      <c r="D558" s="1806"/>
      <c r="E558" s="1806"/>
      <c r="F558" s="1806"/>
      <c r="G558" s="1806"/>
      <c r="H558" s="1806"/>
    </row>
    <row r="559" spans="1:8">
      <c r="A559" s="1806"/>
      <c r="B559" s="1806"/>
      <c r="C559" s="1806"/>
      <c r="D559" s="1806"/>
      <c r="E559" s="1806"/>
      <c r="F559" s="1806"/>
      <c r="G559" s="1806"/>
      <c r="H559" s="1806"/>
    </row>
    <row r="560" spans="1:8">
      <c r="A560" s="1806"/>
      <c r="B560" s="1806"/>
      <c r="C560" s="1806"/>
      <c r="D560" s="1806"/>
      <c r="E560" s="1806"/>
      <c r="F560" s="1806"/>
      <c r="G560" s="1806"/>
      <c r="H560" s="1806"/>
    </row>
    <row r="561" spans="1:8">
      <c r="A561" s="1806"/>
      <c r="B561" s="1806"/>
      <c r="C561" s="1806"/>
      <c r="D561" s="1806"/>
      <c r="E561" s="1806"/>
      <c r="F561" s="1806"/>
      <c r="G561" s="1806"/>
      <c r="H561" s="1806"/>
    </row>
    <row r="562" spans="1:8">
      <c r="A562" s="1806"/>
      <c r="B562" s="1806"/>
      <c r="C562" s="1806"/>
      <c r="D562" s="1806"/>
      <c r="E562" s="1806"/>
      <c r="F562" s="1806"/>
      <c r="G562" s="1806"/>
      <c r="H562" s="1806"/>
    </row>
    <row r="563" spans="1:8">
      <c r="A563" s="1806"/>
      <c r="B563" s="1806"/>
      <c r="C563" s="1806"/>
      <c r="D563" s="1806"/>
      <c r="E563" s="1806"/>
      <c r="F563" s="1806"/>
      <c r="G563" s="1806"/>
      <c r="H563" s="1806"/>
    </row>
    <row r="564" spans="1:8">
      <c r="A564" s="1806"/>
      <c r="B564" s="1806"/>
      <c r="C564" s="1806"/>
      <c r="D564" s="1806"/>
      <c r="E564" s="1806"/>
      <c r="F564" s="1806"/>
      <c r="G564" s="1806"/>
      <c r="H564" s="1806"/>
    </row>
    <row r="565" spans="1:8">
      <c r="A565" s="1806"/>
      <c r="B565" s="1806"/>
      <c r="C565" s="1806"/>
      <c r="D565" s="1806"/>
      <c r="E565" s="1806"/>
      <c r="F565" s="1806"/>
      <c r="G565" s="1806"/>
      <c r="H565" s="1806"/>
    </row>
    <row r="566" spans="1:8">
      <c r="A566" s="1806"/>
      <c r="B566" s="1806"/>
      <c r="C566" s="1806"/>
      <c r="D566" s="1806"/>
      <c r="E566" s="1806"/>
      <c r="F566" s="1806"/>
      <c r="G566" s="1806"/>
      <c r="H566" s="1806"/>
    </row>
    <row r="567" spans="1:8">
      <c r="A567" s="1806"/>
      <c r="B567" s="1806"/>
      <c r="C567" s="1806"/>
      <c r="D567" s="1806"/>
      <c r="E567" s="1806"/>
      <c r="F567" s="1806"/>
      <c r="G567" s="1806"/>
      <c r="H567" s="1806"/>
    </row>
    <row r="568" spans="1:8">
      <c r="A568" s="1806"/>
      <c r="B568" s="1806"/>
      <c r="C568" s="1806"/>
      <c r="D568" s="1806"/>
      <c r="E568" s="1806"/>
      <c r="F568" s="1806"/>
      <c r="G568" s="1806"/>
      <c r="H568" s="1806"/>
    </row>
    <row r="569" spans="1:8">
      <c r="A569" s="1806"/>
      <c r="B569" s="1806"/>
      <c r="C569" s="1806"/>
      <c r="D569" s="1806"/>
      <c r="E569" s="1806"/>
      <c r="F569" s="1806"/>
      <c r="G569" s="1806"/>
      <c r="H569" s="1806"/>
    </row>
    <row r="570" spans="1:8">
      <c r="A570" s="1806"/>
      <c r="B570" s="1806"/>
      <c r="C570" s="1806"/>
      <c r="D570" s="1806"/>
      <c r="E570" s="1806"/>
      <c r="F570" s="1806"/>
      <c r="G570" s="1806"/>
      <c r="H570" s="1806"/>
    </row>
    <row r="571" spans="1:8">
      <c r="A571" s="1806"/>
      <c r="B571" s="1806"/>
      <c r="C571" s="1806"/>
      <c r="D571" s="1806"/>
      <c r="E571" s="1806"/>
      <c r="F571" s="1806"/>
      <c r="G571" s="1806"/>
      <c r="H571" s="1806"/>
    </row>
    <row r="572" spans="1:8">
      <c r="A572" s="1806"/>
      <c r="B572" s="1806"/>
      <c r="C572" s="1806"/>
      <c r="D572" s="1806"/>
      <c r="E572" s="1806"/>
      <c r="F572" s="1806"/>
      <c r="G572" s="1806"/>
      <c r="H572" s="1806"/>
    </row>
    <row r="573" spans="1:8">
      <c r="A573" s="1806"/>
      <c r="B573" s="1806"/>
      <c r="C573" s="1806"/>
      <c r="D573" s="1806"/>
      <c r="E573" s="1806"/>
      <c r="F573" s="1806"/>
      <c r="G573" s="1806"/>
      <c r="H573" s="1806"/>
    </row>
    <row r="574" spans="1:8">
      <c r="A574" s="1806"/>
      <c r="B574" s="1806"/>
      <c r="C574" s="1806"/>
      <c r="D574" s="1806"/>
      <c r="E574" s="1806"/>
      <c r="F574" s="1806"/>
      <c r="G574" s="1806"/>
      <c r="H574" s="1806"/>
    </row>
    <row r="575" spans="1:8">
      <c r="A575" s="1806"/>
      <c r="B575" s="1806"/>
      <c r="C575" s="1806"/>
      <c r="D575" s="1806"/>
      <c r="E575" s="1806"/>
      <c r="F575" s="1806"/>
      <c r="G575" s="1806"/>
      <c r="H575" s="1806"/>
    </row>
    <row r="576" spans="1:8">
      <c r="A576" s="1806"/>
      <c r="B576" s="1806"/>
      <c r="C576" s="1806"/>
      <c r="D576" s="1806"/>
      <c r="E576" s="1806"/>
      <c r="F576" s="1806"/>
      <c r="G576" s="1806"/>
      <c r="H576" s="1806"/>
    </row>
    <row r="577" spans="1:8">
      <c r="A577" s="1806"/>
      <c r="B577" s="1806"/>
      <c r="C577" s="1806"/>
      <c r="D577" s="1806"/>
      <c r="E577" s="1806"/>
      <c r="F577" s="1806"/>
      <c r="G577" s="1806"/>
      <c r="H577" s="1806"/>
    </row>
    <row r="578" spans="1:8">
      <c r="A578" s="1806"/>
      <c r="B578" s="1806"/>
      <c r="C578" s="1806"/>
      <c r="D578" s="1806"/>
      <c r="E578" s="1806"/>
      <c r="F578" s="1806"/>
      <c r="G578" s="1806"/>
      <c r="H578" s="1806"/>
    </row>
    <row r="579" spans="1:8">
      <c r="A579" s="1806"/>
      <c r="B579" s="1806"/>
      <c r="C579" s="1806"/>
      <c r="D579" s="1806"/>
      <c r="E579" s="1806"/>
      <c r="F579" s="1806"/>
      <c r="G579" s="1806"/>
      <c r="H579" s="1806"/>
    </row>
    <row r="580" spans="1:8">
      <c r="A580" s="1806"/>
      <c r="B580" s="1806"/>
      <c r="C580" s="1806"/>
      <c r="D580" s="1806"/>
      <c r="E580" s="1806"/>
      <c r="F580" s="1806"/>
      <c r="G580" s="1806"/>
      <c r="H580" s="1806"/>
    </row>
    <row r="581" spans="1:8">
      <c r="A581" s="1806"/>
      <c r="B581" s="1806"/>
      <c r="C581" s="1806"/>
      <c r="D581" s="1806"/>
      <c r="E581" s="1806"/>
      <c r="F581" s="1806"/>
      <c r="G581" s="1806"/>
      <c r="H581" s="1806"/>
    </row>
    <row r="582" spans="1:8">
      <c r="A582" s="1806"/>
      <c r="B582" s="1806"/>
      <c r="C582" s="1806"/>
      <c r="D582" s="1806"/>
      <c r="E582" s="1806"/>
      <c r="F582" s="1806"/>
      <c r="G582" s="1806"/>
      <c r="H582" s="1806"/>
    </row>
    <row r="583" spans="1:8">
      <c r="A583" s="1806"/>
      <c r="B583" s="1806"/>
      <c r="C583" s="1806"/>
      <c r="D583" s="1806"/>
      <c r="E583" s="1806"/>
      <c r="F583" s="1806"/>
      <c r="G583" s="1806"/>
      <c r="H583" s="1806"/>
    </row>
    <row r="584" spans="1:8">
      <c r="A584" s="1806"/>
      <c r="B584" s="1806"/>
      <c r="C584" s="1806"/>
      <c r="D584" s="1806"/>
      <c r="E584" s="1806"/>
      <c r="F584" s="1806"/>
      <c r="G584" s="1806"/>
      <c r="H584" s="1806"/>
    </row>
    <row r="585" spans="1:8">
      <c r="A585" s="1806"/>
      <c r="B585" s="1806"/>
      <c r="C585" s="1806"/>
      <c r="D585" s="1806"/>
      <c r="E585" s="1806"/>
      <c r="F585" s="1806"/>
      <c r="G585" s="1806"/>
      <c r="H585" s="1806"/>
    </row>
    <row r="586" spans="1:8">
      <c r="A586" s="1806"/>
      <c r="B586" s="1806"/>
      <c r="C586" s="1806"/>
      <c r="D586" s="1806"/>
      <c r="E586" s="1806"/>
      <c r="F586" s="1806"/>
      <c r="G586" s="1806"/>
      <c r="H586" s="1806"/>
    </row>
    <row r="587" spans="1:8">
      <c r="A587" s="1806"/>
      <c r="B587" s="1806"/>
      <c r="C587" s="1806"/>
      <c r="D587" s="1806"/>
      <c r="E587" s="1806"/>
      <c r="F587" s="1806"/>
      <c r="G587" s="1806"/>
      <c r="H587" s="1806"/>
    </row>
    <row r="588" spans="1:8">
      <c r="A588" s="1806"/>
      <c r="B588" s="1806"/>
      <c r="C588" s="1806"/>
      <c r="D588" s="1806"/>
      <c r="E588" s="1806"/>
      <c r="F588" s="1806"/>
      <c r="G588" s="1806"/>
      <c r="H588" s="1806"/>
    </row>
    <row r="589" spans="1:8">
      <c r="A589" s="1806"/>
      <c r="B589" s="1806"/>
      <c r="C589" s="1806"/>
      <c r="D589" s="1806"/>
      <c r="E589" s="1806"/>
      <c r="F589" s="1806"/>
      <c r="G589" s="1806"/>
      <c r="H589" s="1806"/>
    </row>
    <row r="590" spans="1:8">
      <c r="A590" s="1806"/>
      <c r="B590" s="1806"/>
      <c r="C590" s="1806"/>
      <c r="D590" s="1806"/>
      <c r="E590" s="1806"/>
      <c r="F590" s="1806"/>
      <c r="G590" s="1806"/>
      <c r="H590" s="1806"/>
    </row>
    <row r="591" spans="1:8">
      <c r="A591" s="1806"/>
      <c r="B591" s="1806"/>
      <c r="C591" s="1806"/>
      <c r="D591" s="1806"/>
      <c r="E591" s="1806"/>
      <c r="F591" s="1806"/>
      <c r="G591" s="1806"/>
      <c r="H591" s="1806"/>
    </row>
    <row r="592" spans="1:8">
      <c r="A592" s="1806"/>
      <c r="B592" s="1806"/>
      <c r="C592" s="1806"/>
      <c r="D592" s="1806"/>
      <c r="E592" s="1806"/>
      <c r="F592" s="1806"/>
      <c r="G592" s="1806"/>
      <c r="H592" s="1806"/>
    </row>
    <row r="593" spans="1:8">
      <c r="A593" s="1806"/>
      <c r="B593" s="1806"/>
      <c r="C593" s="1806"/>
      <c r="D593" s="1806"/>
      <c r="E593" s="1806"/>
      <c r="F593" s="1806"/>
      <c r="G593" s="1806"/>
      <c r="H593" s="1806"/>
    </row>
    <row r="594" spans="1:8">
      <c r="A594" s="1806"/>
      <c r="B594" s="1806"/>
      <c r="C594" s="1806"/>
      <c r="D594" s="1806"/>
      <c r="E594" s="1806"/>
      <c r="F594" s="1806"/>
      <c r="G594" s="1806"/>
      <c r="H594" s="1806"/>
    </row>
    <row r="595" spans="1:8">
      <c r="A595" s="1806"/>
      <c r="B595" s="1806"/>
      <c r="C595" s="1806"/>
      <c r="D595" s="1806"/>
      <c r="E595" s="1806"/>
      <c r="F595" s="1806"/>
      <c r="G595" s="1806"/>
      <c r="H595" s="1806"/>
    </row>
    <row r="596" spans="1:8">
      <c r="A596" s="1806"/>
      <c r="B596" s="1806"/>
      <c r="C596" s="1806"/>
      <c r="D596" s="1806"/>
      <c r="E596" s="1806"/>
      <c r="F596" s="1806"/>
      <c r="G596" s="1806"/>
      <c r="H596" s="1806"/>
    </row>
    <row r="597" spans="1:8">
      <c r="A597" s="1806"/>
      <c r="B597" s="1806"/>
      <c r="C597" s="1806"/>
      <c r="D597" s="1806"/>
      <c r="E597" s="1806"/>
      <c r="F597" s="1806"/>
      <c r="G597" s="1806"/>
      <c r="H597" s="1806"/>
    </row>
    <row r="598" spans="1:8">
      <c r="A598" s="1806"/>
      <c r="B598" s="1806"/>
      <c r="C598" s="1806"/>
      <c r="D598" s="1806"/>
      <c r="E598" s="1806"/>
      <c r="F598" s="1806"/>
      <c r="G598" s="1806"/>
      <c r="H598" s="1806"/>
    </row>
    <row r="599" spans="1:8">
      <c r="A599" s="1806"/>
      <c r="B599" s="1806"/>
      <c r="C599" s="1806"/>
      <c r="D599" s="1806"/>
      <c r="E599" s="1806"/>
      <c r="F599" s="1806"/>
      <c r="G599" s="1806"/>
      <c r="H599" s="1806"/>
    </row>
    <row r="600" spans="1:8">
      <c r="A600" s="1806"/>
      <c r="B600" s="1806"/>
      <c r="C600" s="1806"/>
      <c r="D600" s="1806"/>
      <c r="E600" s="1806"/>
      <c r="F600" s="1806"/>
      <c r="G600" s="1806"/>
      <c r="H600" s="1806"/>
    </row>
    <row r="601" spans="1:8">
      <c r="A601" s="1806"/>
      <c r="B601" s="1806"/>
      <c r="C601" s="1806"/>
      <c r="D601" s="1806"/>
      <c r="E601" s="1806"/>
      <c r="F601" s="1806"/>
      <c r="G601" s="1806"/>
      <c r="H601" s="1806"/>
    </row>
    <row r="602" spans="1:8">
      <c r="A602" s="1806"/>
      <c r="B602" s="1806"/>
      <c r="C602" s="1806"/>
      <c r="D602" s="1806"/>
      <c r="E602" s="1806"/>
      <c r="F602" s="1806"/>
      <c r="G602" s="1806"/>
      <c r="H602" s="1806"/>
    </row>
    <row r="603" spans="1:8">
      <c r="A603" s="1806"/>
      <c r="B603" s="1806"/>
      <c r="C603" s="1806"/>
      <c r="D603" s="1806"/>
      <c r="E603" s="1806"/>
      <c r="F603" s="1806"/>
      <c r="G603" s="1806"/>
      <c r="H603" s="1806"/>
    </row>
    <row r="604" spans="1:8">
      <c r="A604" s="1806"/>
      <c r="B604" s="1806"/>
      <c r="C604" s="1806"/>
      <c r="D604" s="1806"/>
      <c r="E604" s="1806"/>
      <c r="F604" s="1806"/>
      <c r="G604" s="1806"/>
      <c r="H604" s="1806"/>
    </row>
    <row r="605" spans="1:8">
      <c r="A605" s="1806"/>
      <c r="B605" s="1806"/>
      <c r="C605" s="1806"/>
      <c r="D605" s="1806"/>
      <c r="E605" s="1806"/>
      <c r="F605" s="1806"/>
      <c r="G605" s="1806"/>
      <c r="H605" s="1806"/>
    </row>
    <row r="606" spans="1:8">
      <c r="A606" s="1806"/>
      <c r="B606" s="1806"/>
      <c r="C606" s="1806"/>
      <c r="D606" s="1806"/>
      <c r="E606" s="1806"/>
      <c r="F606" s="1806"/>
      <c r="G606" s="1806"/>
      <c r="H606" s="1806"/>
    </row>
    <row r="607" spans="1:8">
      <c r="A607" s="1806"/>
      <c r="B607" s="1806"/>
      <c r="C607" s="1806"/>
      <c r="D607" s="1806"/>
      <c r="E607" s="1806"/>
      <c r="F607" s="1806"/>
      <c r="G607" s="1806"/>
      <c r="H607" s="1806"/>
    </row>
    <row r="608" spans="1:8">
      <c r="A608" s="1806"/>
      <c r="B608" s="1806"/>
      <c r="C608" s="1806"/>
      <c r="D608" s="1806"/>
      <c r="E608" s="1806"/>
      <c r="F608" s="1806"/>
      <c r="G608" s="1806"/>
      <c r="H608" s="1806"/>
    </row>
    <row r="609" spans="1:8">
      <c r="A609" s="1806"/>
      <c r="B609" s="1806"/>
      <c r="C609" s="1806"/>
      <c r="D609" s="1806"/>
      <c r="E609" s="1806"/>
      <c r="F609" s="1806"/>
      <c r="G609" s="1806"/>
      <c r="H609" s="1806"/>
    </row>
    <row r="610" spans="1:8">
      <c r="A610" s="1806"/>
      <c r="B610" s="1806"/>
      <c r="C610" s="1806"/>
      <c r="D610" s="1806"/>
      <c r="E610" s="1806"/>
      <c r="F610" s="1806"/>
      <c r="G610" s="1806"/>
      <c r="H610" s="1806"/>
    </row>
    <row r="611" spans="1:8">
      <c r="A611" s="1806"/>
      <c r="B611" s="1806"/>
      <c r="C611" s="1806"/>
      <c r="D611" s="1806"/>
      <c r="E611" s="1806"/>
      <c r="F611" s="1806"/>
      <c r="G611" s="1806"/>
      <c r="H611" s="1806"/>
    </row>
    <row r="612" spans="1:8">
      <c r="A612" s="1806"/>
      <c r="B612" s="1806"/>
      <c r="C612" s="1806"/>
      <c r="D612" s="1806"/>
      <c r="E612" s="1806"/>
      <c r="F612" s="1806"/>
      <c r="G612" s="1806"/>
      <c r="H612" s="1806"/>
    </row>
    <row r="613" spans="1:8">
      <c r="A613" s="1806"/>
      <c r="B613" s="1806"/>
      <c r="C613" s="1806"/>
      <c r="D613" s="1806"/>
      <c r="E613" s="1806"/>
      <c r="F613" s="1806"/>
      <c r="G613" s="1806"/>
      <c r="H613" s="1806"/>
    </row>
    <row r="614" spans="1:8">
      <c r="A614" s="1806"/>
      <c r="B614" s="1806"/>
      <c r="C614" s="1806"/>
      <c r="D614" s="1806"/>
      <c r="E614" s="1806"/>
      <c r="F614" s="1806"/>
      <c r="G614" s="1806"/>
      <c r="H614" s="1806"/>
    </row>
    <row r="615" spans="1:8">
      <c r="A615" s="1806"/>
      <c r="B615" s="1806"/>
      <c r="C615" s="1806"/>
      <c r="D615" s="1806"/>
      <c r="E615" s="1806"/>
      <c r="F615" s="1806"/>
      <c r="G615" s="1806"/>
      <c r="H615" s="1806"/>
    </row>
    <row r="616" spans="1:8">
      <c r="A616" s="1806"/>
      <c r="B616" s="1806"/>
      <c r="C616" s="1806"/>
      <c r="D616" s="1806"/>
      <c r="E616" s="1806"/>
      <c r="F616" s="1806"/>
      <c r="G616" s="1806"/>
      <c r="H616" s="1806"/>
    </row>
    <row r="617" spans="1:8">
      <c r="A617" s="1806"/>
      <c r="B617" s="1806"/>
      <c r="C617" s="1806"/>
      <c r="D617" s="1806"/>
      <c r="E617" s="1806"/>
      <c r="F617" s="1806"/>
      <c r="G617" s="1806"/>
      <c r="H617" s="1806"/>
    </row>
    <row r="618" spans="1:8">
      <c r="A618" s="1806"/>
      <c r="B618" s="1806"/>
      <c r="C618" s="1806"/>
      <c r="D618" s="1806"/>
      <c r="E618" s="1806"/>
      <c r="F618" s="1806"/>
      <c r="G618" s="1806"/>
      <c r="H618" s="1806"/>
    </row>
    <row r="619" spans="1:8">
      <c r="A619" s="1806"/>
      <c r="B619" s="1806"/>
      <c r="C619" s="1806"/>
      <c r="D619" s="1806"/>
      <c r="E619" s="1806"/>
      <c r="F619" s="1806"/>
      <c r="G619" s="1806"/>
      <c r="H619" s="1806"/>
    </row>
    <row r="620" spans="1:8">
      <c r="A620" s="1806"/>
      <c r="B620" s="1806"/>
      <c r="C620" s="1806"/>
      <c r="D620" s="1806"/>
      <c r="E620" s="1806"/>
      <c r="F620" s="1806"/>
      <c r="G620" s="1806"/>
      <c r="H620" s="1806"/>
    </row>
    <row r="621" spans="1:8">
      <c r="A621" s="1806"/>
      <c r="B621" s="1806"/>
      <c r="C621" s="1806"/>
      <c r="D621" s="1806"/>
      <c r="E621" s="1806"/>
      <c r="F621" s="1806"/>
      <c r="G621" s="1806"/>
      <c r="H621" s="1806"/>
    </row>
    <row r="622" spans="1:8">
      <c r="A622" s="1806"/>
      <c r="B622" s="1806"/>
      <c r="C622" s="1806"/>
      <c r="D622" s="1806"/>
      <c r="E622" s="1806"/>
      <c r="F622" s="1806"/>
      <c r="G622" s="1806"/>
      <c r="H622" s="1806"/>
    </row>
    <row r="623" spans="1:8">
      <c r="A623" s="1806"/>
      <c r="B623" s="1806"/>
      <c r="C623" s="1806"/>
      <c r="D623" s="1806"/>
      <c r="E623" s="1806"/>
      <c r="F623" s="1806"/>
      <c r="G623" s="1806"/>
      <c r="H623" s="1806"/>
    </row>
    <row r="624" spans="1:8">
      <c r="A624" s="1806"/>
      <c r="B624" s="1806"/>
      <c r="C624" s="1806"/>
      <c r="D624" s="1806"/>
      <c r="E624" s="1806"/>
      <c r="F624" s="1806"/>
      <c r="G624" s="1806"/>
      <c r="H624" s="1806"/>
    </row>
    <row r="625" spans="1:8">
      <c r="A625" s="1806"/>
      <c r="B625" s="1806"/>
      <c r="C625" s="1806"/>
      <c r="D625" s="1806"/>
      <c r="E625" s="1806"/>
      <c r="F625" s="1806"/>
      <c r="G625" s="1806"/>
      <c r="H625" s="1806"/>
    </row>
    <row r="626" spans="1:8">
      <c r="A626" s="1806"/>
      <c r="B626" s="1806"/>
      <c r="C626" s="1806"/>
      <c r="D626" s="1806"/>
      <c r="E626" s="1806"/>
      <c r="F626" s="1806"/>
      <c r="G626" s="1806"/>
      <c r="H626" s="1806"/>
    </row>
    <row r="627" spans="1:8">
      <c r="A627" s="1806"/>
      <c r="B627" s="1806"/>
      <c r="C627" s="1806"/>
      <c r="D627" s="1806"/>
      <c r="E627" s="1806"/>
      <c r="F627" s="1806"/>
      <c r="G627" s="1806"/>
      <c r="H627" s="1806"/>
    </row>
    <row r="628" spans="1:8">
      <c r="A628" s="1806"/>
      <c r="B628" s="1806"/>
      <c r="C628" s="1806"/>
      <c r="D628" s="1806"/>
      <c r="E628" s="1806"/>
      <c r="F628" s="1806"/>
      <c r="G628" s="1806"/>
      <c r="H628" s="1806"/>
    </row>
    <row r="629" spans="1:8">
      <c r="A629" s="1806"/>
      <c r="B629" s="1806"/>
      <c r="C629" s="1806"/>
      <c r="D629" s="1806"/>
      <c r="E629" s="1806"/>
      <c r="F629" s="1806"/>
      <c r="G629" s="1806"/>
      <c r="H629" s="1806"/>
    </row>
    <row r="630" spans="1:8">
      <c r="A630" s="1806"/>
      <c r="B630" s="1806"/>
      <c r="C630" s="1806"/>
      <c r="D630" s="1806"/>
      <c r="E630" s="1806"/>
      <c r="F630" s="1806"/>
      <c r="G630" s="1806"/>
      <c r="H630" s="1806"/>
    </row>
    <row r="631" spans="1:8">
      <c r="A631" s="1806"/>
      <c r="B631" s="1806"/>
      <c r="C631" s="1806"/>
      <c r="D631" s="1806"/>
      <c r="E631" s="1806"/>
      <c r="F631" s="1806"/>
      <c r="G631" s="1806"/>
      <c r="H631" s="1806"/>
    </row>
    <row r="632" spans="1:8">
      <c r="A632" s="1806"/>
      <c r="B632" s="1806"/>
      <c r="C632" s="1806"/>
      <c r="D632" s="1806"/>
      <c r="E632" s="1806"/>
      <c r="F632" s="1806"/>
      <c r="G632" s="1806"/>
      <c r="H632" s="1806"/>
    </row>
    <row r="633" spans="1:8">
      <c r="A633" s="1806"/>
      <c r="B633" s="1806"/>
      <c r="C633" s="1806"/>
      <c r="D633" s="1806"/>
      <c r="E633" s="1806"/>
      <c r="F633" s="1806"/>
      <c r="G633" s="1806"/>
      <c r="H633" s="1806"/>
    </row>
    <row r="634" spans="1:8">
      <c r="A634" s="1806"/>
      <c r="B634" s="1806"/>
      <c r="C634" s="1806"/>
      <c r="D634" s="1806"/>
      <c r="E634" s="1806"/>
      <c r="F634" s="1806"/>
      <c r="G634" s="1806"/>
      <c r="H634" s="1806"/>
    </row>
    <row r="635" spans="1:8">
      <c r="A635" s="1806"/>
      <c r="B635" s="1806"/>
      <c r="C635" s="1806"/>
      <c r="D635" s="1806"/>
      <c r="E635" s="1806"/>
      <c r="F635" s="1806"/>
      <c r="G635" s="1806"/>
      <c r="H635" s="1806"/>
    </row>
    <row r="636" spans="1:8">
      <c r="A636" s="1806"/>
      <c r="B636" s="1806"/>
      <c r="C636" s="1806"/>
      <c r="D636" s="1806"/>
      <c r="E636" s="1806"/>
      <c r="F636" s="1806"/>
      <c r="G636" s="1806"/>
      <c r="H636" s="1806"/>
    </row>
    <row r="637" spans="1:8">
      <c r="A637" s="1806"/>
      <c r="B637" s="1806"/>
      <c r="C637" s="1806"/>
      <c r="D637" s="1806"/>
      <c r="E637" s="1806"/>
      <c r="F637" s="1806"/>
      <c r="G637" s="1806"/>
      <c r="H637" s="1806"/>
    </row>
    <row r="638" spans="1:8">
      <c r="A638" s="1806"/>
      <c r="B638" s="1806"/>
      <c r="C638" s="1806"/>
      <c r="D638" s="1806"/>
      <c r="E638" s="1806"/>
      <c r="F638" s="1806"/>
      <c r="G638" s="1806"/>
      <c r="H638" s="1806"/>
    </row>
    <row r="639" spans="1:8">
      <c r="A639" s="1806"/>
      <c r="B639" s="1806"/>
      <c r="C639" s="1806"/>
      <c r="D639" s="1806"/>
      <c r="E639" s="1806"/>
      <c r="F639" s="1806"/>
      <c r="G639" s="1806"/>
      <c r="H639" s="1806"/>
    </row>
    <row r="640" spans="1:8">
      <c r="A640" s="1806"/>
      <c r="B640" s="1806"/>
      <c r="C640" s="1806"/>
      <c r="D640" s="1806"/>
      <c r="E640" s="1806"/>
      <c r="F640" s="1806"/>
      <c r="G640" s="1806"/>
      <c r="H640" s="1806"/>
    </row>
    <row r="641" spans="1:8">
      <c r="A641" s="1806"/>
      <c r="B641" s="1806"/>
      <c r="C641" s="1806"/>
      <c r="D641" s="1806"/>
      <c r="E641" s="1806"/>
      <c r="F641" s="1806"/>
      <c r="G641" s="1806"/>
      <c r="H641" s="1806"/>
    </row>
    <row r="642" spans="1:8">
      <c r="A642" s="1806"/>
      <c r="B642" s="1806"/>
      <c r="C642" s="1806"/>
      <c r="D642" s="1806"/>
      <c r="E642" s="1806"/>
      <c r="F642" s="1806"/>
      <c r="G642" s="1806"/>
      <c r="H642" s="1806"/>
    </row>
    <row r="643" spans="1:8">
      <c r="A643" s="1806"/>
      <c r="B643" s="1806"/>
      <c r="C643" s="1806"/>
      <c r="D643" s="1806"/>
      <c r="E643" s="1806"/>
      <c r="F643" s="1806"/>
      <c r="G643" s="1806"/>
      <c r="H643" s="1806"/>
    </row>
    <row r="644" spans="1:8">
      <c r="A644" s="1806"/>
      <c r="B644" s="1806"/>
      <c r="C644" s="1806"/>
      <c r="D644" s="1806"/>
      <c r="E644" s="1806"/>
      <c r="F644" s="1806"/>
      <c r="G644" s="1806"/>
      <c r="H644" s="1806"/>
    </row>
    <row r="645" spans="1:8">
      <c r="A645" s="1806"/>
      <c r="B645" s="1806"/>
      <c r="C645" s="1806"/>
      <c r="D645" s="1806"/>
      <c r="E645" s="1806"/>
      <c r="F645" s="1806"/>
      <c r="G645" s="1806"/>
      <c r="H645" s="1806"/>
    </row>
    <row r="646" spans="1:8">
      <c r="A646" s="1806"/>
      <c r="B646" s="1806"/>
      <c r="C646" s="1806"/>
      <c r="D646" s="1806"/>
      <c r="E646" s="1806"/>
      <c r="F646" s="1806"/>
      <c r="G646" s="1806"/>
      <c r="H646" s="1806"/>
    </row>
    <row r="647" spans="1:8">
      <c r="A647" s="1806"/>
      <c r="B647" s="1806"/>
      <c r="C647" s="1806"/>
      <c r="D647" s="1806"/>
      <c r="E647" s="1806"/>
      <c r="F647" s="1806"/>
      <c r="G647" s="1806"/>
      <c r="H647" s="1806"/>
    </row>
    <row r="648" spans="1:8">
      <c r="A648" s="1806"/>
      <c r="B648" s="1806"/>
      <c r="C648" s="1806"/>
      <c r="D648" s="1806"/>
      <c r="E648" s="1806"/>
      <c r="F648" s="1806"/>
      <c r="G648" s="1806"/>
      <c r="H648" s="1806"/>
    </row>
    <row r="649" spans="1:8">
      <c r="A649" s="1806"/>
      <c r="B649" s="1806"/>
      <c r="C649" s="1806"/>
      <c r="D649" s="1806"/>
      <c r="E649" s="1806"/>
      <c r="F649" s="1806"/>
      <c r="G649" s="1806"/>
      <c r="H649" s="1806"/>
    </row>
    <row r="650" spans="1:8">
      <c r="A650" s="1806"/>
      <c r="B650" s="1806"/>
      <c r="C650" s="1806"/>
      <c r="D650" s="1806"/>
      <c r="E650" s="1806"/>
      <c r="F650" s="1806"/>
      <c r="G650" s="1806"/>
      <c r="H650" s="1806"/>
    </row>
    <row r="651" spans="1:8">
      <c r="A651" s="1806"/>
      <c r="B651" s="1806"/>
      <c r="C651" s="1806"/>
      <c r="D651" s="1806"/>
      <c r="E651" s="1806"/>
      <c r="F651" s="1806"/>
      <c r="G651" s="1806"/>
      <c r="H651" s="1806"/>
    </row>
    <row r="652" spans="1:8">
      <c r="A652" s="1806"/>
      <c r="B652" s="1806"/>
      <c r="C652" s="1806"/>
      <c r="D652" s="1806"/>
      <c r="E652" s="1806"/>
      <c r="F652" s="1806"/>
      <c r="G652" s="1806"/>
      <c r="H652" s="1806"/>
    </row>
    <row r="653" spans="1:8">
      <c r="A653" s="1806"/>
      <c r="B653" s="1806"/>
      <c r="C653" s="1806"/>
      <c r="D653" s="1806"/>
      <c r="E653" s="1806"/>
      <c r="F653" s="1806"/>
      <c r="G653" s="1806"/>
      <c r="H653" s="1806"/>
    </row>
    <row r="654" spans="1:8">
      <c r="A654" s="1806"/>
      <c r="B654" s="1806"/>
      <c r="C654" s="1806"/>
      <c r="D654" s="1806"/>
      <c r="E654" s="1806"/>
      <c r="F654" s="1806"/>
      <c r="G654" s="1806"/>
      <c r="H654" s="1806"/>
    </row>
    <row r="655" spans="1:8">
      <c r="A655" s="1806"/>
      <c r="B655" s="1806"/>
      <c r="C655" s="1806"/>
      <c r="D655" s="1806"/>
      <c r="E655" s="1806"/>
      <c r="F655" s="1806"/>
      <c r="G655" s="1806"/>
      <c r="H655" s="1806"/>
    </row>
    <row r="656" spans="1:8">
      <c r="A656" s="1806"/>
      <c r="B656" s="1806"/>
      <c r="C656" s="1806"/>
      <c r="D656" s="1806"/>
      <c r="E656" s="1806"/>
      <c r="F656" s="1806"/>
      <c r="G656" s="1806"/>
      <c r="H656" s="1806"/>
    </row>
    <row r="657" spans="1:8">
      <c r="A657" s="1806"/>
      <c r="B657" s="1806"/>
      <c r="C657" s="1806"/>
      <c r="D657" s="1806"/>
      <c r="E657" s="1806"/>
      <c r="F657" s="1806"/>
      <c r="G657" s="1806"/>
      <c r="H657" s="1806"/>
    </row>
    <row r="658" spans="1:8">
      <c r="A658" s="1806"/>
      <c r="B658" s="1806"/>
      <c r="C658" s="1806"/>
      <c r="D658" s="1806"/>
      <c r="E658" s="1806"/>
      <c r="F658" s="1806"/>
      <c r="G658" s="1806"/>
      <c r="H658" s="1806"/>
    </row>
    <row r="659" spans="1:8">
      <c r="A659" s="1806"/>
      <c r="B659" s="1806"/>
      <c r="C659" s="1806"/>
      <c r="D659" s="1806"/>
      <c r="E659" s="1806"/>
      <c r="F659" s="1806"/>
      <c r="G659" s="1806"/>
      <c r="H659" s="1806"/>
    </row>
    <row r="660" spans="1:8">
      <c r="A660" s="1806"/>
      <c r="B660" s="1806"/>
      <c r="C660" s="1806"/>
      <c r="D660" s="1806"/>
      <c r="E660" s="1806"/>
      <c r="F660" s="1806"/>
      <c r="G660" s="1806"/>
      <c r="H660" s="1806"/>
    </row>
    <row r="661" spans="1:8">
      <c r="A661" s="1806"/>
      <c r="B661" s="1806"/>
      <c r="C661" s="1806"/>
      <c r="D661" s="1806"/>
      <c r="E661" s="1806"/>
      <c r="F661" s="1806"/>
      <c r="G661" s="1806"/>
      <c r="H661" s="1806"/>
    </row>
    <row r="662" spans="1:8">
      <c r="A662" s="1806"/>
      <c r="B662" s="1806"/>
      <c r="C662" s="1806"/>
      <c r="D662" s="1806"/>
      <c r="E662" s="1806"/>
      <c r="F662" s="1806"/>
      <c r="G662" s="1806"/>
      <c r="H662" s="1806"/>
    </row>
    <row r="663" spans="1:8">
      <c r="A663" s="1806"/>
      <c r="B663" s="1806"/>
      <c r="C663" s="1806"/>
      <c r="D663" s="1806"/>
      <c r="E663" s="1806"/>
      <c r="F663" s="1806"/>
      <c r="G663" s="1806"/>
      <c r="H663" s="1806"/>
    </row>
    <row r="664" spans="1:8">
      <c r="A664" s="1806"/>
      <c r="B664" s="1806"/>
      <c r="C664" s="1806"/>
      <c r="D664" s="1806"/>
      <c r="E664" s="1806"/>
      <c r="F664" s="1806"/>
      <c r="G664" s="1806"/>
      <c r="H664" s="1806"/>
    </row>
    <row r="665" spans="1:8">
      <c r="A665" s="1806"/>
      <c r="B665" s="1806"/>
      <c r="C665" s="1806"/>
      <c r="D665" s="1806"/>
      <c r="E665" s="1806"/>
      <c r="F665" s="1806"/>
      <c r="G665" s="1806"/>
      <c r="H665" s="1806"/>
    </row>
    <row r="666" spans="1:8">
      <c r="A666" s="1806"/>
      <c r="B666" s="1806"/>
      <c r="C666" s="1806"/>
      <c r="D666" s="1806"/>
      <c r="E666" s="1806"/>
      <c r="F666" s="1806"/>
      <c r="G666" s="1806"/>
      <c r="H666" s="1806"/>
    </row>
    <row r="667" spans="1:8">
      <c r="A667" s="1806"/>
      <c r="B667" s="1806"/>
      <c r="C667" s="1806"/>
      <c r="D667" s="1806"/>
      <c r="E667" s="1806"/>
      <c r="F667" s="1806"/>
      <c r="G667" s="1806"/>
      <c r="H667" s="1806"/>
    </row>
    <row r="668" spans="1:8">
      <c r="A668" s="1806"/>
      <c r="B668" s="1806"/>
      <c r="C668" s="1806"/>
      <c r="D668" s="1806"/>
      <c r="E668" s="1806"/>
      <c r="F668" s="1806"/>
      <c r="G668" s="1806"/>
      <c r="H668" s="1806"/>
    </row>
    <row r="669" spans="1:8">
      <c r="A669" s="1806"/>
      <c r="B669" s="1806"/>
      <c r="C669" s="1806"/>
      <c r="D669" s="1806"/>
      <c r="E669" s="1806"/>
      <c r="F669" s="1806"/>
      <c r="G669" s="1806"/>
      <c r="H669" s="1806"/>
    </row>
    <row r="670" spans="1:8">
      <c r="A670" s="1806"/>
      <c r="B670" s="1806"/>
      <c r="C670" s="1806"/>
      <c r="D670" s="1806"/>
      <c r="E670" s="1806"/>
      <c r="F670" s="1806"/>
      <c r="G670" s="1806"/>
      <c r="H670" s="1806"/>
    </row>
    <row r="671" spans="1:8">
      <c r="A671" s="1806"/>
      <c r="B671" s="1806"/>
      <c r="C671" s="1806"/>
      <c r="D671" s="1806"/>
      <c r="E671" s="1806"/>
      <c r="F671" s="1806"/>
      <c r="G671" s="1806"/>
      <c r="H671" s="1806"/>
    </row>
    <row r="672" spans="1:8">
      <c r="A672" s="1806"/>
      <c r="B672" s="1806"/>
      <c r="C672" s="1806"/>
      <c r="D672" s="1806"/>
      <c r="E672" s="1806"/>
      <c r="F672" s="1806"/>
      <c r="G672" s="1806"/>
      <c r="H672" s="1806"/>
    </row>
    <row r="673" spans="1:8">
      <c r="A673" s="1806"/>
      <c r="B673" s="1806"/>
      <c r="C673" s="1806"/>
      <c r="D673" s="1806"/>
      <c r="E673" s="1806"/>
      <c r="F673" s="1806"/>
      <c r="G673" s="1806"/>
      <c r="H673" s="1806"/>
    </row>
    <row r="674" spans="1:8">
      <c r="A674" s="1806"/>
      <c r="B674" s="1806"/>
      <c r="C674" s="1806"/>
      <c r="D674" s="1806"/>
      <c r="E674" s="1806"/>
      <c r="F674" s="1806"/>
      <c r="G674" s="1806"/>
      <c r="H674" s="1806"/>
    </row>
    <row r="675" spans="1:8">
      <c r="A675" s="1806"/>
      <c r="B675" s="1806"/>
      <c r="C675" s="1806"/>
      <c r="D675" s="1806"/>
      <c r="E675" s="1806"/>
      <c r="F675" s="1806"/>
      <c r="G675" s="1806"/>
      <c r="H675" s="1806"/>
    </row>
    <row r="676" spans="1:8">
      <c r="A676" s="1806"/>
      <c r="B676" s="1806"/>
      <c r="C676" s="1806"/>
      <c r="D676" s="1806"/>
      <c r="E676" s="1806"/>
      <c r="F676" s="1806"/>
      <c r="G676" s="1806"/>
      <c r="H676" s="1806"/>
    </row>
    <row r="677" spans="1:8">
      <c r="A677" s="1806"/>
      <c r="B677" s="1806"/>
      <c r="C677" s="1806"/>
      <c r="D677" s="1806"/>
      <c r="E677" s="1806"/>
      <c r="F677" s="1806"/>
      <c r="G677" s="1806"/>
      <c r="H677" s="1806"/>
    </row>
    <row r="678" spans="1:8">
      <c r="A678" s="1806"/>
      <c r="B678" s="1806"/>
      <c r="C678" s="1806"/>
      <c r="D678" s="1806"/>
      <c r="E678" s="1806"/>
      <c r="F678" s="1806"/>
      <c r="G678" s="1806"/>
      <c r="H678" s="1806"/>
    </row>
    <row r="679" spans="1:8">
      <c r="A679" s="1806"/>
      <c r="B679" s="1806"/>
      <c r="C679" s="1806"/>
      <c r="D679" s="1806"/>
      <c r="E679" s="1806"/>
      <c r="F679" s="1806"/>
      <c r="G679" s="1806"/>
      <c r="H679" s="1806"/>
    </row>
    <row r="680" spans="1:8">
      <c r="A680" s="1806"/>
      <c r="B680" s="1806"/>
      <c r="C680" s="1806"/>
      <c r="D680" s="1806"/>
      <c r="E680" s="1806"/>
      <c r="F680" s="1806"/>
      <c r="G680" s="1806"/>
      <c r="H680" s="1806"/>
    </row>
    <row r="681" spans="1:8">
      <c r="A681" s="1806"/>
      <c r="B681" s="1806"/>
      <c r="C681" s="1806"/>
      <c r="D681" s="1806"/>
      <c r="E681" s="1806"/>
      <c r="F681" s="1806"/>
      <c r="G681" s="1806"/>
      <c r="H681" s="1806"/>
    </row>
    <row r="682" spans="1:8">
      <c r="A682" s="1806"/>
      <c r="B682" s="1806"/>
      <c r="C682" s="1806"/>
      <c r="D682" s="1806"/>
      <c r="E682" s="1806"/>
      <c r="F682" s="1806"/>
      <c r="G682" s="1806"/>
      <c r="H682" s="1806"/>
    </row>
    <row r="683" spans="1:8">
      <c r="A683" s="1806"/>
      <c r="B683" s="1806"/>
      <c r="C683" s="1806"/>
      <c r="D683" s="1806"/>
      <c r="E683" s="1806"/>
      <c r="F683" s="1806"/>
      <c r="G683" s="1806"/>
      <c r="H683" s="1806"/>
    </row>
    <row r="684" spans="1:8">
      <c r="A684" s="1806"/>
      <c r="B684" s="1806"/>
      <c r="C684" s="1806"/>
      <c r="D684" s="1806"/>
      <c r="E684" s="1806"/>
      <c r="F684" s="1806"/>
      <c r="G684" s="1806"/>
      <c r="H684" s="1806"/>
    </row>
    <row r="685" spans="1:8">
      <c r="A685" s="1806"/>
      <c r="B685" s="1806"/>
      <c r="C685" s="1806"/>
      <c r="D685" s="1806"/>
      <c r="E685" s="1806"/>
      <c r="F685" s="1806"/>
      <c r="G685" s="1806"/>
      <c r="H685" s="1806"/>
    </row>
    <row r="686" spans="1:8">
      <c r="A686" s="1806"/>
      <c r="B686" s="1806"/>
      <c r="C686" s="1806"/>
      <c r="D686" s="1806"/>
      <c r="E686" s="1806"/>
      <c r="F686" s="1806"/>
      <c r="G686" s="1806"/>
      <c r="H686" s="1806"/>
    </row>
    <row r="687" spans="1:8">
      <c r="A687" s="1806"/>
      <c r="B687" s="1806"/>
      <c r="C687" s="1806"/>
      <c r="D687" s="1806"/>
      <c r="E687" s="1806"/>
      <c r="F687" s="1806"/>
      <c r="G687" s="1806"/>
      <c r="H687" s="1806"/>
    </row>
    <row r="688" spans="1:8">
      <c r="A688" s="1806"/>
      <c r="B688" s="1806"/>
      <c r="C688" s="1806"/>
      <c r="D688" s="1806"/>
      <c r="E688" s="1806"/>
      <c r="F688" s="1806"/>
      <c r="G688" s="1806"/>
      <c r="H688" s="1806"/>
    </row>
    <row r="689" spans="1:8">
      <c r="A689" s="1806"/>
      <c r="B689" s="1806"/>
      <c r="C689" s="1806"/>
      <c r="D689" s="1806"/>
      <c r="E689" s="1806"/>
      <c r="F689" s="1806"/>
      <c r="G689" s="1806"/>
      <c r="H689" s="1806"/>
    </row>
    <row r="690" spans="1:8">
      <c r="A690" s="1806"/>
      <c r="B690" s="1806"/>
      <c r="C690" s="1806"/>
      <c r="D690" s="1806"/>
      <c r="E690" s="1806"/>
      <c r="F690" s="1806"/>
      <c r="G690" s="1806"/>
      <c r="H690" s="1806"/>
    </row>
    <row r="691" spans="1:8">
      <c r="A691" s="1806"/>
      <c r="B691" s="1806"/>
      <c r="C691" s="1806"/>
      <c r="D691" s="1806"/>
      <c r="E691" s="1806"/>
      <c r="F691" s="1806"/>
      <c r="G691" s="1806"/>
      <c r="H691" s="1806"/>
    </row>
    <row r="692" spans="1:8">
      <c r="A692" s="1806"/>
      <c r="B692" s="1806"/>
      <c r="C692" s="1806"/>
      <c r="D692" s="1806"/>
      <c r="E692" s="1806"/>
      <c r="F692" s="1806"/>
      <c r="G692" s="1806"/>
      <c r="H692" s="1806"/>
    </row>
    <row r="693" spans="1:8">
      <c r="A693" s="1806"/>
      <c r="B693" s="1806"/>
      <c r="C693" s="1806"/>
      <c r="D693" s="1806"/>
      <c r="E693" s="1806"/>
      <c r="F693" s="1806"/>
      <c r="G693" s="1806"/>
      <c r="H693" s="1806"/>
    </row>
    <row r="694" spans="1:8">
      <c r="A694" s="1806"/>
      <c r="B694" s="1806"/>
      <c r="C694" s="1806"/>
      <c r="D694" s="1806"/>
      <c r="E694" s="1806"/>
      <c r="F694" s="1806"/>
      <c r="G694" s="1806"/>
      <c r="H694" s="1806"/>
    </row>
    <row r="695" spans="1:8">
      <c r="A695" s="1806"/>
      <c r="B695" s="1806"/>
      <c r="C695" s="1806"/>
      <c r="D695" s="1806"/>
      <c r="E695" s="1806"/>
      <c r="F695" s="1806"/>
      <c r="G695" s="1806"/>
      <c r="H695" s="1806"/>
    </row>
    <row r="696" spans="1:8">
      <c r="A696" s="1806"/>
      <c r="B696" s="1806"/>
      <c r="C696" s="1806"/>
      <c r="D696" s="1806"/>
      <c r="E696" s="1806"/>
      <c r="F696" s="1806"/>
      <c r="G696" s="1806"/>
      <c r="H696" s="1806"/>
    </row>
    <row r="697" spans="1:8">
      <c r="A697" s="1806"/>
      <c r="B697" s="1806"/>
      <c r="C697" s="1806"/>
      <c r="D697" s="1806"/>
      <c r="E697" s="1806"/>
      <c r="F697" s="1806"/>
      <c r="G697" s="1806"/>
      <c r="H697" s="1806"/>
    </row>
    <row r="698" spans="1:8">
      <c r="A698" s="1806"/>
      <c r="B698" s="1806"/>
      <c r="C698" s="1806"/>
      <c r="D698" s="1806"/>
      <c r="E698" s="1806"/>
      <c r="F698" s="1806"/>
      <c r="G698" s="1806"/>
      <c r="H698" s="1806"/>
    </row>
    <row r="699" spans="1:8">
      <c r="A699" s="1806"/>
      <c r="B699" s="1806"/>
      <c r="C699" s="1806"/>
      <c r="D699" s="1806"/>
      <c r="E699" s="1806"/>
      <c r="F699" s="1806"/>
      <c r="G699" s="1806"/>
      <c r="H699" s="1806"/>
    </row>
  </sheetData>
  <sheetProtection sheet="1" objects="1" scenarios="1"/>
  <phoneticPr fontId="5" type="noConversion"/>
  <dataValidations count="3">
    <dataValidation type="list" allowBlank="1" showInputMessage="1" showErrorMessage="1" sqref="B29" xr:uid="{00000000-0002-0000-4900-000000000000}">
      <formula1>$B$39:$B$59</formula1>
    </dataValidation>
    <dataValidation type="decimal" allowBlank="1" showInputMessage="1" showErrorMessage="1" sqref="B31:B32" xr:uid="{00000000-0002-0000-4900-000001000000}">
      <formula1>-0.06</formula1>
      <formula2>0.06</formula2>
    </dataValidation>
    <dataValidation type="decimal" allowBlank="1" showInputMessage="1" showErrorMessage="1" sqref="B22" xr:uid="{00000000-0002-0000-4900-000002000000}">
      <formula1>0.04</formula1>
      <formula2>0.06</formula2>
    </dataValidation>
  </dataValidations>
  <printOptions horizontalCentered="1"/>
  <pageMargins left="0.78740157480314965" right="0.78740157480314965" top="0.67" bottom="0.78740157480314965" header="0.51181102362204722" footer="0.51181102362204722"/>
  <pageSetup paperSize="9" scale="79" orientation="landscape" r:id="rId1"/>
  <headerFooter alignWithMargins="0"/>
  <legacyDrawing r:id="rId2"/>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35">
    <pageSetUpPr fitToPage="1"/>
  </sheetPr>
  <dimension ref="A1:G96"/>
  <sheetViews>
    <sheetView showGridLines="0" zoomScaleNormal="100" workbookViewId="0">
      <selection activeCell="B12" sqref="B12"/>
    </sheetView>
  </sheetViews>
  <sheetFormatPr baseColWidth="10" defaultColWidth="11" defaultRowHeight="15"/>
  <cols>
    <col min="1" max="1" width="32" style="35" customWidth="1"/>
    <col min="2" max="6" width="13.375" style="35" customWidth="1"/>
    <col min="7" max="16384" width="11" style="35"/>
  </cols>
  <sheetData>
    <row r="1" spans="1:7" ht="22.5">
      <c r="A1" s="874" t="s">
        <v>48</v>
      </c>
      <c r="B1" s="340"/>
      <c r="C1" s="340"/>
      <c r="D1" s="340"/>
      <c r="E1" s="340"/>
    </row>
    <row r="2" spans="1:7" ht="15.75" thickBot="1"/>
    <row r="3" spans="1:7" s="876" customFormat="1" ht="17.25" customHeight="1">
      <c r="A3" s="1424" t="str">
        <f>'Base Data'!A6</f>
        <v>Course / Program:</v>
      </c>
      <c r="B3" s="1422" t="str">
        <f>'Base Data'!B6</f>
        <v>UNIVERSITY ENTREPENEURSHIP</v>
      </c>
      <c r="C3" s="1399"/>
      <c r="D3" s="1399"/>
      <c r="E3" s="1399"/>
      <c r="F3" s="1399"/>
      <c r="G3" s="1400"/>
    </row>
    <row r="4" spans="1:7" s="876" customFormat="1" ht="17.25" customHeight="1" thickBot="1">
      <c r="A4" s="2481" t="s">
        <v>905</v>
      </c>
      <c r="B4" s="1423" t="str">
        <f>'Base Data'!B7</f>
        <v>Málaga</v>
      </c>
      <c r="C4" s="1394"/>
      <c r="D4" s="1394"/>
      <c r="E4" s="1394"/>
      <c r="F4" s="1394"/>
      <c r="G4" s="1395"/>
    </row>
    <row r="5" spans="1:7" s="876" customFormat="1" thickBot="1">
      <c r="A5" s="878"/>
      <c r="B5" s="879"/>
    </row>
    <row r="6" spans="1:7" s="876" customFormat="1" thickBot="1">
      <c r="A6" s="1425" t="str">
        <f>'Base Data'!A13</f>
        <v>Financial Planning date:</v>
      </c>
      <c r="B6" s="2745">
        <f>'Base Data'!B13</f>
        <v>45965</v>
      </c>
    </row>
    <row r="7" spans="1:7" s="876" customFormat="1" thickBot="1"/>
    <row r="8" spans="1:7" s="876" customFormat="1" ht="20.25" customHeight="1">
      <c r="A8" s="1396" t="s">
        <v>906</v>
      </c>
      <c r="B8" s="1404" t="str">
        <f>'Base Data'!B9</f>
        <v>WWW, Ltd.</v>
      </c>
      <c r="C8" s="1391"/>
      <c r="D8" s="1391"/>
      <c r="E8" s="1391"/>
      <c r="F8" s="1391"/>
      <c r="G8" s="1392"/>
    </row>
    <row r="9" spans="1:7" s="876" customFormat="1" ht="20.25" customHeight="1">
      <c r="A9" s="1397" t="str">
        <f>'Base Data'!A11</f>
        <v>Promotors:</v>
      </c>
      <c r="B9" s="1405" t="str">
        <f>IF('Base Data'!B11="","",'Base Data'!B11)</f>
        <v>Personal Name (s)</v>
      </c>
      <c r="C9" s="877"/>
      <c r="D9" s="877"/>
      <c r="E9" s="877"/>
      <c r="F9" s="877"/>
      <c r="G9" s="1393"/>
    </row>
    <row r="10" spans="1:7" s="876" customFormat="1" ht="19.5" customHeight="1" thickBot="1">
      <c r="A10" s="1398" t="s">
        <v>907</v>
      </c>
      <c r="B10" s="1419" t="str">
        <f>'Base Data'!B24</f>
        <v>Limited Liability Company  ( LLC )</v>
      </c>
      <c r="C10" s="1394"/>
      <c r="D10" s="1394"/>
      <c r="E10" s="1394"/>
      <c r="F10" s="1394"/>
      <c r="G10" s="1395"/>
    </row>
    <row r="11" spans="1:7" s="876" customFormat="1" thickBot="1">
      <c r="A11" s="875"/>
      <c r="B11" s="880"/>
    </row>
    <row r="12" spans="1:7" s="876" customFormat="1" ht="21" customHeight="1" thickBot="1">
      <c r="A12" s="2484" t="str">
        <f>'Base Data'!A21</f>
        <v>Activity start up</v>
      </c>
      <c r="B12" s="1420" t="str">
        <f>TEXT(INDEX(Parameters!A61:A72,mes0,1),"[$-409]mmmm aaaa")</f>
        <v>January 2026</v>
      </c>
      <c r="C12" s="1421"/>
    </row>
    <row r="13" spans="1:7" ht="15.75" thickBot="1"/>
    <row r="14" spans="1:7" ht="15.75" thickBot="1">
      <c r="A14" s="2970" t="s">
        <v>1187</v>
      </c>
      <c r="B14" s="2739" t="s">
        <v>1099</v>
      </c>
      <c r="C14" s="2739" t="str">
        <f t="array" ref="C14:G14">anni</f>
        <v>Year 0:   2026</v>
      </c>
      <c r="D14" s="2740" t="str">
        <v>Year 1:   2027</v>
      </c>
      <c r="E14" s="2740" t="str">
        <v>Year 2:   2028</v>
      </c>
      <c r="F14" s="2740" t="str">
        <v>Year 3:   2029</v>
      </c>
      <c r="G14" s="2741" t="str">
        <v>Year 4:   2030</v>
      </c>
    </row>
    <row r="15" spans="1:7">
      <c r="A15" s="2485" t="str">
        <f>CONCATENATE("Yearly Investment ( ",Parameters!$H$11," )")</f>
        <v>Yearly Investment ( € )</v>
      </c>
      <c r="B15" s="2669">
        <f>'Initial Funding'!B32</f>
        <v>0</v>
      </c>
      <c r="C15" s="2669">
        <f ca="1">'Initial Funding'!C32</f>
        <v>2335</v>
      </c>
      <c r="D15" s="2670">
        <f t="array" aca="1" ref="D15:G15" ca="1">+Funding!E9:H9</f>
        <v>0</v>
      </c>
      <c r="E15" s="2670">
        <f ca="1"/>
        <v>0</v>
      </c>
      <c r="F15" s="2670">
        <f ca="1"/>
        <v>0</v>
      </c>
      <c r="G15" s="2671">
        <f ca="1"/>
        <v>0</v>
      </c>
    </row>
    <row r="16" spans="1:7">
      <c r="A16" s="2486" t="str">
        <f>CONCATENATE("New Networth (Equity) ( ",Parameters!$H$11," )")</f>
        <v>New Networth (Equity) ( € )</v>
      </c>
      <c r="B16" s="2672">
        <f>'Initial Funding'!B6</f>
        <v>0</v>
      </c>
      <c r="C16" s="2672">
        <f>'Initial Funding'!C6</f>
        <v>2335</v>
      </c>
      <c r="D16" s="2673">
        <f>SUM(Funding!E14:E19)</f>
        <v>0</v>
      </c>
      <c r="E16" s="2673">
        <f>SUM(Funding!F14:F19)</f>
        <v>0</v>
      </c>
      <c r="F16" s="2673">
        <f>SUM(Funding!G14:G19)</f>
        <v>0</v>
      </c>
      <c r="G16" s="2674">
        <f>SUM(Funding!H14:H19)</f>
        <v>0</v>
      </c>
    </row>
    <row r="17" spans="1:7">
      <c r="A17" s="2486" t="str">
        <f>CONCATENATE("New Liabilities ( ",Parameters!$H$11," )")</f>
        <v>New Liabilities ( € )</v>
      </c>
      <c r="B17" s="2672">
        <f>'Initial Funding'!B16</f>
        <v>0</v>
      </c>
      <c r="C17" s="2672">
        <f ca="1">'Initial Funding'!C16</f>
        <v>0</v>
      </c>
      <c r="D17" s="2673">
        <f t="array" ref="D17:G17">Funding!E21:H21</f>
        <v>0</v>
      </c>
      <c r="E17" s="2673">
        <v>0</v>
      </c>
      <c r="F17" s="2673">
        <v>0</v>
      </c>
      <c r="G17" s="2674">
        <v>0</v>
      </c>
    </row>
    <row r="18" spans="1:7" ht="15.75" thickBot="1">
      <c r="A18" s="2487" t="str">
        <f>CONCATENATE("Self-financing ( ",Parameters!$H$11," )")</f>
        <v>Self-financing ( € )</v>
      </c>
      <c r="B18" s="2675">
        <v>0</v>
      </c>
      <c r="C18" s="2675">
        <v>0</v>
      </c>
      <c r="D18" s="2676">
        <f t="array" aca="1" ref="D18:G18" ca="1">IF(D15:G15-D16:G16-D17:G17&gt;0,D15:G15-D16:G16-D17:G17,0)</f>
        <v>0</v>
      </c>
      <c r="E18" s="2676">
        <f ca="1"/>
        <v>0</v>
      </c>
      <c r="F18" s="2676">
        <f ca="1"/>
        <v>0</v>
      </c>
      <c r="G18" s="2677">
        <f ca="1"/>
        <v>0</v>
      </c>
    </row>
    <row r="19" spans="1:7" ht="15.75" thickBot="1"/>
    <row r="20" spans="1:7" s="876" customFormat="1" thickBot="1">
      <c r="A20" s="2483" t="s">
        <v>733</v>
      </c>
      <c r="B20" s="1463" t="str">
        <f t="array" ref="B20:F20">'Basic Ratios'!C39:G39</f>
        <v>N/A</v>
      </c>
      <c r="C20" s="1461" t="str">
        <v>N/A</v>
      </c>
      <c r="D20" s="1461" t="str">
        <v>N/A</v>
      </c>
      <c r="E20" s="1461" t="str">
        <v>N/A</v>
      </c>
      <c r="F20" s="1462" t="str">
        <v>N/A</v>
      </c>
    </row>
    <row r="21" spans="1:7" ht="15.75" thickBot="1"/>
    <row r="22" spans="1:7" ht="15.75" thickBot="1">
      <c r="B22" s="1417" t="s">
        <v>923</v>
      </c>
      <c r="C22" s="1418" t="s">
        <v>3</v>
      </c>
    </row>
    <row r="23" spans="1:7">
      <c r="A23" s="2485" t="str">
        <f>CONCATENATE("Total Initial Investment ( ",Parameters!$H$11," )")</f>
        <v>Total Initial Investment ( € )</v>
      </c>
      <c r="B23" s="2678">
        <f ca="1">SUM(C15:G15)</f>
        <v>2335</v>
      </c>
      <c r="C23" s="1426">
        <f t="array" aca="1" ref="C23:C26" ca="1">B23:B26/$B$23</f>
        <v>1</v>
      </c>
    </row>
    <row r="24" spans="1:7">
      <c r="A24" s="2486" t="str">
        <f t="array" ref="A24:A26">A16:A18</f>
        <v>New Networth (Equity) ( € )</v>
      </c>
      <c r="B24" s="2672">
        <f>SUM(C16:G16)</f>
        <v>2335</v>
      </c>
      <c r="C24" s="1427">
        <f ca="1"/>
        <v>1</v>
      </c>
      <c r="E24" s="1711"/>
    </row>
    <row r="25" spans="1:7">
      <c r="A25" s="2486" t="str">
        <v>New Liabilities ( € )</v>
      </c>
      <c r="B25" s="2672">
        <f ca="1">SUM(C17:G17)</f>
        <v>0</v>
      </c>
      <c r="C25" s="1427">
        <f ca="1"/>
        <v>0</v>
      </c>
    </row>
    <row r="26" spans="1:7" ht="15.75" thickBot="1">
      <c r="A26" s="2487" t="str">
        <v>Self-financing ( € )</v>
      </c>
      <c r="B26" s="2675">
        <f ca="1">SUM(C18:G18)</f>
        <v>0</v>
      </c>
      <c r="C26" s="1428">
        <f ca="1"/>
        <v>0</v>
      </c>
    </row>
    <row r="27" spans="1:7" ht="15.75" thickBot="1">
      <c r="A27" s="1401"/>
      <c r="B27" s="1401"/>
      <c r="C27" s="1401"/>
    </row>
    <row r="28" spans="1:7" s="876" customFormat="1" thickBot="1">
      <c r="A28" s="1431" t="s">
        <v>918</v>
      </c>
      <c r="B28" s="1429" t="str">
        <f ca="1">'Basic Ratios'!C60</f>
        <v>N/A</v>
      </c>
      <c r="C28" s="1430" t="s">
        <v>1114</v>
      </c>
    </row>
    <row r="29" spans="1:7" s="876" customFormat="1" thickBot="1">
      <c r="A29" s="1403"/>
      <c r="B29" s="1402"/>
    </row>
    <row r="30" spans="1:7" s="876" customFormat="1" ht="14.25">
      <c r="A30" s="1434" t="s">
        <v>68</v>
      </c>
      <c r="B30" s="2845" t="str">
        <f ca="1">'Company Valuation'!G19</f>
        <v>N/A</v>
      </c>
      <c r="C30" s="1466" t="s">
        <v>1114</v>
      </c>
    </row>
    <row r="31" spans="1:7" s="876" customFormat="1" ht="14.25">
      <c r="A31" s="886" t="str">
        <f>CONCATENATE("Net Present Value  NPV. ( ",Parameters!$H$11," )")</f>
        <v>Net Present Value  NPV. ( € )</v>
      </c>
      <c r="B31" s="2843">
        <f ca="1">'Company Valuation'!G31</f>
        <v>-44354.448520395264</v>
      </c>
      <c r="C31" s="2844" t="str">
        <f>Parameters!$H$11</f>
        <v>€</v>
      </c>
    </row>
    <row r="32" spans="1:7" s="876" customFormat="1" ht="14.25">
      <c r="A32" s="886" t="s">
        <v>919</v>
      </c>
      <c r="B32" s="1900">
        <f>'Company Valuation'!B27</f>
        <v>0.13</v>
      </c>
      <c r="C32" s="1901"/>
    </row>
    <row r="33" spans="1:6" s="876" customFormat="1" ht="14.25">
      <c r="A33" s="1902" t="s">
        <v>920</v>
      </c>
      <c r="B33" s="1904" t="str">
        <f>'Company Valuation'!B29</f>
        <v>perpetuity</v>
      </c>
      <c r="C33" s="1903" t="str">
        <f>'Company Valuation'!C29</f>
        <v/>
      </c>
    </row>
    <row r="34" spans="1:6" s="876" customFormat="1" ht="14.25">
      <c r="A34" s="886" t="s">
        <v>921</v>
      </c>
      <c r="B34" s="1900" t="str">
        <f ca="1">+'Company Valuation'!G21</f>
        <v>N/A</v>
      </c>
      <c r="C34" s="1432"/>
    </row>
    <row r="35" spans="1:6" s="876" customFormat="1" thickBot="1">
      <c r="A35" s="887" t="s">
        <v>922</v>
      </c>
      <c r="B35" s="1712">
        <f ca="1">'Company Valuation'!G23</f>
        <v>-1</v>
      </c>
      <c r="C35" s="1433"/>
    </row>
    <row r="37" spans="1:6" ht="15.75" thickBot="1"/>
    <row r="38" spans="1:6" ht="39" customHeight="1">
      <c r="A38" s="2055" t="s">
        <v>138</v>
      </c>
      <c r="B38" s="2053" t="str">
        <f t="array" ref="B38:F38">anni</f>
        <v>Year 0:   2026</v>
      </c>
      <c r="C38" s="2053" t="str">
        <v>Year 1:   2027</v>
      </c>
      <c r="D38" s="2053" t="str">
        <v>Year 2:   2028</v>
      </c>
      <c r="E38" s="2053" t="str">
        <v>Year 3:   2029</v>
      </c>
      <c r="F38" s="2054" t="str">
        <v>Year 4:   2030</v>
      </c>
    </row>
    <row r="39" spans="1:6">
      <c r="A39" s="886" t="str">
        <f>CONCATENATE("Sales Forecast ( ",Parameters!$H$11," )")</f>
        <v>Sales Forecast ( € )</v>
      </c>
      <c r="B39" s="881">
        <f t="array" aca="1" ref="B39:F39" ca="1">'Basic Ratios'!C35:G35</f>
        <v>7199.9999999999991</v>
      </c>
      <c r="C39" s="881">
        <f ca="1"/>
        <v>12360</v>
      </c>
      <c r="D39" s="881">
        <f ca="1"/>
        <v>13367.339999999998</v>
      </c>
      <c r="E39" s="881">
        <f ca="1"/>
        <v>14463.334572</v>
      </c>
      <c r="F39" s="883">
        <f ca="1"/>
        <v>15640.070423759998</v>
      </c>
    </row>
    <row r="40" spans="1:6" ht="17.25" customHeight="1">
      <c r="A40" s="886" t="str">
        <f>CONCATENATE("Operation Expenses ( ",Parameters!$H$11," )")</f>
        <v>Operation Expenses ( € )</v>
      </c>
      <c r="B40" s="881">
        <f ca="1">'Yearly Income St'!B18+'Yearly Income St'!B9</f>
        <v>16389.599999999999</v>
      </c>
      <c r="C40" s="881">
        <f ca="1">'Yearly Income St'!D18+'Yearly Income St'!D9</f>
        <v>17565.263999999999</v>
      </c>
      <c r="D40" s="881">
        <f ca="1">'Yearly Income St'!G18+'Yearly Income St'!G9</f>
        <v>18296.156760000002</v>
      </c>
      <c r="E40" s="881">
        <f ca="1">'Yearly Income St'!J18+'Yearly Income St'!J9</f>
        <v>19062.572156760001</v>
      </c>
      <c r="F40" s="883">
        <f ca="1">'Yearly Income St'!M18+'Yearly Income St'!M9</f>
        <v>19864.441363984799</v>
      </c>
    </row>
    <row r="41" spans="1:6" ht="17.25" customHeight="1">
      <c r="A41" s="886" t="str">
        <f>CONCATENATE("Financial Result ( ",Parameters!$H$11," )")</f>
        <v>Financial Result ( € )</v>
      </c>
      <c r="B41" s="1761">
        <f ca="1">'Yearly Income St'!B27</f>
        <v>-87.11999999999999</v>
      </c>
      <c r="C41" s="1761">
        <f ca="1">'Yearly Income St'!D27</f>
        <v>-149.55599999999995</v>
      </c>
      <c r="D41" s="1761">
        <f ca="1">'Yearly Income St'!G27</f>
        <v>-161.74481399999999</v>
      </c>
      <c r="E41" s="1761">
        <f ca="1">'Yearly Income St'!J27</f>
        <v>-175.00634832119999</v>
      </c>
      <c r="F41" s="1762">
        <f ca="1">'Yearly Income St'!M27</f>
        <v>-189.24485212749605</v>
      </c>
    </row>
    <row r="42" spans="1:6" ht="17.25" customHeight="1">
      <c r="A42" s="886" t="str">
        <f>CONCATENATE("EBITDA ( ",Parameters!$H$11," )")</f>
        <v>EBITDA ( € )</v>
      </c>
      <c r="B42" s="1761">
        <f ca="1">'Yearly Income St'!B20</f>
        <v>-9189.6</v>
      </c>
      <c r="C42" s="1761">
        <f ca="1">'Yearly Income St'!D20</f>
        <v>-5205.2639999999992</v>
      </c>
      <c r="D42" s="1761">
        <f ca="1">'Yearly Income St'!G20</f>
        <v>-4928.8167600000033</v>
      </c>
      <c r="E42" s="1761">
        <f ca="1">'Yearly Income St'!J20</f>
        <v>-4599.2375847600033</v>
      </c>
      <c r="F42" s="1762">
        <f ca="1">'Yearly Income St'!M20</f>
        <v>-4224.3709402248005</v>
      </c>
    </row>
    <row r="43" spans="1:6" ht="17.25" customHeight="1">
      <c r="A43" s="886" t="str">
        <f>CONCATENATE("Net Earnings Forecast ( ",Parameters!$H$11," )")</f>
        <v>Net Earnings Forecast ( € )</v>
      </c>
      <c r="B43" s="1761">
        <f ca="1">'Yearly Income St'!B33</f>
        <v>-9276.7199999999993</v>
      </c>
      <c r="C43" s="1761">
        <f ca="1">'Yearly Income St'!D33</f>
        <v>-5354.82</v>
      </c>
      <c r="D43" s="1761">
        <f ca="1">'Yearly Income St'!G33</f>
        <v>-5090.561574000003</v>
      </c>
      <c r="E43" s="1761">
        <f ca="1">'Yearly Income St'!J33</f>
        <v>-4774.2439330812003</v>
      </c>
      <c r="F43" s="1762">
        <f ca="1">'Yearly Income St'!M33</f>
        <v>-4413.615792352296</v>
      </c>
    </row>
    <row r="44" spans="1:6" ht="17.25" customHeight="1">
      <c r="A44" s="886" t="str">
        <f>CONCATENATE("Cash Flow Forecast ( ",Parameters!$H$11," )")</f>
        <v>Cash Flow Forecast ( € )</v>
      </c>
      <c r="B44" s="2679">
        <f ca="1">'Cash Flow 0'!$C$40</f>
        <v>-8958.5279999999984</v>
      </c>
      <c r="C44" s="2679">
        <f ca="1">'Cash Flow 1'!$C$40</f>
        <v>-5351.874120000004</v>
      </c>
      <c r="D44" s="2679">
        <f ca="1">'Cash Flow 2'!$C$40</f>
        <v>-5075.2405473000053</v>
      </c>
      <c r="E44" s="2679">
        <f ca="1">'Cash Flow 3'!$C$40</f>
        <v>-4757.5737695144926</v>
      </c>
      <c r="F44" s="2680">
        <f ca="1">'Cash Flow 4'!$C$40</f>
        <v>-4395.7169969529459</v>
      </c>
    </row>
    <row r="45" spans="1:6" ht="17.25" customHeight="1">
      <c r="A45" s="886" t="str">
        <f>CONCATENATE("WCR increases ( ",Parameters!$H$11," )")</f>
        <v>WCR increases ( € )</v>
      </c>
      <c r="B45" s="2679">
        <f ca="1">+'Balance Sheet Statements (EU)'!F50-'Balance Sheet Statements (EU)'!D50</f>
        <v>0</v>
      </c>
      <c r="C45" s="2679">
        <f ca="1">+'Balance Sheet Statements (EU)'!H50-'Balance Sheet Statements (EU)'!F50</f>
        <v>0</v>
      </c>
      <c r="D45" s="2679">
        <f ca="1">+'Balance Sheet Statements (EU)'!J50-'Balance Sheet Statements (EU)'!H50</f>
        <v>0</v>
      </c>
      <c r="E45" s="2679">
        <f ca="1">+'Balance Sheet Statements (EU)'!L50-'Balance Sheet Statements (EU)'!J50</f>
        <v>0</v>
      </c>
      <c r="F45" s="2680">
        <f ca="1">'Balance Sheet Statements (EU)'!N50-'Balance Sheet Statements (EU)'!L50</f>
        <v>0</v>
      </c>
    </row>
    <row r="46" spans="1:6" ht="17.25" customHeight="1">
      <c r="A46" s="886"/>
      <c r="B46" s="884"/>
      <c r="C46" s="884"/>
      <c r="D46" s="884"/>
      <c r="E46" s="884"/>
      <c r="F46" s="885"/>
    </row>
    <row r="47" spans="1:6" ht="17.25" customHeight="1">
      <c r="A47" s="886" t="s">
        <v>924</v>
      </c>
      <c r="B47" s="1464">
        <f t="array" ref="B47:F47">'Basic Ratios'!C32:G32</f>
        <v>1</v>
      </c>
      <c r="C47" s="1464">
        <v>1</v>
      </c>
      <c r="D47" s="1464">
        <v>1</v>
      </c>
      <c r="E47" s="1464">
        <v>1</v>
      </c>
      <c r="F47" s="1465">
        <v>1</v>
      </c>
    </row>
    <row r="48" spans="1:6" ht="17.25" customHeight="1">
      <c r="A48" s="886" t="s">
        <v>925</v>
      </c>
      <c r="B48" s="1467">
        <f t="array" aca="1" ref="B48:F48" ca="1">'Break Even Point'!D20:H20</f>
        <v>0.9</v>
      </c>
      <c r="C48" s="1467">
        <f ca="1"/>
        <v>0.9</v>
      </c>
      <c r="D48" s="1467">
        <f ca="1"/>
        <v>0.89999999999999991</v>
      </c>
      <c r="E48" s="1467">
        <f ca="1"/>
        <v>0.9</v>
      </c>
      <c r="F48" s="1468">
        <f ca="1"/>
        <v>0.89999999999999991</v>
      </c>
    </row>
    <row r="49" spans="1:6" ht="17.25" customHeight="1">
      <c r="A49" s="886" t="s">
        <v>926</v>
      </c>
      <c r="B49" s="1467">
        <f t="array" ref="B49:F49" ca="1">'Basic Ratios'!C4:G4</f>
        <v>1.3363719654494852</v>
      </c>
      <c r="C49" s="1467">
        <f ca="1"/>
        <v>0.43547371862328754</v>
      </c>
      <c r="D49" s="1467">
        <f ca="1"/>
        <v>0.2927780430990426</v>
      </c>
      <c r="E49" s="1469">
        <f ca="1"/>
        <v>0.21543114029586738</v>
      </c>
      <c r="F49" s="1470">
        <f ca="1"/>
        <v>0.16608173922143707</v>
      </c>
    </row>
    <row r="50" spans="1:6" ht="17.25" customHeight="1">
      <c r="A50" s="886" t="s">
        <v>1115</v>
      </c>
      <c r="B50" s="1467">
        <f t="array" ref="B50:F50" ca="1">'Basic Ratios'!C6:G6</f>
        <v>1.3729299241454413</v>
      </c>
      <c r="C50" s="1467">
        <f ca="1"/>
        <v>0.44222723753304471</v>
      </c>
      <c r="D50" s="1467">
        <f ca="1"/>
        <v>0.29623857927308139</v>
      </c>
      <c r="E50" s="1469">
        <f ca="1"/>
        <v>0.21758901976436693</v>
      </c>
      <c r="F50" s="1470">
        <f ca="1"/>
        <v>0.16758052528278333</v>
      </c>
    </row>
    <row r="51" spans="1:6" ht="17.25" customHeight="1" thickBot="1">
      <c r="A51" s="887" t="s">
        <v>928</v>
      </c>
      <c r="B51" s="1471">
        <f t="array" ref="B51:F51" ca="1">'Basic Ratios'!C34:G34</f>
        <v>0.4135395925869198</v>
      </c>
      <c r="C51" s="1471">
        <f ca="1"/>
        <v>0.68123094831463316</v>
      </c>
      <c r="D51" s="1471">
        <f ca="1"/>
        <v>0.70937591274480361</v>
      </c>
      <c r="E51" s="1471">
        <f ca="1"/>
        <v>0.73892056850507604</v>
      </c>
      <c r="F51" s="1472">
        <f ca="1"/>
        <v>0.76916553640277563</v>
      </c>
    </row>
    <row r="52" spans="1:6" ht="17.25" customHeight="1"/>
    <row r="53" spans="1:6">
      <c r="B53" s="2490" t="str">
        <f>IF(finTemporada-inicioTemporada&lt;11,"* Seasonal Business. "&amp;finTemporada-inicioTemporada+1&amp;" months /year from "&amp;Parameters!B15&amp;" to "&amp;Parameters!C15,"")</f>
        <v/>
      </c>
    </row>
    <row r="54" spans="1:6" ht="15.75">
      <c r="A54" s="2590" t="s">
        <v>1059</v>
      </c>
      <c r="B54" s="2591" t="s">
        <v>1060</v>
      </c>
      <c r="C54" s="2591" t="s">
        <v>124</v>
      </c>
      <c r="D54" s="2591" t="s">
        <v>660</v>
      </c>
      <c r="E54" s="2591" t="s">
        <v>1058</v>
      </c>
      <c r="F54" s="2592" t="s">
        <v>260</v>
      </c>
    </row>
    <row r="55" spans="1:6" ht="15.75">
      <c r="A55" s="2588" t="s">
        <v>516</v>
      </c>
      <c r="B55" s="2589">
        <v>0</v>
      </c>
      <c r="C55" s="2589">
        <v>0</v>
      </c>
      <c r="D55" s="2589">
        <v>0</v>
      </c>
      <c r="E55" s="2589">
        <v>0</v>
      </c>
      <c r="F55" s="2589">
        <f>'Balance Sheet Statements (EU)'!D26</f>
        <v>2335</v>
      </c>
    </row>
    <row r="56" spans="1:6" ht="15.75">
      <c r="A56" s="2588" t="str">
        <f t="array" ref="A56:A60">Parameters!B77:B81</f>
        <v>Year 0:   2026</v>
      </c>
      <c r="B56" s="2589">
        <f ca="1">+B39</f>
        <v>7199.9999999999991</v>
      </c>
      <c r="C56" s="2589">
        <f ca="1">+B42</f>
        <v>-9189.6</v>
      </c>
      <c r="D56" s="2589">
        <f ca="1">+B43</f>
        <v>-9276.7199999999993</v>
      </c>
      <c r="E56" s="2589">
        <f ca="1">+B44</f>
        <v>-8958.5279999999984</v>
      </c>
      <c r="F56" s="2589">
        <f ca="1">'Balance Sheet Statements (EU)'!F26</f>
        <v>-6941.7199999999993</v>
      </c>
    </row>
    <row r="57" spans="1:6" ht="15.75">
      <c r="A57" s="2588" t="str">
        <v>Year 1:   2027</v>
      </c>
      <c r="B57" s="2589">
        <f ca="1">+C39</f>
        <v>12360</v>
      </c>
      <c r="C57" s="2589">
        <f ca="1">+C42</f>
        <v>-5205.2639999999992</v>
      </c>
      <c r="D57" s="2589">
        <f ca="1">+C43</f>
        <v>-5354.82</v>
      </c>
      <c r="E57" s="2589">
        <f ca="1">+C44</f>
        <v>-5351.874120000004</v>
      </c>
      <c r="F57" s="2589">
        <f ca="1">'Balance Sheet Statements (EU)'!H26</f>
        <v>-12296.539999999999</v>
      </c>
    </row>
    <row r="58" spans="1:6" ht="15.75">
      <c r="A58" s="2588" t="str">
        <v>Year 2:   2028</v>
      </c>
      <c r="B58" s="2589">
        <f ca="1">+D39</f>
        <v>13367.339999999998</v>
      </c>
      <c r="C58" s="2589">
        <f ca="1">+D42</f>
        <v>-4928.8167600000033</v>
      </c>
      <c r="D58" s="2589">
        <f ca="1">+D43</f>
        <v>-5090.561574000003</v>
      </c>
      <c r="E58" s="2589">
        <f ca="1">+D44</f>
        <v>-5075.2405473000053</v>
      </c>
      <c r="F58" s="2589">
        <f ca="1">'Balance Sheet Statements (EU)'!J26</f>
        <v>-17387.101574</v>
      </c>
    </row>
    <row r="59" spans="1:6" ht="15.75">
      <c r="A59" s="2588" t="str">
        <v>Year 3:   2029</v>
      </c>
      <c r="B59" s="2589">
        <f ca="1">+E39</f>
        <v>14463.334572</v>
      </c>
      <c r="C59" s="2589">
        <f ca="1">+E42</f>
        <v>-4599.2375847600033</v>
      </c>
      <c r="D59" s="2589">
        <f ca="1">+E43</f>
        <v>-4774.2439330812003</v>
      </c>
      <c r="E59" s="2589">
        <f ca="1">+E44</f>
        <v>-4757.5737695144926</v>
      </c>
      <c r="F59" s="2589">
        <f ca="1">'Balance Sheet Statements (EU)'!L26</f>
        <v>-22161.345507081202</v>
      </c>
    </row>
    <row r="60" spans="1:6" ht="15.75">
      <c r="A60" s="2588" t="str">
        <v>Year 4:   2030</v>
      </c>
      <c r="B60" s="2589">
        <f ca="1">+F39</f>
        <v>15640.070423759998</v>
      </c>
      <c r="C60" s="2589">
        <f ca="1">+F42</f>
        <v>-4224.3709402248005</v>
      </c>
      <c r="D60" s="2589">
        <f ca="1">+F43</f>
        <v>-4413.615792352296</v>
      </c>
      <c r="E60" s="2589">
        <f ca="1">+F44</f>
        <v>-4395.7169969529459</v>
      </c>
      <c r="F60" s="2589">
        <f ca="1">'Balance Sheet Statements (EU)'!N26</f>
        <v>-26574.961299433497</v>
      </c>
    </row>
    <row r="61" spans="1:6">
      <c r="B61" s="2490"/>
    </row>
    <row r="62" spans="1:6">
      <c r="B62" s="2490"/>
    </row>
    <row r="63" spans="1:6">
      <c r="B63" s="2490"/>
    </row>
    <row r="64" spans="1:6">
      <c r="B64" s="2490"/>
    </row>
    <row r="65" spans="1:6">
      <c r="B65" s="2490"/>
    </row>
    <row r="66" spans="1:6">
      <c r="B66" s="2490"/>
    </row>
    <row r="67" spans="1:6">
      <c r="B67" s="2490"/>
    </row>
    <row r="68" spans="1:6">
      <c r="A68" s="730"/>
    </row>
    <row r="69" spans="1:6" ht="15.75" thickBot="1"/>
    <row r="70" spans="1:6" ht="18.75" thickBot="1">
      <c r="B70" s="888" t="s">
        <v>931</v>
      </c>
      <c r="C70" s="62"/>
      <c r="D70" s="871"/>
      <c r="E70" s="2518"/>
    </row>
    <row r="71" spans="1:6" ht="15.75" thickBot="1">
      <c r="B71" s="1739" t="str">
        <f>Funding!D11</f>
        <v/>
      </c>
    </row>
    <row r="72" spans="1:6" ht="15.75" thickBot="1">
      <c r="B72" s="889" t="s">
        <v>934</v>
      </c>
      <c r="C72" s="62"/>
      <c r="D72" s="871"/>
    </row>
    <row r="73" spans="1:6">
      <c r="B73" s="356"/>
      <c r="C73" s="890" t="s">
        <v>932</v>
      </c>
      <c r="D73" s="891" t="s">
        <v>933</v>
      </c>
    </row>
    <row r="74" spans="1:6">
      <c r="B74" s="2742" t="str">
        <f t="array" ref="B74:B78">annivert</f>
        <v>Year 0:   2026</v>
      </c>
      <c r="C74" s="892" t="str">
        <f ca="1">IF('Yearly Income St'!B29&gt;0,"Ok","Loss in Year  0")</f>
        <v>Loss in Year  0</v>
      </c>
      <c r="D74" s="872">
        <f ca="1">'Break Even Point'!D31</f>
        <v>0.4135395925869198</v>
      </c>
      <c r="E74" s="1796" t="str">
        <f t="array" ref="E74:E78" ca="1">IF(D74:D78&lt;1,"Sales increase or Cost reduction required in year "&amp;B74:B78,"")</f>
        <v>Sales increase or Cost reduction required in year Year 0:   2026</v>
      </c>
    </row>
    <row r="75" spans="1:6">
      <c r="B75" s="2742" t="str">
        <v>Year 1:   2027</v>
      </c>
      <c r="C75" s="892" t="str">
        <f ca="1">IF('Yearly Income St'!D29&gt;0,"Ok","Loss in Year  1")</f>
        <v>Loss in Year  1</v>
      </c>
      <c r="D75" s="872">
        <f ca="1">'Break Even Point'!E31</f>
        <v>0.68123094831463316</v>
      </c>
      <c r="E75" s="1796" t="str">
        <f ca="1"/>
        <v>Sales increase or Cost reduction required in year Year 1:   2027</v>
      </c>
    </row>
    <row r="76" spans="1:6">
      <c r="B76" s="2742" t="str">
        <v>Year 2:   2028</v>
      </c>
      <c r="C76" s="892" t="str">
        <f ca="1">IF('Yearly Income St'!G29&gt;0,"Ok","Loss in Year  2")</f>
        <v>Loss in Year  2</v>
      </c>
      <c r="D76" s="872">
        <f ca="1">'Break Even Point'!F31</f>
        <v>0.70937591274480361</v>
      </c>
      <c r="E76" s="1796" t="str">
        <f ca="1"/>
        <v>Sales increase or Cost reduction required in year Year 2:   2028</v>
      </c>
    </row>
    <row r="77" spans="1:6">
      <c r="B77" s="2742" t="str">
        <v>Year 3:   2029</v>
      </c>
      <c r="C77" s="892" t="str">
        <f ca="1">IF('Yearly Income St'!J29&gt;0,"Ok","Loss in Year  3")</f>
        <v>Loss in Year  3</v>
      </c>
      <c r="D77" s="872">
        <f ca="1">'Break Even Point'!G31</f>
        <v>0.73892056850507604</v>
      </c>
      <c r="E77" s="1796" t="str">
        <f ca="1"/>
        <v>Sales increase or Cost reduction required in year Year 3:   2029</v>
      </c>
    </row>
    <row r="78" spans="1:6" ht="15.75" thickBot="1">
      <c r="B78" s="2743" t="str">
        <v>Year 4:   2030</v>
      </c>
      <c r="C78" s="893" t="str">
        <f ca="1">IF('Yearly Income St'!M29&gt;0,"Ok","Loss in Year  4")</f>
        <v>Loss in Year  4</v>
      </c>
      <c r="D78" s="873">
        <f ca="1">'Break Even Point'!H31</f>
        <v>0.76916553640277563</v>
      </c>
      <c r="E78" s="1796" t="str">
        <f ca="1"/>
        <v>Sales increase or Cost reduction required in year Year 4:   2030</v>
      </c>
    </row>
    <row r="79" spans="1:6" ht="15.75" thickBot="1">
      <c r="C79" s="1796" t="str">
        <f>Parameters!E13</f>
        <v/>
      </c>
      <c r="F79" s="1796" t="str">
        <f>IF(C79="","","Change season months in Parameters Sheet")</f>
        <v/>
      </c>
    </row>
    <row r="80" spans="1:6" ht="15.75" thickBot="1">
      <c r="B80" s="889" t="s">
        <v>18</v>
      </c>
      <c r="C80" s="62"/>
      <c r="D80" s="871"/>
    </row>
    <row r="81" spans="2:5" ht="15.75" thickBot="1">
      <c r="B81" s="894"/>
      <c r="C81" s="890" t="s">
        <v>936</v>
      </c>
      <c r="D81" s="2488" t="s">
        <v>935</v>
      </c>
      <c r="E81" s="1798" t="str">
        <f>Funding!D65</f>
        <v/>
      </c>
    </row>
    <row r="82" spans="2:5">
      <c r="B82" s="2744" t="s">
        <v>516</v>
      </c>
      <c r="C82" s="1317" t="str">
        <f ca="1">IF(D82&gt;0.4,"Ok",IF(D82&lt;-0.4,"Deficit","Ok"))</f>
        <v>Ok</v>
      </c>
      <c r="D82" s="1794">
        <f ca="1">MIN('Cash Flow 0'!B35,0)</f>
        <v>0</v>
      </c>
      <c r="E82" s="1796" t="str">
        <f t="array" ref="E82:E87" ca="1">IF(D82:D87&lt;0,"Additional Funding required in year  "&amp;B82:B87,"")</f>
        <v/>
      </c>
    </row>
    <row r="83" spans="2:5">
      <c r="B83" s="2742" t="str">
        <f t="array" ref="B83:B87">annivert</f>
        <v>Year 0:   2026</v>
      </c>
      <c r="C83" s="892" t="str">
        <f ca="1">IF('Cash Flow 0'!$C$39=0,"Ok","Deficit")</f>
        <v>Deficit</v>
      </c>
      <c r="D83" s="1319">
        <f ca="1">-'Cash Flow 0'!$C$39</f>
        <v>-6756.8779999999988</v>
      </c>
      <c r="E83" s="1796" t="str">
        <f ca="1"/>
        <v>Additional Funding required in year  Year 0:   2026</v>
      </c>
    </row>
    <row r="84" spans="2:5">
      <c r="B84" s="2742" t="str">
        <v>Year 1:   2027</v>
      </c>
      <c r="C84" s="892" t="str">
        <f ca="1">IF('Cash Flow 1'!$C$39=0,"Ok","Deficit")</f>
        <v>Deficit</v>
      </c>
      <c r="D84" s="1319">
        <f ca="1">-'Cash Flow 1'!$C$39</f>
        <v>-12108.752120000003</v>
      </c>
      <c r="E84" s="1796" t="str">
        <f ca="1"/>
        <v>Additional Funding required in year  Year 1:   2027</v>
      </c>
    </row>
    <row r="85" spans="2:5">
      <c r="B85" s="2742" t="str">
        <v>Year 2:   2028</v>
      </c>
      <c r="C85" s="892" t="str">
        <f ca="1">IF('Cash Flow 2'!$C$39=0,"Ok","Deficit")</f>
        <v>Deficit</v>
      </c>
      <c r="D85" s="1319">
        <f ca="1">-'Cash Flow 2'!$C$39</f>
        <v>-17183.992667300008</v>
      </c>
      <c r="E85" s="1796" t="str">
        <f ca="1"/>
        <v>Additional Funding required in year  Year 2:   2028</v>
      </c>
    </row>
    <row r="86" spans="2:5">
      <c r="B86" s="2742" t="str">
        <v>Year 3:   2029</v>
      </c>
      <c r="C86" s="892" t="str">
        <f ca="1">IF('Cash Flow 3'!$C$39=0,"Ok","Deficit")</f>
        <v>Deficit</v>
      </c>
      <c r="D86" s="1319">
        <f ca="1">-'Cash Flow 3'!$C$39</f>
        <v>-21941.566436814501</v>
      </c>
      <c r="E86" s="1796" t="str">
        <f ca="1"/>
        <v>Additional Funding required in year  Year 3:   2029</v>
      </c>
    </row>
    <row r="87" spans="2:5" ht="15.75" thickBot="1">
      <c r="B87" s="2743" t="str">
        <v>Year 4:   2030</v>
      </c>
      <c r="C87" s="893" t="str">
        <f ca="1">IF('Cash Flow 4'!$C$39=0,"Ok","Deficit")</f>
        <v>Deficit</v>
      </c>
      <c r="D87" s="1320">
        <f ca="1">-'Cash Flow 4'!$C$39</f>
        <v>-26337.283433767447</v>
      </c>
      <c r="E87" s="1796" t="str">
        <f ca="1"/>
        <v>Additional Funding required in year  Year 4:   2030</v>
      </c>
    </row>
    <row r="88" spans="2:5" ht="15.75" thickBot="1"/>
    <row r="89" spans="2:5" ht="15.75" thickBot="1">
      <c r="B89" s="889" t="s">
        <v>19</v>
      </c>
      <c r="C89" s="62"/>
      <c r="D89" s="871"/>
    </row>
    <row r="90" spans="2:5" ht="15.75" thickBot="1">
      <c r="B90" s="356"/>
      <c r="C90" s="890" t="s">
        <v>938</v>
      </c>
      <c r="D90" s="2489" t="s">
        <v>937</v>
      </c>
    </row>
    <row r="91" spans="2:5">
      <c r="B91" s="2744" t="str">
        <f>B82</f>
        <v>Initial</v>
      </c>
      <c r="C91" s="895" t="str">
        <f ca="1">IF('Balance Sheet Statements (EU)'!D53="","Ok",'Balance Sheet Statements (EU)'!D53)</f>
        <v>Ok</v>
      </c>
      <c r="D91" s="896" t="str">
        <f>IF('Balance Sheet Statements (EU)'!$D$48&lt;0,'Balance Sheet Statements (EU)'!$D$48,"Ok")</f>
        <v>Ok</v>
      </c>
      <c r="E91" s="1796" t="str">
        <f t="array" ref="E91:E96">IF(D91:D96&lt;0,"Additional Long Term Funding required in year   "&amp;B91:B96,"")</f>
        <v/>
      </c>
    </row>
    <row r="92" spans="2:5">
      <c r="B92" s="2742" t="str">
        <f t="array" ref="B92:B96">annivert</f>
        <v>Year 0:   2026</v>
      </c>
      <c r="C92" s="892" t="str">
        <f ca="1">IF('Balance Sheet Statements (EU)'!F53="","Ok",'Balance Sheet Statements (EU)'!F53)</f>
        <v>Ok</v>
      </c>
      <c r="D92" s="897">
        <f ca="1">IF('Balance Sheet Statements (EU)'!$F$48&lt;0,'Balance Sheet Statements (EU)'!$F$48,"Ok")</f>
        <v>-6941.7199999999993</v>
      </c>
      <c r="E92" s="1796" t="str">
        <f ca="1"/>
        <v>Additional Long Term Funding required in year   Year 0:   2026</v>
      </c>
    </row>
    <row r="93" spans="2:5">
      <c r="B93" s="2742" t="str">
        <v>Year 1:   2027</v>
      </c>
      <c r="C93" s="892" t="str">
        <f ca="1">IF('Balance Sheet Statements (EU)'!H53="","Ok",'Balance Sheet Statements (EU)'!H53)</f>
        <v>Ok</v>
      </c>
      <c r="D93" s="897">
        <f ca="1">IF('Balance Sheet Statements (EU)'!$H$48&lt;0,'Balance Sheet Statements (EU)'!$H$48,"Ok")</f>
        <v>-12296.539999999999</v>
      </c>
      <c r="E93" s="1796" t="str">
        <f ca="1"/>
        <v>Additional Long Term Funding required in year   Year 1:   2027</v>
      </c>
    </row>
    <row r="94" spans="2:5">
      <c r="B94" s="2742" t="str">
        <v>Year 2:   2028</v>
      </c>
      <c r="C94" s="892" t="str">
        <f ca="1">IF('Balance Sheet Statements (EU)'!J53="","Ok",'Balance Sheet Statements (EU)'!J53)</f>
        <v>Ok</v>
      </c>
      <c r="D94" s="897">
        <f ca="1">IF('Balance Sheet Statements (EU)'!$J$48&lt;0,'Balance Sheet Statements (EU)'!$J$48,"Ok")</f>
        <v>-17387.101574</v>
      </c>
      <c r="E94" s="1796" t="str">
        <f ca="1"/>
        <v>Additional Long Term Funding required in year   Year 2:   2028</v>
      </c>
    </row>
    <row r="95" spans="2:5">
      <c r="B95" s="2742" t="str">
        <v>Year 3:   2029</v>
      </c>
      <c r="C95" s="892" t="str">
        <f ca="1">IF('Balance Sheet Statements (EU)'!L53="","Ok",'Balance Sheet Statements (EU)'!L53)</f>
        <v>Ok</v>
      </c>
      <c r="D95" s="897">
        <f ca="1">IF('Balance Sheet Statements (EU)'!$L$48&lt;0,'Balance Sheet Statements (EU)'!$L$48,"Ok")</f>
        <v>-22161.345507081202</v>
      </c>
      <c r="E95" s="1796" t="str">
        <f ca="1"/>
        <v>Additional Long Term Funding required in year   Year 3:   2029</v>
      </c>
    </row>
    <row r="96" spans="2:5" ht="15.75" thickBot="1">
      <c r="B96" s="2743" t="str">
        <v>Year 4:   2030</v>
      </c>
      <c r="C96" s="893" t="str">
        <f ca="1">IF('Balance Sheet Statements (EU)'!N53="","Ok",'Balance Sheet Statements (EU)'!N53)</f>
        <v>Ok</v>
      </c>
      <c r="D96" s="1318">
        <f ca="1">IF('Balance Sheet Statements (EU)'!$N$48&lt;0,'Balance Sheet Statements (EU)'!$N$48,"Ok")</f>
        <v>-26574.961299433497</v>
      </c>
      <c r="E96" s="1796" t="str">
        <f ca="1"/>
        <v>Additional Long Term Funding required in year   Year 4:   2030</v>
      </c>
    </row>
  </sheetData>
  <sheetProtection sheet="1" objects="1" scenarios="1"/>
  <phoneticPr fontId="7" type="noConversion"/>
  <conditionalFormatting sqref="C74:C78 C82:C87 C91:D96">
    <cfRule type="cellIs" dxfId="0" priority="1" stopIfTrue="1" operator="equal">
      <formula>"OK"</formula>
    </cfRule>
  </conditionalFormatting>
  <printOptions horizontalCentered="1"/>
  <pageMargins left="0.55118110236220474" right="0.75" top="0.98" bottom="0.51" header="0" footer="0.37"/>
  <pageSetup paperSize="9" scale="68" orientation="portrait" horizontalDpi="4294967292" r:id="rId1"/>
  <headerFooter alignWithMargins="0"/>
  <drawing r:id="rId2"/>
  <legacyDrawing r:id="rId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000"/>
    <pageSetUpPr fitToPage="1"/>
  </sheetPr>
  <dimension ref="A1:F75"/>
  <sheetViews>
    <sheetView topLeftCell="A19" zoomScaleNormal="100" workbookViewId="0">
      <selection activeCell="B38" sqref="B38"/>
    </sheetView>
  </sheetViews>
  <sheetFormatPr baseColWidth="10" defaultColWidth="11" defaultRowHeight="15"/>
  <cols>
    <col min="1" max="1" width="42.25" style="35" customWidth="1"/>
    <col min="2" max="2" width="12.875" style="35" customWidth="1"/>
    <col min="3" max="3" width="13.875" style="35" customWidth="1"/>
    <col min="4" max="4" width="13.5" style="35" customWidth="1"/>
    <col min="5" max="5" width="14.375" style="35" customWidth="1"/>
    <col min="6" max="6" width="14.875" style="35" customWidth="1"/>
    <col min="7" max="16384" width="11" style="35"/>
  </cols>
  <sheetData>
    <row r="1" spans="1:6" ht="19.5">
      <c r="A1" s="390" t="s">
        <v>1150</v>
      </c>
    </row>
    <row r="2" spans="1:6" ht="22.5">
      <c r="A2" s="66" t="str">
        <f>'Base Data'!B9</f>
        <v>WWW, Ltd.</v>
      </c>
    </row>
    <row r="3" spans="1:6" ht="22.5">
      <c r="A3" s="66"/>
    </row>
    <row r="4" spans="1:6" ht="21">
      <c r="B4" s="2941" t="s">
        <v>1151</v>
      </c>
    </row>
    <row r="6" spans="1:6">
      <c r="A6" s="35" t="s">
        <v>1152</v>
      </c>
    </row>
    <row r="7" spans="1:6" ht="15.75" thickBot="1"/>
    <row r="8" spans="1:6" customFormat="1" ht="34.5" thickBot="1">
      <c r="A8" s="2942" t="s">
        <v>1153</v>
      </c>
      <c r="B8" s="2943" t="s">
        <v>1154</v>
      </c>
      <c r="C8" s="2943" t="s">
        <v>1184</v>
      </c>
      <c r="D8" s="2943" t="s">
        <v>1155</v>
      </c>
      <c r="E8" s="2943" t="s">
        <v>1156</v>
      </c>
      <c r="F8" s="2944" t="s">
        <v>1157</v>
      </c>
    </row>
    <row r="9" spans="1:6" customFormat="1" ht="16.5" thickBot="1">
      <c r="A9" s="2945"/>
      <c r="B9" s="2946"/>
      <c r="C9" s="2946"/>
      <c r="D9" s="2946"/>
      <c r="E9" s="2946"/>
      <c r="F9" s="2946"/>
    </row>
    <row r="10" spans="1:6" customFormat="1" ht="16.5" thickBot="1">
      <c r="A10" s="2947"/>
      <c r="B10" s="2948"/>
      <c r="C10" s="2948"/>
      <c r="D10" s="2948"/>
      <c r="E10" s="2948"/>
      <c r="F10" s="2948"/>
    </row>
    <row r="11" spans="1:6" customFormat="1" ht="16.5" thickBot="1">
      <c r="A11" s="2947"/>
      <c r="B11" s="2948"/>
      <c r="C11" s="2948"/>
      <c r="D11" s="2948"/>
      <c r="E11" s="2948"/>
      <c r="F11" s="2948"/>
    </row>
    <row r="12" spans="1:6" customFormat="1" ht="16.5" thickBot="1">
      <c r="A12" s="2947"/>
      <c r="B12" s="2948"/>
      <c r="C12" s="2948"/>
      <c r="D12" s="2948"/>
      <c r="E12" s="2948"/>
      <c r="F12" s="2948"/>
    </row>
    <row r="13" spans="1:6" s="2949" customFormat="1" ht="15.75"/>
    <row r="14" spans="1:6">
      <c r="A14" s="35" t="s">
        <v>1183</v>
      </c>
    </row>
    <row r="15" spans="1:6" ht="7.5" customHeight="1"/>
    <row r="16" spans="1:6" ht="24" customHeight="1">
      <c r="A16" s="2997"/>
      <c r="B16" s="2998" t="s">
        <v>1158</v>
      </c>
      <c r="C16" s="2999">
        <f>'Initial Funding'!B6/1000</f>
        <v>0</v>
      </c>
      <c r="D16" s="3000" t="str">
        <f>Parameters!$H$11&amp;" thousands"</f>
        <v>€ thousands</v>
      </c>
    </row>
    <row r="18" spans="1:6" ht="18.75">
      <c r="A18" s="35" t="s">
        <v>1182</v>
      </c>
      <c r="C18" s="2950" t="str">
        <f>IF(isoc=0,"¡¡WARNING!!   Legal (Taxation) Form: "&amp;'Base Data'!$B$24,"")</f>
        <v/>
      </c>
    </row>
    <row r="19" spans="1:6" ht="15.75" thickBot="1"/>
    <row r="20" spans="1:6">
      <c r="A20" s="3297" t="s">
        <v>1159</v>
      </c>
      <c r="B20" s="2951">
        <f t="array" ref="B20:F20">Parameters!D$63:H$63</f>
        <v>46023</v>
      </c>
      <c r="C20" s="2951">
        <v>46388</v>
      </c>
      <c r="D20" s="2951">
        <v>46753</v>
      </c>
      <c r="E20" s="2951">
        <v>47119</v>
      </c>
      <c r="F20" s="2951">
        <v>47484</v>
      </c>
    </row>
    <row r="21" spans="1:6" ht="15.75" thickBot="1">
      <c r="A21" s="3298"/>
      <c r="B21" s="2952" t="s">
        <v>1145</v>
      </c>
      <c r="C21" s="2953" t="s">
        <v>1085</v>
      </c>
      <c r="D21" s="2954" t="s">
        <v>1085</v>
      </c>
      <c r="E21" s="2955" t="s">
        <v>1085</v>
      </c>
      <c r="F21" s="2954" t="s">
        <v>1085</v>
      </c>
    </row>
    <row r="22" spans="1:6" ht="21" customHeight="1" thickBot="1">
      <c r="A22" s="2956" t="s">
        <v>1181</v>
      </c>
      <c r="B22" s="2968">
        <f t="array" aca="1" ref="B22:F22" ca="1">'Executive Summary'!B39:F39</f>
        <v>7199.9999999999991</v>
      </c>
      <c r="C22" s="2969">
        <f ca="1"/>
        <v>12360</v>
      </c>
      <c r="D22" s="2968">
        <f ca="1"/>
        <v>13367.339999999998</v>
      </c>
      <c r="E22" s="2969">
        <f ca="1"/>
        <v>14463.334572</v>
      </c>
      <c r="F22" s="2968">
        <f ca="1"/>
        <v>15640.070423759998</v>
      </c>
    </row>
    <row r="23" spans="1:6" ht="21" customHeight="1" thickBot="1">
      <c r="A23" s="2957" t="s">
        <v>1180</v>
      </c>
      <c r="B23" s="2968">
        <f ca="1">'Yearly Income St'!B11</f>
        <v>720</v>
      </c>
      <c r="C23" s="2969">
        <f ca="1">'Yearly Income St'!D11</f>
        <v>1236.0000000000002</v>
      </c>
      <c r="D23" s="2968">
        <f ca="1">'Yearly Income St'!G11</f>
        <v>1336.7340000000004</v>
      </c>
      <c r="E23" s="2969">
        <f ca="1">'Yearly Income St'!J11</f>
        <v>1446.3334571999997</v>
      </c>
      <c r="F23" s="2968">
        <f ca="1">'Yearly Income St'!M11</f>
        <v>1564.0070423760001</v>
      </c>
    </row>
    <row r="24" spans="1:6" ht="21" customHeight="1" thickBot="1">
      <c r="A24" s="2956" t="s">
        <v>1179</v>
      </c>
      <c r="B24" s="2968">
        <f ca="1">'Yearly Income St'!B18</f>
        <v>15669.6</v>
      </c>
      <c r="C24" s="2969">
        <f ca="1">'Yearly Income St'!D18</f>
        <v>16329.263999999999</v>
      </c>
      <c r="D24" s="2968">
        <f ca="1">'Yearly Income St'!G18</f>
        <v>16959.422760000001</v>
      </c>
      <c r="E24" s="2969">
        <f ca="1">'Yearly Income St'!J18</f>
        <v>17616.238699560003</v>
      </c>
      <c r="F24" s="2968">
        <f ca="1">'Yearly Income St'!M18</f>
        <v>18300.434321608798</v>
      </c>
    </row>
    <row r="25" spans="1:6" ht="21" customHeight="1" thickBot="1">
      <c r="A25" s="2958" t="s">
        <v>1178</v>
      </c>
      <c r="B25" s="2968">
        <f t="array" ref="B25:F25" ca="1">B23:F23+B24:F24</f>
        <v>16389.599999999999</v>
      </c>
      <c r="C25" s="2969">
        <f ca="1"/>
        <v>17565.263999999999</v>
      </c>
      <c r="D25" s="2968">
        <f ca="1"/>
        <v>18296.156760000002</v>
      </c>
      <c r="E25" s="2969">
        <f ca="1"/>
        <v>19062.572156760001</v>
      </c>
      <c r="F25" s="2968">
        <f ca="1"/>
        <v>19864.441363984799</v>
      </c>
    </row>
    <row r="26" spans="1:6" ht="25.5" thickTop="1" thickBot="1">
      <c r="A26" s="2959" t="s">
        <v>1177</v>
      </c>
      <c r="B26" s="2968">
        <f t="array" ref="B26:F26" ca="1">B22:F22-B25:F25</f>
        <v>-9189.5999999999985</v>
      </c>
      <c r="C26" s="2969">
        <f ca="1"/>
        <v>-5205.2639999999992</v>
      </c>
      <c r="D26" s="2968">
        <f ca="1"/>
        <v>-4928.8167600000033</v>
      </c>
      <c r="E26" s="2969">
        <f ca="1"/>
        <v>-4599.2375847600015</v>
      </c>
      <c r="F26" s="2968">
        <f ca="1"/>
        <v>-4224.3709402248005</v>
      </c>
    </row>
    <row r="27" spans="1:6" ht="21" customHeight="1" thickTop="1" thickBot="1">
      <c r="A27" s="2956" t="s">
        <v>1176</v>
      </c>
      <c r="B27" s="2968">
        <v>0</v>
      </c>
      <c r="C27" s="2969">
        <v>0</v>
      </c>
      <c r="D27" s="2968">
        <v>0</v>
      </c>
      <c r="E27" s="2969">
        <v>0</v>
      </c>
      <c r="F27" s="2968">
        <v>0</v>
      </c>
    </row>
    <row r="28" spans="1:6" ht="20.25" customHeight="1" thickBot="1">
      <c r="A28" s="2956" t="s">
        <v>1146</v>
      </c>
      <c r="B28" s="2968">
        <f t="array" ref="B28:F28" ca="1">B26:F26-B27:F27</f>
        <v>-9189.5999999999985</v>
      </c>
      <c r="C28" s="2969">
        <f ca="1"/>
        <v>-5205.2639999999992</v>
      </c>
      <c r="D28" s="2968">
        <f ca="1"/>
        <v>-4928.8167600000033</v>
      </c>
      <c r="E28" s="2969">
        <f ca="1"/>
        <v>-4599.2375847600015</v>
      </c>
      <c r="F28" s="2968">
        <f ca="1"/>
        <v>-4224.3709402248005</v>
      </c>
    </row>
    <row r="29" spans="1:6" ht="20.25" customHeight="1" thickBot="1">
      <c r="A29" s="2960" t="s">
        <v>1174</v>
      </c>
      <c r="B29" s="2968">
        <f t="array" ref="B29:F29" ca="1">'Break Even Point'!D27:H27</f>
        <v>17507.466666666667</v>
      </c>
      <c r="C29" s="2969">
        <f ca="1"/>
        <v>18309.8</v>
      </c>
      <c r="D29" s="2968">
        <f ca="1"/>
        <v>19023.519526666671</v>
      </c>
      <c r="E29" s="2969">
        <f ca="1"/>
        <v>19768.050053201336</v>
      </c>
      <c r="F29" s="2968">
        <f ca="1"/>
        <v>20544.087970818106</v>
      </c>
    </row>
    <row r="30" spans="1:6" ht="20.25" customHeight="1" thickBot="1">
      <c r="A30" s="2960" t="s">
        <v>1175</v>
      </c>
      <c r="B30" s="2968">
        <f t="array" ref="B30:F30" ca="1">'Executive Summary'!B44:F44</f>
        <v>-8958.5279999999984</v>
      </c>
      <c r="C30" s="2969">
        <f ca="1"/>
        <v>-5351.874120000004</v>
      </c>
      <c r="D30" s="2968">
        <f ca="1"/>
        <v>-5075.2405473000053</v>
      </c>
      <c r="E30" s="2969">
        <f ca="1"/>
        <v>-4757.5737695144926</v>
      </c>
      <c r="F30" s="2968">
        <f ca="1"/>
        <v>-4395.7169969529459</v>
      </c>
    </row>
    <row r="33" spans="1:6" ht="18.75">
      <c r="A33" s="878" t="s">
        <v>1171</v>
      </c>
      <c r="B33" s="2967" t="s">
        <v>1172</v>
      </c>
      <c r="C33" s="2950" t="str">
        <f>IF(isoc=0,"¡¡WARNING!!   Legal (Taxation) Form: "&amp;'Base Data'!$B$24,"")</f>
        <v/>
      </c>
      <c r="D33"/>
      <c r="E33"/>
      <c r="F33"/>
    </row>
    <row r="34" spans="1:6" ht="16.5" thickBot="1">
      <c r="A34" s="2961"/>
      <c r="B34"/>
      <c r="C34"/>
      <c r="D34"/>
      <c r="E34"/>
      <c r="F34"/>
    </row>
    <row r="35" spans="1:6" ht="15.75" thickBot="1">
      <c r="A35" s="3299" t="s">
        <v>1159</v>
      </c>
      <c r="B35" s="2951">
        <f t="array" ref="B35:F35">Parameters!D$63:H$63</f>
        <v>46023</v>
      </c>
      <c r="C35" s="2951">
        <v>46388</v>
      </c>
      <c r="D35" s="2951">
        <v>46753</v>
      </c>
      <c r="E35" s="2951">
        <v>47119</v>
      </c>
      <c r="F35" s="2951">
        <v>47484</v>
      </c>
    </row>
    <row r="36" spans="1:6" ht="15.75" thickBot="1">
      <c r="A36" s="3299"/>
      <c r="B36" s="2952" t="s">
        <v>1145</v>
      </c>
      <c r="C36" s="2952" t="s">
        <v>1085</v>
      </c>
      <c r="D36" s="2952" t="s">
        <v>1085</v>
      </c>
      <c r="E36" s="2952" t="s">
        <v>1085</v>
      </c>
      <c r="F36" s="2952" t="s">
        <v>1085</v>
      </c>
    </row>
    <row r="37" spans="1:6" ht="27.75" customHeight="1" thickBot="1">
      <c r="A37" s="2989" t="s">
        <v>1169</v>
      </c>
      <c r="B37" s="2990">
        <f t="array" ref="B37:F38" ca="1">'Executive Summary'!B49:F50</f>
        <v>1.3363719654494852</v>
      </c>
      <c r="C37" s="2991">
        <f ca="1"/>
        <v>0.43547371862328754</v>
      </c>
      <c r="D37" s="2990">
        <f ca="1"/>
        <v>0.2927780430990426</v>
      </c>
      <c r="E37" s="2991">
        <f ca="1"/>
        <v>0.21543114029586738</v>
      </c>
      <c r="F37" s="2990">
        <f ca="1"/>
        <v>0.16608173922143707</v>
      </c>
    </row>
    <row r="38" spans="1:6" ht="27.75" customHeight="1" thickBot="1">
      <c r="A38" s="2989" t="s">
        <v>1170</v>
      </c>
      <c r="B38" s="2990">
        <f ca="1"/>
        <v>1.3729299241454413</v>
      </c>
      <c r="C38" s="2991">
        <f ca="1"/>
        <v>0.44222723753304471</v>
      </c>
      <c r="D38" s="2990">
        <f ca="1"/>
        <v>0.29623857927308139</v>
      </c>
      <c r="E38" s="2991">
        <f ca="1"/>
        <v>0.21758901976436693</v>
      </c>
      <c r="F38" s="2990">
        <f ca="1"/>
        <v>0.16758052528278333</v>
      </c>
    </row>
    <row r="39" spans="1:6" ht="27.75" customHeight="1" thickBot="1">
      <c r="A39" s="2989" t="s">
        <v>1168</v>
      </c>
      <c r="B39" s="2992">
        <f ca="1">'Yearly Income St'!B23*IF(isoc=0,(1-'Personal Income Tax'!K27),(1-isoc))</f>
        <v>-6892.2000000000007</v>
      </c>
      <c r="C39" s="2993">
        <f ca="1">'Yearly Income St'!D23*IF(isoc=0,(1-'Personal Income Tax'!L27),(1-isoc))</f>
        <v>-3903.9479999999994</v>
      </c>
      <c r="D39" s="2992">
        <f ca="1">'Yearly Income St'!G23*IF(isoc=0,(1-'Personal Income Tax'!M27),(1-isoc))</f>
        <v>-3696.6125700000025</v>
      </c>
      <c r="E39" s="2993">
        <f ca="1">'Yearly Income St'!J23*IF(isoc=0,(1-'Personal Income Tax'!N27),(1-isoc))</f>
        <v>-3449.4281885700025</v>
      </c>
      <c r="F39" s="2992">
        <f ca="1">'Yearly Income St'!M23*IF(isoc=0,(1-'Personal Income Tax'!O27),(1-isoc))</f>
        <v>-3168.2782051686004</v>
      </c>
    </row>
    <row r="40" spans="1:6" ht="27.75" customHeight="1" thickBot="1">
      <c r="A40" s="2989" t="s">
        <v>1167</v>
      </c>
      <c r="B40" s="2992">
        <f ca="1">-SUM('Company Valuation'!B10:C12)</f>
        <v>0</v>
      </c>
      <c r="C40" s="2993">
        <f t="array" aca="1" ref="C40:F40" ca="1">-'Company Valuation'!D10:G10-'Company Valuation'!D11:G11-'Company Valuation'!D12:G12</f>
        <v>0</v>
      </c>
      <c r="D40" s="2992">
        <f ca="1"/>
        <v>0</v>
      </c>
      <c r="E40" s="2993">
        <f ca="1"/>
        <v>0</v>
      </c>
      <c r="F40" s="2992">
        <f ca="1"/>
        <v>0</v>
      </c>
    </row>
    <row r="41" spans="1:6" ht="27.75" customHeight="1" thickBot="1">
      <c r="A41" s="2989" t="s">
        <v>1166</v>
      </c>
      <c r="B41" s="2992">
        <f ca="1">SUM('Company Valuation'!B7:C9)</f>
        <v>-9189.5999999999985</v>
      </c>
      <c r="C41" s="2993">
        <f t="array" ref="C41:F41" ca="1">'Company Valuation'!D7:G7+'Company Valuation'!D8:G8+'Company Valuation'!D9:G9</f>
        <v>-5205.2640000000001</v>
      </c>
      <c r="D41" s="2992">
        <f ca="1"/>
        <v>-4928.8167600000033</v>
      </c>
      <c r="E41" s="2993">
        <f ca="1"/>
        <v>-4599.2375847600006</v>
      </c>
      <c r="F41" s="2992">
        <f ca="1"/>
        <v>-4224.3709402247996</v>
      </c>
    </row>
    <row r="42" spans="1:6" ht="27.75" customHeight="1" thickBot="1">
      <c r="A42" s="2989" t="s">
        <v>1165</v>
      </c>
      <c r="B42" s="2992">
        <f ca="1">SUM('Company Valuation'!B14:C14)</f>
        <v>-9189.5999999999985</v>
      </c>
      <c r="C42" s="2993">
        <f t="array" ref="C42:F42" ca="1">'Company Valuation'!D14:G14</f>
        <v>-5205.2640000000001</v>
      </c>
      <c r="D42" s="2992">
        <f ca="1"/>
        <v>-4928.8167600000033</v>
      </c>
      <c r="E42" s="2993">
        <f ca="1"/>
        <v>-4599.2375847600006</v>
      </c>
      <c r="F42" s="2992">
        <f ca="1"/>
        <v>-4224.3709402247996</v>
      </c>
    </row>
    <row r="43" spans="1:6" ht="28.5" customHeight="1" thickBot="1">
      <c r="A43" s="2994" t="s">
        <v>1190</v>
      </c>
      <c r="B43" s="3035">
        <f ca="1">B42/('Balance Sheet Statements'!F39+'Balance Sheet Statements'!F34)</f>
        <v>1.323821761753571</v>
      </c>
      <c r="C43" s="3036">
        <f ca="1">C42/('Balance Sheet Statements'!H39+'Balance Sheet Statements'!H34)</f>
        <v>0.42331127292718118</v>
      </c>
      <c r="D43" s="3035">
        <f ca="1">D42/('Balance Sheet Statements'!J39+'Balance Sheet Statements'!J34)</f>
        <v>0.28347546823849962</v>
      </c>
      <c r="E43" s="3036">
        <f ca="1">E42/('Balance Sheet Statements'!L39+'Balance Sheet Statements'!L34)</f>
        <v>0.20753422138968994</v>
      </c>
      <c r="F43" s="3035">
        <f ca="1">F42/('Balance Sheet Statements'!N39+'Balance Sheet Statements'!N34)</f>
        <v>0.15896056790550628</v>
      </c>
    </row>
    <row r="46" spans="1:6" ht="15.75">
      <c r="A46" s="2961" t="s">
        <v>1173</v>
      </c>
      <c r="B46"/>
      <c r="C46" s="5" t="s">
        <v>1172</v>
      </c>
    </row>
    <row r="47" spans="1:6" ht="16.5" thickBot="1">
      <c r="A47" s="2961"/>
      <c r="B47"/>
    </row>
    <row r="48" spans="1:6" ht="19.5" thickBot="1">
      <c r="A48" s="3299" t="s">
        <v>1159</v>
      </c>
      <c r="B48" s="2951">
        <f>Parameters!H63</f>
        <v>47484</v>
      </c>
      <c r="D48" s="2950" t="str">
        <f>IF(isoc=0,"¡¡WARNING!!   Legal (Taxation) Form: "&amp;'Base Data'!$B$24,"")</f>
        <v/>
      </c>
    </row>
    <row r="49" spans="1:6" ht="15.75" thickBot="1">
      <c r="A49" s="3299"/>
      <c r="B49" s="2952" t="s">
        <v>1085</v>
      </c>
    </row>
    <row r="50" spans="1:6" ht="17.25" customHeight="1" thickBot="1">
      <c r="A50" s="2989" t="str">
        <f>"Terminal Value ( "&amp;Parameters!$H$11&amp;" )"</f>
        <v>Terminal Value ( € )</v>
      </c>
      <c r="B50" s="2992">
        <f ca="1">'Company Valuation'!G29</f>
        <v>-20738.409718505536</v>
      </c>
    </row>
    <row r="51" spans="1:6" ht="17.25" customHeight="1" thickBot="1">
      <c r="A51" s="2989" t="str">
        <f>"Company Value ( "&amp;Parameters!$H$11&amp;" )"</f>
        <v>Company Value ( € )</v>
      </c>
      <c r="B51" s="2992">
        <f ca="1">'Balance Sheet Statements'!N39+B52-'Balance Sheet Statements'!N22</f>
        <v>-26337.283433767432</v>
      </c>
    </row>
    <row r="52" spans="1:6" ht="17.25" customHeight="1" thickBot="1">
      <c r="A52" s="2989" t="str">
        <f>"Debt ( "&amp;Parameters!$H$11&amp;" )"</f>
        <v>Debt ( € )</v>
      </c>
      <c r="B52" s="2992">
        <f ca="1">'Balance Sheet Statements'!N26+'Balance Sheet Statements'!N34</f>
        <v>237.677865666066</v>
      </c>
    </row>
    <row r="53" spans="1:6" ht="17.25" customHeight="1" thickBot="1">
      <c r="A53" s="2989" t="str">
        <f>"Equty Value ( "&amp;Parameters!$H$11&amp;" )"</f>
        <v>Equty Value ( € )</v>
      </c>
      <c r="B53" s="2992">
        <f ca="1">'Balance Sheet Statements'!N39</f>
        <v>-26574.961299433497</v>
      </c>
    </row>
    <row r="54" spans="1:6" ht="17.25" customHeight="1" thickBot="1">
      <c r="A54" s="2989" t="str">
        <f>"Actual Value ( "&amp;Parameters!$H$11&amp;" )"</f>
        <v>Actual Value ( € )</v>
      </c>
      <c r="B54" s="2992">
        <f ca="1">'Company Valuation'!G29</f>
        <v>-20738.409718505536</v>
      </c>
    </row>
    <row r="55" spans="1:6" ht="17.25" customHeight="1" thickBot="1">
      <c r="A55" s="2989" t="str">
        <f>"VAN ( year "&amp;'Base Data'!$B$15&amp;" "&amp;Parameters!$H$11&amp;" )"</f>
        <v>VAN ( year 2026 € )</v>
      </c>
      <c r="B55" s="2995">
        <f ca="1">'Company Valuation'!G30</f>
        <v>-23616.038801889728</v>
      </c>
    </row>
    <row r="56" spans="1:6" ht="17.25" customHeight="1" thickBot="1">
      <c r="A56" s="2989" t="s">
        <v>1147</v>
      </c>
      <c r="B56" s="2990" t="str">
        <f ca="1">'Company Valuation'!G21</f>
        <v>N/A</v>
      </c>
    </row>
    <row r="57" spans="1:6" ht="17.25" customHeight="1" thickBot="1">
      <c r="A57" s="2989" t="s">
        <v>1195</v>
      </c>
      <c r="B57" s="2996" t="str">
        <f ca="1">'Company Valuation'!G19</f>
        <v>N/A</v>
      </c>
    </row>
    <row r="58" spans="1:6" ht="17.25" customHeight="1" thickBot="1">
      <c r="A58" s="2989" t="s">
        <v>1163</v>
      </c>
      <c r="B58" s="2990">
        <f>'Company Valuation'!F49</f>
        <v>0</v>
      </c>
    </row>
    <row r="59" spans="1:6" ht="17.25" customHeight="1" thickBot="1">
      <c r="A59" s="2989" t="s">
        <v>1164</v>
      </c>
      <c r="B59" s="2990">
        <f>'Company Valuation'!B27</f>
        <v>0.13</v>
      </c>
    </row>
    <row r="62" spans="1:6" ht="18.75">
      <c r="A62" s="2961" t="str">
        <f>"3.4.- Requested Capital (Thousand  "&amp;Moneda&amp;"):"</f>
        <v>3.4.- Requested Capital (Thousand  Euros):</v>
      </c>
      <c r="B62"/>
      <c r="C62" s="2950"/>
      <c r="D62"/>
      <c r="E62"/>
    </row>
    <row r="63" spans="1:6" ht="4.5" customHeight="1" thickBot="1">
      <c r="A63" s="2961"/>
      <c r="B63"/>
      <c r="C63"/>
      <c r="D63"/>
      <c r="E63"/>
    </row>
    <row r="64" spans="1:6" ht="27.75" customHeight="1" thickBot="1">
      <c r="A64" s="2962" t="s">
        <v>1148</v>
      </c>
      <c r="B64" s="2963" t="s">
        <v>1186</v>
      </c>
      <c r="C64" s="2963" t="s">
        <v>1186</v>
      </c>
      <c r="D64" s="2963" t="s">
        <v>1186</v>
      </c>
      <c r="E64" s="2963" t="s">
        <v>1186</v>
      </c>
      <c r="F64" s="2964" t="s">
        <v>1149</v>
      </c>
    </row>
    <row r="65" spans="1:6" ht="22.5" customHeight="1" thickBot="1">
      <c r="A65" s="2960" t="s">
        <v>1185</v>
      </c>
      <c r="B65" s="2965"/>
      <c r="C65" s="2965"/>
      <c r="D65" s="2965"/>
      <c r="E65" s="2966"/>
      <c r="F65" s="2966">
        <f>SUM(B65:E65)</f>
        <v>0</v>
      </c>
    </row>
    <row r="67" spans="1:6">
      <c r="A67" s="2961" t="s">
        <v>1162</v>
      </c>
    </row>
    <row r="68" spans="1:6" ht="15.75" thickBot="1"/>
    <row r="69" spans="1:6" ht="27" customHeight="1">
      <c r="A69" s="3002" t="s">
        <v>1160</v>
      </c>
      <c r="B69" s="3003"/>
      <c r="C69" s="3004"/>
    </row>
    <row r="70" spans="1:6">
      <c r="A70" s="3005"/>
      <c r="B70" s="3001" t="str">
        <f>"Pre-Money Valuation ( "&amp;Parameters!$H$11&amp;" )"</f>
        <v>Pre-Money Valuation ( € )</v>
      </c>
      <c r="C70" s="3006">
        <f>C16*1000</f>
        <v>0</v>
      </c>
    </row>
    <row r="71" spans="1:6">
      <c r="A71" s="3005"/>
      <c r="B71" s="3001"/>
      <c r="C71" s="3006"/>
    </row>
    <row r="72" spans="1:6">
      <c r="A72" s="3005"/>
      <c r="B72" s="3001" t="str">
        <f>"Expected Investment ( "&amp;Parameters!$H$11&amp;" )"</f>
        <v>Expected Investment ( € )</v>
      </c>
      <c r="C72" s="3006">
        <f>Funding!D14</f>
        <v>3000</v>
      </c>
    </row>
    <row r="73" spans="1:6">
      <c r="A73" s="3005"/>
      <c r="B73" s="3001" t="s">
        <v>1161</v>
      </c>
      <c r="C73" s="3007">
        <f>IFERROR(C72/(C70+C72),"-")</f>
        <v>1</v>
      </c>
    </row>
    <row r="74" spans="1:6">
      <c r="A74" s="3005"/>
      <c r="B74" s="3001"/>
      <c r="C74" s="3006"/>
    </row>
    <row r="75" spans="1:6" ht="15.75" thickBot="1">
      <c r="A75" s="3008"/>
      <c r="B75" s="3009" t="str">
        <f>"Post-Money Valuation ( "&amp;Parameters!$H$11&amp;" )"</f>
        <v>Post-Money Valuation ( € )</v>
      </c>
      <c r="C75" s="3010">
        <f>C70+C72</f>
        <v>3000</v>
      </c>
    </row>
  </sheetData>
  <sheetProtection sheet="1" objects="1" scenarios="1"/>
  <mergeCells count="3">
    <mergeCell ref="A20:A21"/>
    <mergeCell ref="A35:A36"/>
    <mergeCell ref="A48:A49"/>
  </mergeCells>
  <dataValidations disablePrompts="1" count="1">
    <dataValidation allowBlank="1" showInputMessage="1" showErrorMessage="1" prompt="En esta hoja de gastos fijos para el año 0 se pueden modificar las etiquetas de las distintas partidas de gastos fijos y automáticamente se transladarán a las hojas de gastos fijos de los otros dos años." sqref="A1" xr:uid="{00000000-0002-0000-4B00-000000000000}"/>
  </dataValidations>
  <pageMargins left="0.7" right="0.7" top="0.75" bottom="0.75" header="0.3" footer="0.3"/>
  <pageSetup paperSize="9" scale="57"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9"/>
  <sheetViews>
    <sheetView showGridLines="0" zoomScaleNormal="100" workbookViewId="0">
      <selection activeCell="I12" sqref="I12"/>
    </sheetView>
  </sheetViews>
  <sheetFormatPr baseColWidth="10" defaultRowHeight="15.75"/>
  <cols>
    <col min="1" max="1" width="37.5" style="1" customWidth="1"/>
    <col min="2" max="2" width="9.75" style="1" customWidth="1"/>
    <col min="3" max="6" width="9.75" customWidth="1"/>
  </cols>
  <sheetData>
    <row r="1" spans="1:7" ht="22.5">
      <c r="A1" s="401" t="s">
        <v>394</v>
      </c>
    </row>
    <row r="2" spans="1:7" ht="22.5">
      <c r="A2" s="401" t="str">
        <f>'Base Data'!B9</f>
        <v>WWW, Ltd.</v>
      </c>
    </row>
    <row r="3" spans="1:7" ht="22.5">
      <c r="A3" s="401"/>
    </row>
    <row r="4" spans="1:7" ht="16.5" thickBot="1"/>
    <row r="5" spans="1:7" ht="30.75" customHeight="1" thickBot="1">
      <c r="A5" s="1569" t="s">
        <v>395</v>
      </c>
      <c r="B5" s="1570" t="str">
        <f t="array" ref="B5:F5">anni</f>
        <v>Year 0:   2026</v>
      </c>
      <c r="C5" s="548" t="str">
        <v>Year 1:   2027</v>
      </c>
      <c r="D5" s="548" t="str">
        <v>Year 2:   2028</v>
      </c>
      <c r="E5" s="548" t="str">
        <v>Year 3:   2029</v>
      </c>
      <c r="F5" s="548" t="str">
        <v>Year 4:   2030</v>
      </c>
    </row>
    <row r="6" spans="1:7" ht="16.5" thickBot="1"/>
    <row r="7" spans="1:7" ht="30" customHeight="1" thickBot="1">
      <c r="A7" s="1586" t="s">
        <v>174</v>
      </c>
      <c r="B7" s="2713" t="str">
        <f t="array" ref="B7:F7">B$5:F$5</f>
        <v>Year 0:   2026</v>
      </c>
      <c r="C7" s="2713" t="str">
        <v>Year 1:   2027</v>
      </c>
      <c r="D7" s="2713" t="str">
        <v>Year 2:   2028</v>
      </c>
      <c r="E7" s="2713" t="str">
        <v>Year 3:   2029</v>
      </c>
      <c r="F7" s="2713" t="str">
        <v>Year 4:   2030</v>
      </c>
    </row>
    <row r="8" spans="1:7" ht="18">
      <c r="A8" s="2242" t="s">
        <v>175</v>
      </c>
      <c r="B8" s="2345">
        <f>IF(isoc&lt;&gt;0,'Base Data'!C77,0)*IF(Parameters!$C$46&gt;0,0,1)</f>
        <v>350</v>
      </c>
      <c r="C8" s="2345">
        <v>0</v>
      </c>
      <c r="D8" s="2345">
        <v>0</v>
      </c>
      <c r="E8" s="2345">
        <v>0</v>
      </c>
      <c r="F8" s="2346">
        <v>0</v>
      </c>
      <c r="G8" s="2362" t="s">
        <v>157</v>
      </c>
    </row>
    <row r="9" spans="1:7" ht="18">
      <c r="A9" s="2242" t="s">
        <v>387</v>
      </c>
      <c r="B9" s="2345">
        <f>IF(isoc&lt;&gt;0,'Base Data'!C78,0)*IF(Parameters!$C$46&gt;0,0,1)</f>
        <v>35</v>
      </c>
      <c r="C9" s="2345">
        <v>0</v>
      </c>
      <c r="D9" s="2345">
        <v>0</v>
      </c>
      <c r="E9" s="2345">
        <v>0</v>
      </c>
      <c r="F9" s="2346">
        <v>0</v>
      </c>
      <c r="G9" s="2362" t="s">
        <v>158</v>
      </c>
    </row>
    <row r="10" spans="1:7" ht="18">
      <c r="A10" s="2242" t="s">
        <v>52</v>
      </c>
      <c r="B10" s="2345">
        <f>IF(isoc&lt;&gt;0,'Base Data'!C79,0)*IF(Parameters!$C$46&gt;0,0,1)</f>
        <v>250</v>
      </c>
      <c r="C10" s="2345">
        <v>0</v>
      </c>
      <c r="D10" s="2345">
        <v>0</v>
      </c>
      <c r="E10" s="2345">
        <v>0</v>
      </c>
      <c r="F10" s="2346">
        <v>0</v>
      </c>
      <c r="G10" s="2362" t="s">
        <v>159</v>
      </c>
    </row>
    <row r="11" spans="1:7" ht="18.75" thickBot="1">
      <c r="A11" s="2233" t="s">
        <v>388</v>
      </c>
      <c r="B11" s="1572">
        <f>IF(OR(irpf&lt;&gt;0,MAX('NCA Initial Invest.'!C1:C63)&gt;0),0,ITP*('Initial Funding'!C8+'Initial Funding'!C7))*IF(Parameters!$C$46&gt;0,0,1)</f>
        <v>30</v>
      </c>
      <c r="C11" s="1572">
        <f t="array" ref="C11:F11">IF(irpf&lt;&gt;0,0,ITP*Funding!E14:H14)</f>
        <v>0</v>
      </c>
      <c r="D11" s="1572">
        <v>0</v>
      </c>
      <c r="E11" s="1572">
        <v>0</v>
      </c>
      <c r="F11" s="1573">
        <v>0</v>
      </c>
      <c r="G11" s="2362" t="s">
        <v>160</v>
      </c>
    </row>
    <row r="12" spans="1:7" ht="16.5" thickBot="1">
      <c r="A12" s="1574" t="str">
        <f>A7</f>
        <v>Constitution Expenses</v>
      </c>
      <c r="B12" s="1575">
        <f>SUM(B7:B11)</f>
        <v>665</v>
      </c>
      <c r="C12" s="1575">
        <f>SUM(C7:C11)</f>
        <v>0</v>
      </c>
      <c r="D12" s="1575">
        <f>SUM(D7:D11)</f>
        <v>0</v>
      </c>
      <c r="E12" s="1575">
        <f>SUM(E7:E11)</f>
        <v>0</v>
      </c>
      <c r="F12" s="1576">
        <f>SUM(F7:F11)</f>
        <v>0</v>
      </c>
      <c r="G12" s="1931">
        <f>MAX(B12:F12)</f>
        <v>665</v>
      </c>
    </row>
    <row r="13" spans="1:7" ht="16.5" thickBot="1"/>
    <row r="14" spans="1:7" ht="31.5" customHeight="1" thickBot="1">
      <c r="A14" s="1586" t="s">
        <v>382</v>
      </c>
      <c r="B14" s="2713" t="str">
        <f t="array" ref="B14:F14">B$5:F$5</f>
        <v>Year 0:   2026</v>
      </c>
      <c r="C14" s="2713" t="str">
        <v>Year 1:   2027</v>
      </c>
      <c r="D14" s="2713" t="str">
        <v>Year 2:   2028</v>
      </c>
      <c r="E14" s="2713" t="str">
        <v>Year 3:   2029</v>
      </c>
      <c r="F14" s="2713" t="str">
        <v>Year 4:   2030</v>
      </c>
    </row>
    <row r="15" spans="1:7">
      <c r="A15" s="2242" t="s">
        <v>386</v>
      </c>
      <c r="B15" s="2347">
        <v>0</v>
      </c>
      <c r="C15" s="2347">
        <v>0</v>
      </c>
      <c r="D15" s="2347">
        <v>0</v>
      </c>
      <c r="E15" s="2347">
        <v>0</v>
      </c>
      <c r="F15" s="2348">
        <v>0</v>
      </c>
    </row>
    <row r="16" spans="1:7">
      <c r="A16" s="2242" t="s">
        <v>385</v>
      </c>
      <c r="B16" s="2347">
        <v>0</v>
      </c>
      <c r="C16" s="2347">
        <v>0</v>
      </c>
      <c r="D16" s="2347">
        <v>0</v>
      </c>
      <c r="E16" s="2347">
        <v>0</v>
      </c>
      <c r="F16" s="2348">
        <v>0</v>
      </c>
    </row>
    <row r="17" spans="1:7">
      <c r="A17" s="2243" t="s">
        <v>383</v>
      </c>
      <c r="B17" s="2349">
        <v>0</v>
      </c>
      <c r="C17" s="2349">
        <v>0</v>
      </c>
      <c r="D17" s="2349">
        <v>0</v>
      </c>
      <c r="E17" s="2349">
        <v>0</v>
      </c>
      <c r="F17" s="2350">
        <v>0</v>
      </c>
    </row>
    <row r="18" spans="1:7">
      <c r="A18" s="2247" t="s">
        <v>384</v>
      </c>
      <c r="B18" s="2349">
        <v>0</v>
      </c>
      <c r="C18" s="2349">
        <v>0</v>
      </c>
      <c r="D18" s="2349">
        <v>0</v>
      </c>
      <c r="E18" s="2349">
        <v>0</v>
      </c>
      <c r="F18" s="2350">
        <v>0</v>
      </c>
    </row>
    <row r="19" spans="1:7" ht="16.5" thickBot="1">
      <c r="A19" s="2247" t="s">
        <v>396</v>
      </c>
      <c r="B19" s="2351">
        <v>0</v>
      </c>
      <c r="C19" s="2351">
        <v>0</v>
      </c>
      <c r="D19" s="2351">
        <v>0</v>
      </c>
      <c r="E19" s="2351">
        <v>0</v>
      </c>
      <c r="F19" s="2352">
        <v>0</v>
      </c>
    </row>
    <row r="20" spans="1:7" ht="16.5" thickBot="1">
      <c r="A20" s="1574" t="str">
        <f>A14</f>
        <v>First Stablishment Expenses</v>
      </c>
      <c r="B20" s="1577">
        <f>SUM(B15:B19)</f>
        <v>0</v>
      </c>
      <c r="C20" s="1577">
        <f>SUM(C14:C19)</f>
        <v>0</v>
      </c>
      <c r="D20" s="1577">
        <f>SUM(D14:D19)</f>
        <v>0</v>
      </c>
      <c r="E20" s="1577">
        <f>SUM(E14:E19)</f>
        <v>0</v>
      </c>
      <c r="F20" s="585">
        <f>SUM(F14:F19)</f>
        <v>0</v>
      </c>
      <c r="G20" s="1931">
        <f>MAX(B20:F20)</f>
        <v>0</v>
      </c>
    </row>
    <row r="21" spans="1:7" ht="16.5" thickBot="1">
      <c r="A21" s="1742"/>
      <c r="B21" s="1743"/>
      <c r="C21" s="1741"/>
      <c r="D21" s="1741"/>
      <c r="E21" s="1741"/>
      <c r="F21" s="1741"/>
    </row>
    <row r="22" spans="1:7" ht="18.75" customHeight="1" thickBot="1">
      <c r="A22" s="1586" t="s">
        <v>247</v>
      </c>
      <c r="B22" s="1587" t="s">
        <v>332</v>
      </c>
    </row>
    <row r="23" spans="1:7">
      <c r="A23" s="2244" t="s">
        <v>390</v>
      </c>
      <c r="B23" s="3056">
        <f>('Fixed Expenses Data'!C32+'Fixed Expenses Data'!C33)*'Fixed Expenses Data'!$B$21</f>
        <v>0</v>
      </c>
    </row>
    <row r="24" spans="1:7">
      <c r="A24" s="2245" t="s">
        <v>389</v>
      </c>
      <c r="B24" s="2353">
        <v>0</v>
      </c>
    </row>
    <row r="25" spans="1:7" ht="16.5" thickBot="1">
      <c r="A25" s="2246" t="s">
        <v>391</v>
      </c>
      <c r="B25" s="2322">
        <f>+'Prev. Initial Balance'!D16+'Prev. Initial Balance'!D18</f>
        <v>0</v>
      </c>
      <c r="C25" s="2249" t="str">
        <f>IF(consolidacion," (Bal. Previo)","")</f>
        <v/>
      </c>
    </row>
    <row r="26" spans="1:7" ht="16.5" thickBot="1">
      <c r="A26" s="1574" t="str">
        <f>+A22</f>
        <v>Long Term Financial Assets</v>
      </c>
      <c r="B26" s="1588">
        <f>SUM(B23:B25)</f>
        <v>0</v>
      </c>
    </row>
    <row r="28" spans="1:7">
      <c r="A28" s="2374" t="s">
        <v>392</v>
      </c>
      <c r="B28" s="2374"/>
      <c r="C28" s="2374"/>
      <c r="D28" s="2374"/>
      <c r="E28" s="2374"/>
      <c r="F28" s="2374"/>
    </row>
    <row r="29" spans="1:7">
      <c r="A29" s="2374" t="s">
        <v>393</v>
      </c>
      <c r="B29" s="2374"/>
      <c r="C29" s="2374"/>
      <c r="D29" s="2374"/>
      <c r="E29" s="2374"/>
      <c r="F29" s="2374"/>
    </row>
  </sheetData>
  <sheetProtection sheet="1" objects="1" scenarios="1"/>
  <phoneticPr fontId="7" type="noConversion"/>
  <conditionalFormatting sqref="A28:F28">
    <cfRule type="expression" dxfId="45" priority="1" stopIfTrue="1">
      <formula>$G$12&lt;&gt;0</formula>
    </cfRule>
  </conditionalFormatting>
  <conditionalFormatting sqref="A29:F29">
    <cfRule type="expression" dxfId="44" priority="2" stopIfTrue="1">
      <formula>$G$20&lt;&gt;0</formula>
    </cfRule>
  </conditionalFormatting>
  <printOptions horizontalCentered="1"/>
  <pageMargins left="0.78740157480314965" right="0.78740157480314965" top="0.51181102362204722" bottom="0.51181102362204722" header="0" footer="0"/>
  <pageSetup paperSize="9" scale="88"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
    <pageSetUpPr fitToPage="1"/>
  </sheetPr>
  <dimension ref="A1:K66"/>
  <sheetViews>
    <sheetView showGridLines="0" zoomScale="85" zoomScaleNormal="85" workbookViewId="0">
      <selection activeCell="B12" sqref="B12"/>
    </sheetView>
  </sheetViews>
  <sheetFormatPr baseColWidth="10" defaultColWidth="11" defaultRowHeight="15"/>
  <cols>
    <col min="1" max="1" width="40.5" style="20" customWidth="1"/>
    <col min="2" max="2" width="16.25" style="20" customWidth="1"/>
    <col min="3" max="3" width="13.625" style="20" customWidth="1"/>
    <col min="4" max="6" width="13.625" style="21" customWidth="1"/>
    <col min="7" max="7" width="19.25" style="21" customWidth="1"/>
    <col min="8" max="8" width="17.25" style="21" customWidth="1"/>
    <col min="9" max="10" width="15.625" style="19" customWidth="1"/>
    <col min="11" max="16384" width="11" style="20"/>
  </cols>
  <sheetData>
    <row r="1" spans="1:10" ht="27">
      <c r="A1" s="25" t="s">
        <v>397</v>
      </c>
      <c r="B1" s="17"/>
      <c r="C1" s="17"/>
      <c r="D1" s="18"/>
      <c r="E1" s="18"/>
      <c r="F1" s="18"/>
      <c r="G1" s="18"/>
      <c r="H1" s="18"/>
    </row>
    <row r="2" spans="1:10" ht="27">
      <c r="A2" s="25" t="str">
        <f>'Base Data'!B9</f>
        <v>WWW, Ltd.</v>
      </c>
      <c r="B2" s="17"/>
      <c r="C2" s="17"/>
      <c r="D2" s="18"/>
      <c r="E2" s="18"/>
      <c r="F2" s="18"/>
      <c r="G2" s="18"/>
      <c r="H2" s="18"/>
    </row>
    <row r="3" spans="1:10" ht="25.5">
      <c r="A3" s="17"/>
      <c r="B3" s="17"/>
      <c r="C3" s="17"/>
      <c r="D3" s="17"/>
      <c r="E3" s="17"/>
      <c r="F3" s="17"/>
      <c r="G3" s="18"/>
      <c r="H3" s="18"/>
    </row>
    <row r="4" spans="1:10" ht="15.75" thickBot="1">
      <c r="F4" s="24"/>
    </row>
    <row r="5" spans="1:10" ht="26.25" thickBot="1">
      <c r="A5" s="2170" t="s">
        <v>398</v>
      </c>
      <c r="B5" s="2132"/>
      <c r="C5" s="2133"/>
      <c r="D5" s="2134"/>
      <c r="E5" s="2136"/>
      <c r="F5" s="19"/>
    </row>
    <row r="6" spans="1:10" ht="20.25" thickBot="1">
      <c r="A6" s="2171"/>
      <c r="B6" s="2172"/>
      <c r="C6" s="2173"/>
      <c r="D6" s="2174"/>
      <c r="E6" s="2175"/>
      <c r="F6" s="19"/>
      <c r="G6" s="2813" t="s">
        <v>1102</v>
      </c>
      <c r="H6" s="2814" t="s">
        <v>516</v>
      </c>
      <c r="I6" s="2815" t="s">
        <v>1103</v>
      </c>
    </row>
    <row r="7" spans="1:10" ht="18" customHeight="1">
      <c r="A7" s="2151" t="s">
        <v>252</v>
      </c>
      <c r="B7" s="1496">
        <f>SUM(B8:B9)</f>
        <v>0</v>
      </c>
      <c r="C7" s="26"/>
      <c r="D7" s="2359">
        <f ca="1">SUM(B8,B12:B14,B19)+'NCA Initial Invest.'!B65-'NCA Initial Invest.'!E65
+'Initial Expenses'!B12-SUM(Funding!D14:D17)</f>
        <v>-2201.65</v>
      </c>
      <c r="E7" s="2152"/>
      <c r="F7" s="19"/>
      <c r="G7" s="2816">
        <f>SUM(G8:G9)</f>
        <v>0</v>
      </c>
      <c r="H7" s="2817">
        <f>SUM(H8:H9)</f>
        <v>0</v>
      </c>
      <c r="I7" s="2818">
        <f>G7+H7</f>
        <v>0</v>
      </c>
    </row>
    <row r="8" spans="1:10" ht="18" customHeight="1">
      <c r="A8" s="2156" t="s">
        <v>405</v>
      </c>
      <c r="B8" s="2334">
        <v>0</v>
      </c>
      <c r="C8" s="26"/>
      <c r="D8" s="19"/>
      <c r="E8" s="2152"/>
      <c r="F8" s="19"/>
      <c r="G8" s="2819">
        <v>0</v>
      </c>
      <c r="H8" s="2820">
        <f>B8</f>
        <v>0</v>
      </c>
      <c r="I8" s="2821">
        <f>G8+H8</f>
        <v>0</v>
      </c>
    </row>
    <row r="9" spans="1:10" ht="18" customHeight="1" thickBot="1">
      <c r="A9" s="2250" t="s">
        <v>404</v>
      </c>
      <c r="B9" s="2326">
        <f>+'Prev. Initial Balance'!D23</f>
        <v>0</v>
      </c>
      <c r="C9" s="2328" t="str">
        <f>IF(consolidacion," (Initial Balance)","")</f>
        <v/>
      </c>
      <c r="D9" s="19"/>
      <c r="E9" s="2152"/>
      <c r="F9" s="19"/>
      <c r="G9" s="2819">
        <f>'Prev. Initial Balance'!D23</f>
        <v>0</v>
      </c>
      <c r="H9" s="2822">
        <v>0</v>
      </c>
      <c r="I9" s="2821">
        <f>G9+H9</f>
        <v>0</v>
      </c>
    </row>
    <row r="10" spans="1:10" ht="15.75" thickBot="1">
      <c r="A10" s="28"/>
      <c r="B10" s="27"/>
      <c r="C10" s="26"/>
      <c r="D10" s="19"/>
      <c r="E10" s="2152"/>
      <c r="F10" s="19"/>
      <c r="G10" s="2823"/>
      <c r="H10" s="2824"/>
      <c r="I10" s="2825"/>
      <c r="J10" s="20"/>
    </row>
    <row r="11" spans="1:10" ht="16.5" customHeight="1">
      <c r="A11" s="2151" t="s">
        <v>406</v>
      </c>
      <c r="B11" s="898">
        <f ca="1">SUM(B12:B16)</f>
        <v>0</v>
      </c>
      <c r="C11" s="170" t="str">
        <f>'Base Data'!$A$28&amp;" rate"</f>
        <v>VAT rate</v>
      </c>
      <c r="D11" s="1571" t="str">
        <f>'NCA Initial Invest.'!I12</f>
        <v>In kind contr.</v>
      </c>
      <c r="E11" s="1579" t="str">
        <f>'NCA Initial Invest.'!J12</f>
        <v>in kind %</v>
      </c>
      <c r="G11" s="2816">
        <f ca="1">SUM(G12:G16)</f>
        <v>0</v>
      </c>
      <c r="H11" s="2817">
        <f>SUM(H12:H16)</f>
        <v>0</v>
      </c>
      <c r="I11" s="2818">
        <f t="shared" ref="I11:I16" ca="1" si="0">G11+H11</f>
        <v>0</v>
      </c>
    </row>
    <row r="12" spans="1:10" ht="19.5" customHeight="1">
      <c r="A12" s="2154" t="s">
        <v>403</v>
      </c>
      <c r="B12" s="2337">
        <v>0</v>
      </c>
      <c r="C12" s="2342">
        <f>'Base Data'!$C$29</f>
        <v>0.21</v>
      </c>
      <c r="D12" s="2339">
        <v>0</v>
      </c>
      <c r="E12" s="2155">
        <f t="array" ref="E12:E14">IF(B12:B14*D12:D14&gt;0,D12:D14/B12:B14,0)</f>
        <v>0</v>
      </c>
      <c r="G12" s="2819">
        <v>0</v>
      </c>
      <c r="H12" s="2820">
        <f>B12</f>
        <v>0</v>
      </c>
      <c r="I12" s="2821">
        <f t="shared" si="0"/>
        <v>0</v>
      </c>
    </row>
    <row r="13" spans="1:10" ht="19.5" customHeight="1">
      <c r="A13" s="2156" t="s">
        <v>417</v>
      </c>
      <c r="B13" s="2338">
        <v>0</v>
      </c>
      <c r="C13" s="2343">
        <v>0.1</v>
      </c>
      <c r="D13" s="2340">
        <v>0</v>
      </c>
      <c r="E13" s="2157">
        <v>0</v>
      </c>
      <c r="G13" s="2819">
        <v>0</v>
      </c>
      <c r="H13" s="2820">
        <f>B13</f>
        <v>0</v>
      </c>
      <c r="I13" s="2821">
        <f t="shared" si="0"/>
        <v>0</v>
      </c>
    </row>
    <row r="14" spans="1:10" ht="19.5" customHeight="1" thickBot="1">
      <c r="A14" s="2156" t="s">
        <v>418</v>
      </c>
      <c r="B14" s="2338">
        <v>0</v>
      </c>
      <c r="C14" s="2344">
        <v>0.04</v>
      </c>
      <c r="D14" s="2341">
        <v>0</v>
      </c>
      <c r="E14" s="2158">
        <v>0</v>
      </c>
      <c r="G14" s="2819">
        <v>0</v>
      </c>
      <c r="H14" s="2820">
        <f>B14</f>
        <v>0</v>
      </c>
      <c r="I14" s="2821">
        <f t="shared" si="0"/>
        <v>0</v>
      </c>
    </row>
    <row r="15" spans="1:10" ht="19.5" customHeight="1">
      <c r="A15" s="2159" t="s">
        <v>407</v>
      </c>
      <c r="B15" s="2324">
        <f ca="1">'DC Distr 0'!B87</f>
        <v>0</v>
      </c>
      <c r="C15" s="1928"/>
      <c r="D15" s="34"/>
      <c r="E15" s="2160"/>
      <c r="G15" s="2819">
        <f ca="1">B15</f>
        <v>0</v>
      </c>
      <c r="H15" s="2822">
        <v>0</v>
      </c>
      <c r="I15" s="2821">
        <f t="shared" ca="1" si="0"/>
        <v>0</v>
      </c>
    </row>
    <row r="16" spans="1:10" ht="20.25" customHeight="1" thickBot="1">
      <c r="A16" s="2251" t="s">
        <v>408</v>
      </c>
      <c r="B16" s="2325">
        <f>+'Prev. Initial Balance'!D24+'Prev. Initial Balance'!D30</f>
        <v>0</v>
      </c>
      <c r="C16" s="2248" t="str">
        <f>$C$9</f>
        <v/>
      </c>
      <c r="D16" s="20"/>
      <c r="E16" s="2152"/>
      <c r="F16" s="20"/>
      <c r="G16" s="2819">
        <f>'Prev. Initial Balance'!D24+'Prev. Initial Balance'!D30</f>
        <v>0</v>
      </c>
      <c r="H16" s="2822">
        <v>0</v>
      </c>
      <c r="I16" s="2821">
        <f t="shared" si="0"/>
        <v>0</v>
      </c>
      <c r="J16" s="20"/>
    </row>
    <row r="17" spans="1:10" ht="15.75" thickBot="1">
      <c r="A17" s="28"/>
      <c r="B17" s="27"/>
      <c r="C17" s="26"/>
      <c r="D17" s="19"/>
      <c r="E17" s="2152"/>
      <c r="G17" s="2826"/>
      <c r="H17" s="47"/>
      <c r="I17" s="2827"/>
      <c r="J17" s="20"/>
    </row>
    <row r="18" spans="1:10">
      <c r="A18" s="2151" t="s">
        <v>1061</v>
      </c>
      <c r="B18" s="898">
        <f ca="1">SUM(B19:B24)-IF(irpf=0,B21,0)</f>
        <v>133.35</v>
      </c>
      <c r="C18" s="26"/>
      <c r="D18" s="19"/>
      <c r="E18" s="2152"/>
      <c r="G18" s="2816">
        <f>SUM(G19:G24)</f>
        <v>0</v>
      </c>
      <c r="H18" s="2817">
        <f ca="1">SUM(H19:H24)</f>
        <v>133.35</v>
      </c>
      <c r="I18" s="2818">
        <f t="shared" ref="I18:I23" ca="1" si="1">G18+H18</f>
        <v>133.35</v>
      </c>
      <c r="J18" s="20"/>
    </row>
    <row r="19" spans="1:10" s="34" customFormat="1" ht="18.75" customHeight="1">
      <c r="A19" s="2162" t="str">
        <f>"Input "&amp;'Base Data'!$A$28&amp;" due to Initial Investents"</f>
        <v>Input VAT due to Initial Investents</v>
      </c>
      <c r="B19" s="1947">
        <f t="array" aca="1" ref="B19" ca="1">'NCA Initial Invest.'!G65  -Parameters!$F$33*(SUM(Leasing!D5:D5)-SUM(Leasing!D7:D7)*0)
 +Parameters!$F$33*('Initial Expenses'!B20+'Initial Expenses'!B12-'Initial Expenses'!B11)
+SUM((B12:B14-D12:D14)*C12:C14)
+'DC Distr 0'!B106</f>
        <v>133.35</v>
      </c>
      <c r="C19" s="1721" t="str">
        <f ca="1">IF(B19&lt;0,"ERROR: Leasing cannot exceed investments.","")</f>
        <v/>
      </c>
      <c r="D19" s="33"/>
      <c r="E19" s="2163"/>
      <c r="F19" s="32"/>
      <c r="G19" s="2819">
        <v>0</v>
      </c>
      <c r="H19" s="2822">
        <f t="array" aca="1" ref="H19" ca="1">'NCA Initial Invest.'!G65 +Parameters!$F$33*('Initial Expenses'!B20+'Initial Expenses'!B12-'Initial Expenses'!B11)
+SUM((B12:B14-D12:D14)*C12:C14)
+'DC Distr 0'!B106</f>
        <v>133.35</v>
      </c>
      <c r="I19" s="2821">
        <f t="shared" ca="1" si="1"/>
        <v>133.35</v>
      </c>
      <c r="J19" s="33"/>
    </row>
    <row r="20" spans="1:10" s="34" customFormat="1" ht="18.75" customHeight="1">
      <c r="A20" s="2253" t="str">
        <f>"Input "&amp;'Base Data'!$A$28&amp;" pending to be refunded"</f>
        <v>Input VAT pending to be refunded</v>
      </c>
      <c r="B20" s="2323">
        <f>'Prev. Initial Balance'!D29</f>
        <v>0</v>
      </c>
      <c r="C20" s="2248" t="str">
        <f>$C$9</f>
        <v/>
      </c>
      <c r="D20" s="33"/>
      <c r="E20" s="2163"/>
      <c r="F20" s="32"/>
      <c r="G20" s="2819">
        <f>'Prev. Initial Balance'!D29</f>
        <v>0</v>
      </c>
      <c r="H20" s="2822">
        <v>0</v>
      </c>
      <c r="I20" s="2821">
        <f t="shared" si="1"/>
        <v>0</v>
      </c>
      <c r="J20" s="33"/>
    </row>
    <row r="21" spans="1:10" s="34" customFormat="1" ht="18.75" customHeight="1">
      <c r="A21" s="2252" t="s">
        <v>410</v>
      </c>
      <c r="B21" s="2323">
        <f>'Prev. Initial Balance'!D27</f>
        <v>0</v>
      </c>
      <c r="C21" s="2248" t="str">
        <f>$C$9</f>
        <v/>
      </c>
      <c r="D21" s="33"/>
      <c r="E21" s="2163"/>
      <c r="F21" s="32"/>
      <c r="G21" s="2819">
        <f>'Prev. Initial Balance'!D27</f>
        <v>0</v>
      </c>
      <c r="H21" s="2822">
        <v>0</v>
      </c>
      <c r="I21" s="2821">
        <f t="shared" si="1"/>
        <v>0</v>
      </c>
      <c r="J21" s="33"/>
    </row>
    <row r="22" spans="1:10" s="34" customFormat="1" ht="18.75" customHeight="1">
      <c r="A22" s="2252" t="str">
        <f>"Advanced "&amp;IF(isoc&lt;&gt;0,'Base Data'!$I$44,'Base Data'!$I$43)</f>
        <v>Advanced C.I.T</v>
      </c>
      <c r="B22" s="2324">
        <f>'Prev. Initial Balance'!D28+'Prev. Initial Balance'!D17</f>
        <v>0</v>
      </c>
      <c r="C22" s="2248" t="str">
        <f>$C$9</f>
        <v/>
      </c>
      <c r="D22" s="33"/>
      <c r="E22" s="2163"/>
      <c r="F22" s="32"/>
      <c r="G22" s="2819">
        <f>'Prev. Initial Balance'!D28+'Prev. Initial Balance'!D17</f>
        <v>0</v>
      </c>
      <c r="H22" s="2822">
        <v>0</v>
      </c>
      <c r="I22" s="2821">
        <f t="shared" si="1"/>
        <v>0</v>
      </c>
      <c r="J22" s="33"/>
    </row>
    <row r="23" spans="1:10" s="34" customFormat="1" ht="18.75" customHeight="1">
      <c r="A23" s="2252" t="s">
        <v>1062</v>
      </c>
      <c r="B23" s="2324">
        <f>+Funding!D19+'Prev. Initial Balance'!D26</f>
        <v>0</v>
      </c>
      <c r="C23" s="2248"/>
      <c r="D23" s="33"/>
      <c r="E23" s="2163"/>
      <c r="F23" s="32"/>
      <c r="G23" s="2828">
        <f>'Prev. Initial Balance'!D26</f>
        <v>0</v>
      </c>
      <c r="H23" s="2822">
        <f>Funding!D19</f>
        <v>0</v>
      </c>
      <c r="I23" s="2821">
        <f t="shared" si="1"/>
        <v>0</v>
      </c>
      <c r="J23" s="33"/>
    </row>
    <row r="24" spans="1:10" s="34" customFormat="1" ht="18.75" customHeight="1" thickBot="1">
      <c r="A24" s="2251" t="s">
        <v>409</v>
      </c>
      <c r="B24" s="2325">
        <f>'Prev. Initial Balance'!D25</f>
        <v>0</v>
      </c>
      <c r="C24" s="2248" t="str">
        <f>$C$9</f>
        <v/>
      </c>
      <c r="D24" s="33"/>
      <c r="E24" s="2163"/>
      <c r="F24" s="32"/>
      <c r="G24" s="2819">
        <f>'Prev. Initial Balance'!D25</f>
        <v>0</v>
      </c>
      <c r="H24" s="2822">
        <v>0</v>
      </c>
      <c r="I24" s="2821">
        <f>G24+H24</f>
        <v>0</v>
      </c>
      <c r="J24" s="33"/>
    </row>
    <row r="25" spans="1:10" ht="15.75" thickBot="1">
      <c r="A25" s="28"/>
      <c r="B25" s="27"/>
      <c r="C25" s="26"/>
      <c r="D25" s="19"/>
      <c r="E25" s="2152"/>
      <c r="G25" s="2826"/>
      <c r="H25" s="47"/>
      <c r="I25" s="2827"/>
    </row>
    <row r="26" spans="1:10" ht="17.25" customHeight="1" thickBot="1">
      <c r="A26" s="2164" t="s">
        <v>411</v>
      </c>
      <c r="B26" s="1589">
        <f ca="1">'Initial Funding'!D32-(B7+B11+B18)
-(Amortizations!B19-Amortizations!C19)
-'Initial Expenses'!B26+'Initial Expenses'!B24</f>
        <v>2201.65</v>
      </c>
      <c r="C26" s="26"/>
      <c r="D26" s="19"/>
      <c r="E26" s="2152"/>
      <c r="G26" s="2829">
        <f ca="1">'Initial Funding'!B32-(G7+G11+G18)
-('Prev. Initial Balance'!D16+'Prev. Initial Balance'!D18)
-('Prev. Initial Balance'!D10+'Prev. Initial Balance'!D12+'Prev. Initial Balance'!D14)</f>
        <v>0</v>
      </c>
      <c r="H26" s="2166">
        <f ca="1">'Initial Funding'!C32-(H7+H11+H18)
-'Initial Expenses'!B23
-(Amortizations!B19-Amortizations!C19-Amortizations!J19)</f>
        <v>2201.65</v>
      </c>
      <c r="I26" s="2166">
        <f ca="1">G26+H26</f>
        <v>2201.65</v>
      </c>
    </row>
    <row r="27" spans="1:10" ht="15.75" thickBot="1">
      <c r="A27" s="2165"/>
      <c r="B27" s="28"/>
      <c r="C27" s="26"/>
      <c r="D27" s="19"/>
      <c r="E27" s="2152"/>
      <c r="G27" s="2826"/>
      <c r="H27" s="47"/>
      <c r="I27" s="2827"/>
    </row>
    <row r="28" spans="1:10" s="34" customFormat="1" ht="20.25" customHeight="1" thickBot="1">
      <c r="A28" s="2375" t="s">
        <v>412</v>
      </c>
      <c r="B28" s="2166">
        <f ca="1">B7+'Current Asset Invest.'!B11+B18+B26</f>
        <v>2335</v>
      </c>
      <c r="C28" s="2167"/>
      <c r="D28" s="2168"/>
      <c r="E28" s="2169"/>
      <c r="F28" s="32"/>
      <c r="G28" s="2831">
        <f ca="1">G7+G11+G18+G26</f>
        <v>0</v>
      </c>
      <c r="H28" s="2166">
        <f ca="1">H7+H11+H18+H26</f>
        <v>2335</v>
      </c>
      <c r="I28" s="2830">
        <f ca="1">G28+H28</f>
        <v>2335</v>
      </c>
      <c r="J28" s="33"/>
    </row>
    <row r="29" spans="1:10">
      <c r="A29" s="23"/>
      <c r="B29" s="23"/>
      <c r="C29" s="23"/>
      <c r="D29" s="23"/>
    </row>
    <row r="30" spans="1:10" ht="18">
      <c r="A30" s="23"/>
      <c r="B30" s="1699" t="str">
        <f ca="1">IF(C30&lt;&gt;"","Additional funding is required by ","")</f>
        <v/>
      </c>
      <c r="C30" s="1287" t="str">
        <f ca="1">IF(I26-tesoreriasec+Funding!D49&lt;-0.5,TEXT(tesoreriasec-I26-Funding!D49,"#.##0 €")&amp;" Initial Funding deficit","")</f>
        <v/>
      </c>
      <c r="D30" s="23"/>
    </row>
    <row r="31" spans="1:10" ht="18">
      <c r="A31" s="23"/>
      <c r="B31" s="23"/>
      <c r="C31" s="1547" t="str">
        <f ca="1">IF(C30&lt;&gt;"","Minimum Cash security level: "&amp;TEXT(tesoreriasec,"#.##0 €")&amp;" at least.","")</f>
        <v/>
      </c>
      <c r="D31" s="23"/>
    </row>
    <row r="32" spans="1:10">
      <c r="C32" s="23"/>
      <c r="D32" s="23"/>
    </row>
    <row r="33" spans="1:11" ht="15.75" thickBot="1">
      <c r="A33" s="23"/>
      <c r="B33" s="23"/>
      <c r="C33" s="23"/>
      <c r="D33" s="23"/>
    </row>
    <row r="34" spans="1:11" ht="26.25" thickBot="1">
      <c r="A34" s="2187" t="s">
        <v>413</v>
      </c>
      <c r="B34" s="2188"/>
      <c r="C34" s="2189"/>
      <c r="D34" s="2190"/>
      <c r="E34" s="2191"/>
      <c r="F34" s="2192"/>
      <c r="G34" s="32"/>
      <c r="I34" s="21"/>
      <c r="K34" s="19"/>
    </row>
    <row r="35" spans="1:11" s="34" customFormat="1" ht="38.25" customHeight="1" thickBot="1">
      <c r="A35" s="2109"/>
      <c r="B35" s="2185" t="str">
        <f t="array" ref="B35:F35">anni</f>
        <v>Year 0:   2026</v>
      </c>
      <c r="C35" s="2185" t="str">
        <v>Year 1:   2027</v>
      </c>
      <c r="D35" s="2185" t="str">
        <v>Year 2:   2028</v>
      </c>
      <c r="E35" s="2185" t="str">
        <v>Year 3:   2029</v>
      </c>
      <c r="F35" s="2186" t="str">
        <v>Year 4:   2030</v>
      </c>
      <c r="G35" s="32"/>
      <c r="H35" s="32"/>
      <c r="I35" s="33"/>
      <c r="J35" s="33"/>
    </row>
    <row r="36" spans="1:11" s="34" customFormat="1" ht="21" customHeight="1" thickBot="1">
      <c r="A36" s="2176" t="s">
        <v>414</v>
      </c>
      <c r="B36" s="695">
        <f>B7</f>
        <v>0</v>
      </c>
      <c r="C36" s="2335">
        <v>0</v>
      </c>
      <c r="D36" s="2335">
        <v>0</v>
      </c>
      <c r="E36" s="2335">
        <v>0</v>
      </c>
      <c r="F36" s="2336">
        <v>0</v>
      </c>
      <c r="G36" s="32"/>
      <c r="H36" s="32"/>
      <c r="I36" s="33"/>
      <c r="J36" s="33"/>
    </row>
    <row r="37" spans="1:11" ht="15.75" thickBot="1">
      <c r="A37" s="2178"/>
      <c r="B37" s="797"/>
      <c r="C37" s="660"/>
      <c r="D37" s="660"/>
      <c r="E37" s="660"/>
      <c r="F37" s="2179"/>
    </row>
    <row r="38" spans="1:11" ht="19.5" customHeight="1">
      <c r="A38" s="2180" t="s">
        <v>253</v>
      </c>
      <c r="B38" s="659"/>
      <c r="C38" s="659"/>
      <c r="D38" s="659"/>
      <c r="E38" s="659"/>
      <c r="F38" s="2181"/>
    </row>
    <row r="39" spans="1:11" s="34" customFormat="1" ht="20.25" customHeight="1">
      <c r="A39" s="2106" t="str">
        <f t="array" ref="A39:A41">A12:A14</f>
        <v>Raw Materials</v>
      </c>
      <c r="B39" s="695">
        <f>B12</f>
        <v>0</v>
      </c>
      <c r="C39" s="666">
        <f>IF(SUM(B$39:B$41)=0,0,('Balance Sheet Statements (EU)'!F$15/'5 years Sales Summary'!B$27)*((12-mes0+1)*'5 years Sales Summary'!C$27-12*'5 years Sales Summary'!B$27)*B39/SUM(B$39:B$41)/12)*Parameters!$D$48</f>
        <v>0</v>
      </c>
      <c r="D39" s="666">
        <f>IF(SUM(B$39:C$41)=0,0,('Balance Sheet Statements (EU)'!H$15/'5 years Sales Summary'!C$27)*('5 years Sales Summary'!E$27-'5 years Sales Summary'!C$27)*SUM($B39:C39)/SUM(B$39:C$41))*Parameters!$D$48</f>
        <v>0</v>
      </c>
      <c r="E39" s="666">
        <f>IF(SUM(B$39:D$41)=0,0,('Balance Sheet Statements (EU)'!J$15/'5 years Sales Summary'!E$27)*('5 years Sales Summary'!G$27-'5 years Sales Summary'!E$27)*SUM($B39:D39)/SUM(B$39:D$41))*Parameters!$D$48</f>
        <v>0</v>
      </c>
      <c r="F39" s="2141">
        <f>IF(SUM(B$39:E$41)=0,0,('Balance Sheet Statements (EU)'!L$15/'5 years Sales Summary'!G$27)*('5 years Sales Summary'!I$27-'5 years Sales Summary'!G$27)*SUM($B39:E39)/SUM(B$39:E$41))*Parameters!$D$48</f>
        <v>0</v>
      </c>
      <c r="G39" s="1316"/>
      <c r="H39" s="21"/>
      <c r="I39" s="33"/>
      <c r="J39" s="33"/>
    </row>
    <row r="40" spans="1:11" s="34" customFormat="1" ht="19.5" customHeight="1">
      <c r="A40" s="2106" t="str">
        <v>Merchandises, Production ready for sale</v>
      </c>
      <c r="B40" s="695">
        <f>B13</f>
        <v>0</v>
      </c>
      <c r="C40" s="666">
        <f>IF(SUM(B$39:B$41)=0,0,('Balance Sheet Statements (EU)'!F$15/'5 years Sales Summary'!B$27)*((12-mes0+1)*'5 years Sales Summary'!C$27-12*'5 years Sales Summary'!B$27)*B40/SUM(B$39:B$41)/12)*Parameters!$D$48</f>
        <v>0</v>
      </c>
      <c r="D40" s="666">
        <f>IF(SUM(B$39:C$41)=0,0,('Balance Sheet Statements (EU)'!H$15/'5 years Sales Summary'!C$27)*('5 years Sales Summary'!E$27-'5 years Sales Summary'!C$27)*SUM($B40:C40)/SUM(B$39:C$41))*Parameters!$D$48</f>
        <v>0</v>
      </c>
      <c r="E40" s="666">
        <f>IF(SUM(B$39:D$41)=0,0,('Balance Sheet Statements (EU)'!J$15/'5 years Sales Summary'!E$27)*('5 years Sales Summary'!G$27-'5 years Sales Summary'!E$27)*SUM($B40:D40)/SUM(B$39:D$41))*Parameters!$D$48</f>
        <v>0</v>
      </c>
      <c r="F40" s="2141">
        <f>IF(SUM(B$39:E$41)=0,0,('Balance Sheet Statements (EU)'!L$15/'5 years Sales Summary'!G$27)*('5 years Sales Summary'!I$27-'5 years Sales Summary'!G$27)*SUM($B40:E40)/SUM(B$39:E$41))*Parameters!$D$48</f>
        <v>0</v>
      </c>
      <c r="G40" s="32"/>
      <c r="H40" s="32"/>
      <c r="I40" s="33"/>
      <c r="J40" s="33"/>
    </row>
    <row r="41" spans="1:11" s="34" customFormat="1" ht="19.5" customHeight="1">
      <c r="A41" s="2106" t="str">
        <v>Other supplies (packaging &amp; others)</v>
      </c>
      <c r="B41" s="695">
        <f>B14</f>
        <v>0</v>
      </c>
      <c r="C41" s="666">
        <f>IF(SUM(B$39:B$41)=0,0,('Balance Sheet Statements (EU)'!F$15/'5 years Sales Summary'!B$27)*((12-mes0+1)*'5 years Sales Summary'!C$27-12*'5 years Sales Summary'!B$27)*B41/SUM(B$39:B$41)/12)*Parameters!$D$48</f>
        <v>0</v>
      </c>
      <c r="D41" s="666">
        <f>IF(SUM(B$39:C$41)=0,0,('Balance Sheet Statements (EU)'!H$15/'5 years Sales Summary'!C$27)*('5 years Sales Summary'!E$27-'5 years Sales Summary'!C$27)*SUM($B41:C41)/SUM(B$39:C$41))*Parameters!$D$48</f>
        <v>0</v>
      </c>
      <c r="E41" s="666">
        <f>IF(SUM(B$39:D$41)=0,0,('Balance Sheet Statements (EU)'!J$15/'5 years Sales Summary'!E$27)*('5 years Sales Summary'!G$27-'5 years Sales Summary'!E$27)*SUM($B41:D41)/SUM(B$39:D$41))*Parameters!$D$48</f>
        <v>0</v>
      </c>
      <c r="F41" s="2141">
        <f>IF(SUM(B$39:E$41)=0,0,('Balance Sheet Statements (EU)'!L$15/'5 years Sales Summary'!G$27)*('5 years Sales Summary'!I$27-'5 years Sales Summary'!G$27)*SUM($B41:E41)/SUM(B$39:E$41))*Parameters!$D$48</f>
        <v>0</v>
      </c>
      <c r="G41" s="32"/>
      <c r="H41" s="32"/>
      <c r="I41" s="33"/>
      <c r="J41" s="33"/>
    </row>
    <row r="42" spans="1:11" s="34" customFormat="1" ht="19.5" customHeight="1">
      <c r="A42" s="2106" t="s">
        <v>415</v>
      </c>
      <c r="B42" s="695">
        <f ca="1">B15</f>
        <v>0</v>
      </c>
      <c r="C42" s="661">
        <f ca="1">SUM('DC Distr 1'!B85:M85)-B42</f>
        <v>0</v>
      </c>
      <c r="D42" s="661">
        <f ca="1">SUM('DC Distr 2'!B85:M85)-SUM('DC Distr 1'!B85:M85)</f>
        <v>0</v>
      </c>
      <c r="E42" s="661">
        <f ca="1">SUM('DC Distr 3'!B85:M85)-SUM('DC Distr 2'!B85:M85)</f>
        <v>0</v>
      </c>
      <c r="F42" s="2177">
        <f ca="1">SUM('DC Distr 4'!B85:M85)-SUM('DC Distr 3'!B85:M85)</f>
        <v>0</v>
      </c>
      <c r="G42" s="32"/>
      <c r="H42" s="32"/>
      <c r="I42" s="33"/>
      <c r="J42" s="33"/>
    </row>
    <row r="43" spans="1:11" s="34" customFormat="1" ht="19.5" customHeight="1">
      <c r="A43" s="2106" t="str">
        <f>"Input "&amp;'Base Data'!$A$28&amp;" from current assets invest."</f>
        <v>Input VAT from current assets invest.</v>
      </c>
      <c r="B43" s="695">
        <f t="array" ref="B43">+SUM(B12:B14*$C$12:$C$14)-SUM(D12:D14*$C$12:$C$14)</f>
        <v>0</v>
      </c>
      <c r="C43" s="722">
        <f t="array" ref="C43">SUM(C39:C41*$C$12:$C$14)</f>
        <v>0</v>
      </c>
      <c r="D43" s="722">
        <f t="array" ref="D43">SUM(D39:D41*$C$12:$C$14)</f>
        <v>0</v>
      </c>
      <c r="E43" s="722">
        <f t="array" ref="E43">SUM(E39:E41*$C$12:$C$14)</f>
        <v>0</v>
      </c>
      <c r="F43" s="722">
        <f t="array" ref="F43">SUM(F39:F41*$C$12:$C$14)</f>
        <v>0</v>
      </c>
      <c r="G43" s="32"/>
      <c r="H43" s="32"/>
      <c r="I43" s="33"/>
      <c r="J43" s="33"/>
    </row>
    <row r="44" spans="1:11" s="34" customFormat="1" ht="19.5" customHeight="1">
      <c r="A44" s="2114" t="str">
        <f>"Input "&amp;'Base Data'!$A$28&amp;" from additional Investments"</f>
        <v>Input VAT from additional Investments</v>
      </c>
      <c r="B44" s="695">
        <f ca="1">B19</f>
        <v>133.35</v>
      </c>
      <c r="C44" s="695">
        <f t="array" ref="C44:F44">Parameters!$F$33*('NCA Additional Invest.'!C10:F10+'NCA Additional Invest.'!C20:F20+'NCA Additional Invest.'!C26:F26+'NCA Additional Invest.'!C31:F31+'NCA Additional Invest.'!C37:F37+'NCA Additional Invest.'!C43:F43+'NCA Additional Invest.'!C50:F50+'NCA Additional Invest.'!C55:F55+'NCA Additional Invest.'!C63:F63+'Initial Expenses'!C20:F20+'Initial Expenses'!C12:F20-'Initial Expenses'!C11:F20)
-Parameters!$F$33*(Leasing!E5:H5-Leasing!E7:H7*0)</f>
        <v>0</v>
      </c>
      <c r="D44" s="695">
        <v>0</v>
      </c>
      <c r="E44" s="695">
        <v>0</v>
      </c>
      <c r="F44" s="2138">
        <v>0</v>
      </c>
      <c r="G44" s="32"/>
      <c r="H44" s="32"/>
      <c r="I44" s="33"/>
      <c r="J44" s="33"/>
    </row>
    <row r="45" spans="1:11" s="34" customFormat="1" ht="19.5" customHeight="1" thickBot="1">
      <c r="A45" s="2161" t="s">
        <v>416</v>
      </c>
      <c r="B45" s="798">
        <f>+SUM(B7,B16,B20:B24)</f>
        <v>0</v>
      </c>
      <c r="C45" s="798"/>
      <c r="D45" s="798"/>
      <c r="E45" s="798"/>
      <c r="F45" s="2144"/>
      <c r="G45" s="32"/>
      <c r="H45" s="32"/>
      <c r="I45" s="33"/>
      <c r="J45" s="33"/>
    </row>
    <row r="46" spans="1:11" s="34" customFormat="1" ht="26.25" customHeight="1" thickBot="1">
      <c r="A46" s="2182" t="s">
        <v>624</v>
      </c>
      <c r="B46" s="2183">
        <f ca="1">B36+SUM(B39:B44)</f>
        <v>133.35</v>
      </c>
      <c r="C46" s="2183">
        <f ca="1">C36+SUM(C39:C44)</f>
        <v>0</v>
      </c>
      <c r="D46" s="2183">
        <f ca="1">D36+SUM(D39:D44)</f>
        <v>0</v>
      </c>
      <c r="E46" s="2183">
        <f ca="1">E36+SUM(E39:E44)</f>
        <v>0</v>
      </c>
      <c r="F46" s="2184">
        <f ca="1">F36+SUM(F39:F44)</f>
        <v>0</v>
      </c>
      <c r="G46" s="32"/>
      <c r="H46" s="32"/>
      <c r="I46" s="33"/>
      <c r="J46" s="33"/>
    </row>
    <row r="47" spans="1:11" s="34" customFormat="1">
      <c r="D47" s="32"/>
      <c r="E47" s="32"/>
      <c r="F47" s="32"/>
      <c r="G47" s="32"/>
      <c r="H47" s="32"/>
      <c r="I47" s="33"/>
      <c r="J47" s="33"/>
    </row>
    <row r="48" spans="1:11" s="34" customFormat="1" ht="23.25" customHeight="1">
      <c r="A48" s="1284" t="s">
        <v>1092</v>
      </c>
      <c r="B48" s="1285">
        <f t="array" ref="B48:F48" ca="1">Funding!D27:H27</f>
        <v>1201.6500000000001</v>
      </c>
      <c r="C48" s="1285">
        <f ca="1"/>
        <v>-12108.752120000003</v>
      </c>
      <c r="D48" s="1285">
        <f ca="1"/>
        <v>-17183.992667300008</v>
      </c>
      <c r="E48" s="1285">
        <f ca="1"/>
        <v>-21941.566436814501</v>
      </c>
      <c r="F48" s="1285">
        <f ca="1"/>
        <v>-26337.283433767447</v>
      </c>
      <c r="G48" s="1286">
        <f ca="1">MIN(B48:F48)-tesoreriasec</f>
        <v>-27337.283433767447</v>
      </c>
      <c r="H48" s="32"/>
      <c r="I48" s="33"/>
      <c r="J48" s="33"/>
    </row>
    <row r="49" spans="1:10" s="34" customFormat="1">
      <c r="F49" s="32"/>
      <c r="G49" s="32"/>
      <c r="H49" s="32"/>
      <c r="I49" s="33"/>
      <c r="J49" s="33"/>
    </row>
    <row r="63" spans="1:10">
      <c r="A63" s="1757" t="str">
        <f>'Base Data'!A50</f>
        <v>Normal rate</v>
      </c>
      <c r="B63" s="1929">
        <f>'Base Data'!B50</f>
        <v>0.21</v>
      </c>
    </row>
    <row r="64" spans="1:10">
      <c r="A64" s="1757" t="str">
        <f>'Base Data'!A51</f>
        <v>reduced rate</v>
      </c>
      <c r="B64" s="1929">
        <f>'Base Data'!B51</f>
        <v>0.1</v>
      </c>
    </row>
    <row r="65" spans="1:2">
      <c r="A65" s="1757" t="str">
        <f>'Base Data'!A52</f>
        <v>superreduced rate</v>
      </c>
      <c r="B65" s="1929">
        <f>'Base Data'!B52</f>
        <v>0.04</v>
      </c>
    </row>
    <row r="66" spans="1:2">
      <c r="A66" s="1757" t="str">
        <f>'Base Data'!A53</f>
        <v>special rate</v>
      </c>
      <c r="B66" s="1929">
        <f>'Base Data'!B53</f>
        <v>0</v>
      </c>
    </row>
  </sheetData>
  <sheetProtection sheet="1" objects="1" scenarios="1"/>
  <phoneticPr fontId="7" type="noConversion"/>
  <conditionalFormatting sqref="A48">
    <cfRule type="expression" dxfId="43" priority="3" stopIfTrue="1">
      <formula>$G$48&lt;0.5</formula>
    </cfRule>
  </conditionalFormatting>
  <conditionalFormatting sqref="B48:F48">
    <cfRule type="cellIs" dxfId="42" priority="1" stopIfTrue="1" operator="lessThan">
      <formula>0</formula>
    </cfRule>
    <cfRule type="expression" dxfId="41" priority="2" stopIfTrue="1">
      <formula>$G$48&lt;0</formula>
    </cfRule>
  </conditionalFormatting>
  <dataValidations xWindow="394" yWindow="538" count="3">
    <dataValidation type="custom" allowBlank="1" showInputMessage="1" showErrorMessage="1" error="La aportación en especie no puede ser superior al importe." sqref="D12:D15" xr:uid="{00000000-0002-0000-0800-000000000000}">
      <formula1>OR(AND(D12&lt;=B12,D12&gt;0),D12=0)</formula1>
    </dataValidation>
    <dataValidation type="list" allowBlank="1" showInputMessage="1" showErrorMessage="1" sqref="C12:C14" xr:uid="{00000000-0002-0000-0800-000001000000}">
      <formula1>$B$63:$B$66</formula1>
    </dataValidation>
    <dataValidation type="decimal" operator="greaterThanOrEqual" allowBlank="1" showInputMessage="1" showErrorMessage="1" sqref="B12:B16 B20:B24" xr:uid="{00000000-0002-0000-0800-000002000000}">
      <formula1>0</formula1>
    </dataValidation>
  </dataValidations>
  <printOptions horizontalCentered="1"/>
  <pageMargins left="0.78740157480314965" right="0.65" top="0.74" bottom="0.47244094488188981" header="0.27559055118110237" footer="0.31496062992125984"/>
  <pageSetup paperSize="9" scale="71" orientation="portrait" horizontalDpi="300" verticalDpi="300" r:id="rId1"/>
  <headerFooter alignWithMargins="0">
    <oddFooter>&amp;C&amp;"Tahoma,Normal"&amp;10&amp;A</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78</vt:i4>
      </vt:variant>
      <vt:variant>
        <vt:lpstr>Rangos con nombre</vt:lpstr>
      </vt:variant>
      <vt:variant>
        <vt:i4>65</vt:i4>
      </vt:variant>
    </vt:vector>
  </HeadingPairs>
  <TitlesOfParts>
    <vt:vector size="143" baseType="lpstr">
      <vt:lpstr>Índex</vt:lpstr>
      <vt:lpstr>Terms &amp; Conditions</vt:lpstr>
      <vt:lpstr>Base Data</vt:lpstr>
      <vt:lpstr>Parameters</vt:lpstr>
      <vt:lpstr>Prev. Initial Balance</vt:lpstr>
      <vt:lpstr>NCA Initial Invest.</vt:lpstr>
      <vt:lpstr>NCA Additional Invest.</vt:lpstr>
      <vt:lpstr>Initial Expenses</vt:lpstr>
      <vt:lpstr>Current Asset Invest.</vt:lpstr>
      <vt:lpstr>Funding</vt:lpstr>
      <vt:lpstr>Initial Funding</vt:lpstr>
      <vt:lpstr>Loans</vt:lpstr>
      <vt:lpstr>Leasing</vt:lpstr>
      <vt:lpstr>Renting</vt:lpstr>
      <vt:lpstr>Detailed Staff</vt:lpstr>
      <vt:lpstr>Staff</vt:lpstr>
      <vt:lpstr>Marketing Expenses</vt:lpstr>
      <vt:lpstr>Fixed Expenses Data</vt:lpstr>
      <vt:lpstr>Prices - DC</vt:lpstr>
      <vt:lpstr>Cashing &amp; Payment Policies</vt:lpstr>
      <vt:lpstr>Sales Forecasts</vt:lpstr>
      <vt:lpstr>Initial Balance Sheet 00</vt:lpstr>
      <vt:lpstr>Sales Forecast 0</vt:lpstr>
      <vt:lpstr>Sales Forecast 1</vt:lpstr>
      <vt:lpstr>Sales Forecast 2</vt:lpstr>
      <vt:lpstr>Sales Forecast 3</vt:lpstr>
      <vt:lpstr>Sales Forecast 4</vt:lpstr>
      <vt:lpstr>Production</vt:lpstr>
      <vt:lpstr>DC Distr 0</vt:lpstr>
      <vt:lpstr>DC Distr 1</vt:lpstr>
      <vt:lpstr>DC Distr 2</vt:lpstr>
      <vt:lpstr>DC Distr 3</vt:lpstr>
      <vt:lpstr>DC Distr 4</vt:lpstr>
      <vt:lpstr>DC Distr 5</vt:lpstr>
      <vt:lpstr>5 years Sales Summary</vt:lpstr>
      <vt:lpstr>Income St 0</vt:lpstr>
      <vt:lpstr>Income St 1</vt:lpstr>
      <vt:lpstr>Income St 2</vt:lpstr>
      <vt:lpstr>Income St 3</vt:lpstr>
      <vt:lpstr>Income St 4</vt:lpstr>
      <vt:lpstr>Balance Sheet Statements (EU)</vt:lpstr>
      <vt:lpstr>Balance Sheet Statements</vt:lpstr>
      <vt:lpstr>Yearly Income St</vt:lpstr>
      <vt:lpstr>Corporate Income Tax</vt:lpstr>
      <vt:lpstr>RETA 2023</vt:lpstr>
      <vt:lpstr>Personal Income Tax</vt:lpstr>
      <vt:lpstr>Collections &amp; Payments 0</vt:lpstr>
      <vt:lpstr>Collections &amp; Payments 1</vt:lpstr>
      <vt:lpstr>Collections &amp; Payments 2</vt:lpstr>
      <vt:lpstr>Collections &amp; Payments 3</vt:lpstr>
      <vt:lpstr>Collections &amp; Payments 4</vt:lpstr>
      <vt:lpstr>Personal Income Tax Calc.</vt:lpstr>
      <vt:lpstr>Fixed Expenses 0</vt:lpstr>
      <vt:lpstr>Fixed Expenses 1</vt:lpstr>
      <vt:lpstr>Fixed Expenses 2</vt:lpstr>
      <vt:lpstr>Fixed Expenses 3</vt:lpstr>
      <vt:lpstr>Fixed Expenses 4</vt:lpstr>
      <vt:lpstr>VAT 0</vt:lpstr>
      <vt:lpstr>VAT 1</vt:lpstr>
      <vt:lpstr>VAT 2</vt:lpstr>
      <vt:lpstr>VAT 3</vt:lpstr>
      <vt:lpstr>VAT 4</vt:lpstr>
      <vt:lpstr>Fixed Expenses Summary</vt:lpstr>
      <vt:lpstr>Amortizations</vt:lpstr>
      <vt:lpstr>Financial Expenses</vt:lpstr>
      <vt:lpstr>Cash Flow 0</vt:lpstr>
      <vt:lpstr>Cash Flow 1</vt:lpstr>
      <vt:lpstr>Cash Flow 2</vt:lpstr>
      <vt:lpstr>Cash Flow 3</vt:lpstr>
      <vt:lpstr>Cash Flow 4</vt:lpstr>
      <vt:lpstr>Unusual payments &amp; Collections</vt:lpstr>
      <vt:lpstr>Cash Flow Summary</vt:lpstr>
      <vt:lpstr>Break Even Point</vt:lpstr>
      <vt:lpstr>Basic Ratios</vt:lpstr>
      <vt:lpstr>Viabilidad</vt:lpstr>
      <vt:lpstr>Company Valuation</vt:lpstr>
      <vt:lpstr>Executive Summary</vt:lpstr>
      <vt:lpstr>Investors Briefing</vt:lpstr>
      <vt:lpstr>aa</vt:lpstr>
      <vt:lpstr>anni</vt:lpstr>
      <vt:lpstr>annivert</vt:lpstr>
      <vt:lpstr>'5 years Sales Summary'!Área_de_impresión</vt:lpstr>
      <vt:lpstr>Amortizations!Área_de_impresión</vt:lpstr>
      <vt:lpstr>'Balance Sheet Statements'!Área_de_impresión</vt:lpstr>
      <vt:lpstr>'Balance Sheet Statements (EU)'!Área_de_impresión</vt:lpstr>
      <vt:lpstr>'Base Data'!Área_de_impresión</vt:lpstr>
      <vt:lpstr>'Basic Ratios'!Área_de_impresión</vt:lpstr>
      <vt:lpstr>'Break Even Point'!Área_de_impresión</vt:lpstr>
      <vt:lpstr>'Cash Flow Summary'!Área_de_impresión</vt:lpstr>
      <vt:lpstr>'Cashing &amp; Payment Policies'!Área_de_impresión</vt:lpstr>
      <vt:lpstr>'Collections &amp; Payments 0'!Área_de_impresión</vt:lpstr>
      <vt:lpstr>'Collections &amp; Payments 1'!Área_de_impresión</vt:lpstr>
      <vt:lpstr>'Collections &amp; Payments 2'!Área_de_impresión</vt:lpstr>
      <vt:lpstr>'Collections &amp; Payments 3'!Área_de_impresión</vt:lpstr>
      <vt:lpstr>'Collections &amp; Payments 4'!Área_de_impresión</vt:lpstr>
      <vt:lpstr>'Company Valuation'!Área_de_impresión</vt:lpstr>
      <vt:lpstr>'Current Asset Invest.'!Área_de_impresión</vt:lpstr>
      <vt:lpstr>'Detailed Staff'!Área_de_impresión</vt:lpstr>
      <vt:lpstr>'Executive Summary'!Área_de_impresión</vt:lpstr>
      <vt:lpstr>Funding!Área_de_impresión</vt:lpstr>
      <vt:lpstr>Índex!Área_de_impresión</vt:lpstr>
      <vt:lpstr>'Initial Expenses'!Área_de_impresión</vt:lpstr>
      <vt:lpstr>'Initial Funding'!Área_de_impresión</vt:lpstr>
      <vt:lpstr>'Investors Briefing'!Área_de_impresión</vt:lpstr>
      <vt:lpstr>Leasing!Área_de_impresión</vt:lpstr>
      <vt:lpstr>Loans!Área_de_impresión</vt:lpstr>
      <vt:lpstr>'NCA Initial Invest.'!Área_de_impresión</vt:lpstr>
      <vt:lpstr>Parameters!Área_de_impresión</vt:lpstr>
      <vt:lpstr>'Personal Income Tax'!Área_de_impresión</vt:lpstr>
      <vt:lpstr>'Prices - DC'!Área_de_impresión</vt:lpstr>
      <vt:lpstr>Renting!Área_de_impresión</vt:lpstr>
      <vt:lpstr>'RETA 2023'!Área_de_impresión</vt:lpstr>
      <vt:lpstr>'Sales Forecasts'!Área_de_impresión</vt:lpstr>
      <vt:lpstr>Staff!Área_de_impresión</vt:lpstr>
      <vt:lpstr>'Terms &amp; Conditions'!Área_de_impresión</vt:lpstr>
      <vt:lpstr>catlaborales</vt:lpstr>
      <vt:lpstr>consolidacion</vt:lpstr>
      <vt:lpstr>euro</vt:lpstr>
      <vt:lpstr>finTemporada</vt:lpstr>
      <vt:lpstr>inflacion</vt:lpstr>
      <vt:lpstr>inicioTemporada</vt:lpstr>
      <vt:lpstr>inv_propia</vt:lpstr>
      <vt:lpstr>irpf</vt:lpstr>
      <vt:lpstr>isoc</vt:lpstr>
      <vt:lpstr>ITP</vt:lpstr>
      <vt:lpstr>IVAcc</vt:lpstr>
      <vt:lpstr>IVAdev</vt:lpstr>
      <vt:lpstr>IVAmensual</vt:lpstr>
      <vt:lpstr>mes0</vt:lpstr>
      <vt:lpstr>meses</vt:lpstr>
      <vt:lpstr>Moneda</vt:lpstr>
      <vt:lpstr>morisidad</vt:lpstr>
      <vt:lpstr>periodicidad</vt:lpstr>
      <vt:lpstr>productos</vt:lpstr>
      <vt:lpstr>recmorosos</vt:lpstr>
      <vt:lpstr>resprevio</vt:lpstr>
      <vt:lpstr>ret_irpf</vt:lpstr>
      <vt:lpstr>tesoreriasec</vt:lpstr>
      <vt:lpstr>'Cashing &amp; Payment Policies'!Títulos_a_imprimir</vt:lpstr>
      <vt:lpstr>'Detailed Staff'!Títulos_a_imprimir</vt:lpstr>
      <vt:lpstr>'Financial Expenses'!Títulos_a_imprimir</vt:lpstr>
      <vt:lpstr>'Unusual payments &amp; Collections'!Títulos_a_imprimir</vt:lpstr>
      <vt:lpstr>version</vt:lpstr>
    </vt:vector>
  </TitlesOfParts>
  <Company>Área de PYMES - Escuela de Organización Industrial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Financiero Previsional</dc:title>
  <dc:creator>Miguel Martínez</dc:creator>
  <cp:lastModifiedBy>MIGUEL MARTINEZ PRIETO</cp:lastModifiedBy>
  <cp:lastPrinted>2024-08-05T09:53:45Z</cp:lastPrinted>
  <dcterms:created xsi:type="dcterms:W3CDTF">1999-05-11T12:09:08Z</dcterms:created>
  <dcterms:modified xsi:type="dcterms:W3CDTF">2025-11-06T20:05:16Z</dcterms:modified>
</cp:coreProperties>
</file>